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 tabRatio="866" activeTab="1"/>
  </bookViews>
  <sheets>
    <sheet name="Input Tab" sheetId="13" r:id="rId1"/>
    <sheet name="Q1 p.1 - Rate Base True-up Adj" sheetId="2" r:id="rId2"/>
    <sheet name="Q1 p.2 - Rate of Return Adj" sheetId="14" r:id="rId3"/>
    <sheet name="Q1 p.3 - ROR (Mar-May)" sheetId="10" r:id="rId4"/>
    <sheet name="Q1 p.4 - ROR (Jun-Aug)" sheetId="18" r:id="rId5"/>
    <sheet name="Q1 p.5 - ECC (May)" sheetId="11" r:id="rId6"/>
    <sheet name="Q1 p.6 - ECC (Aug)" sheetId="17" r:id="rId7"/>
    <sheet name="Q2 p.1 - Retail E(m)" sheetId="12" r:id="rId8"/>
    <sheet name="Q2 p.2 - Detailed Over-Under" sheetId="15" r:id="rId9"/>
    <sheet name="Q2 p.3 - Summary Over-Under" sheetId="3" r:id="rId10"/>
    <sheet name="Q2 p.4 - Detailed Variances " sheetId="16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\" localSheetId="7" hidden="1">#REF!</definedName>
    <definedName name="\\" hidden="1">#REF!</definedName>
    <definedName name="\\\" localSheetId="7" hidden="1">#REF!</definedName>
    <definedName name="\\\" hidden="1">#REF!</definedName>
    <definedName name="\\\\" localSheetId="7" hidden="1">#REF!</definedName>
    <definedName name="\\\\" hidden="1">#REF!</definedName>
    <definedName name="__123Graph_A" localSheetId="7" hidden="1">#REF!</definedName>
    <definedName name="__123Graph_A" hidden="1">#REF!</definedName>
    <definedName name="__123Graph_B" localSheetId="7" hidden="1">#REF!</definedName>
    <definedName name="__123Graph_B" hidden="1">#REF!</definedName>
    <definedName name="__123Graph_C" localSheetId="7" hidden="1">#REF!</definedName>
    <definedName name="__123Graph_C" hidden="1">#REF!</definedName>
    <definedName name="__123Graph_D" localSheetId="7" hidden="1">#REF!</definedName>
    <definedName name="__123Graph_D" hidden="1">#REF!</definedName>
    <definedName name="__123Graph_E" localSheetId="7" hidden="1">#REF!</definedName>
    <definedName name="__123Graph_E" hidden="1">#REF!</definedName>
    <definedName name="__123Graph_F" localSheetId="7" hidden="1">#REF!</definedName>
    <definedName name="__123Graph_F" hidden="1">#REF!</definedName>
    <definedName name="__123Graph_X" localSheetId="7" hidden="1">#REF!</definedName>
    <definedName name="__123Graph_X" hidden="1">#REF!</definedName>
    <definedName name="_36__123Graph_BCHART_1" localSheetId="7" hidden="1">'[1]HOSPICE OPSUM'!#REF!</definedName>
    <definedName name="_36__123Graph_BCHART_1" hidden="1">'[1]HOSPICE OPSUM'!#REF!</definedName>
    <definedName name="_Fill" localSheetId="7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7" hidden="1">#REF!</definedName>
    <definedName name="_Table1_In1" hidden="1">#REF!</definedName>
    <definedName name="_Table1_Out" localSheetId="7" hidden="1">#REF!</definedName>
    <definedName name="_Table1_Out" hidden="1">#REF!</definedName>
    <definedName name="_Table1_Out_2" localSheetId="7" hidden="1">#REF!</definedName>
    <definedName name="_Table1_Out_2" hidden="1">#REF!</definedName>
    <definedName name="_Table2_In1" localSheetId="7" hidden="1">'[2]Bank Model'!#REF!</definedName>
    <definedName name="_Table2_In1" hidden="1">'[2]Bank Model'!#REF!</definedName>
    <definedName name="_Table2_In2" localSheetId="7" hidden="1">'[2]Bank Model'!#REF!</definedName>
    <definedName name="_Table2_In2" hidden="1">'[2]Bank Model'!#REF!</definedName>
    <definedName name="_Table2_Out" localSheetId="7" hidden="1">'[2]Bank Model'!#REF!</definedName>
    <definedName name="_Table2_Out" hidden="1">'[2]Bank Model'!#REF!</definedName>
    <definedName name="_Table2_Out_2" localSheetId="7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7" hidden="1">#REF!</definedName>
    <definedName name="asdfasdfasdfas" hidden="1">#REF!</definedName>
    <definedName name="BLPH1" hidden="1">'[3]Natural gas'!$A$3</definedName>
    <definedName name="BLPR1020040129204514642" localSheetId="7" hidden="1">'[4]Spread Sheet'!#REF!</definedName>
    <definedName name="BLPR1020040129204514642" hidden="1">'[4]Spread Sheet'!#REF!</definedName>
    <definedName name="BLPR1020040129204514642_1_5" localSheetId="7" hidden="1">'[4]Spread Sheet'!#REF!</definedName>
    <definedName name="BLPR1020040129204514642_1_5" hidden="1">'[4]Spread Sheet'!#REF!</definedName>
    <definedName name="BLPR1020040129204514642_2_5" localSheetId="7" hidden="1">'[4]Spread Sheet'!#REF!</definedName>
    <definedName name="BLPR1020040129204514642_2_5" hidden="1">'[4]Spread Sheet'!#REF!</definedName>
    <definedName name="BLPR1020040129204514642_3_5" localSheetId="7" hidden="1">'[4]Spread Sheet'!#REF!</definedName>
    <definedName name="BLPR1020040129204514642_3_5" hidden="1">'[4]Spread Sheet'!#REF!</definedName>
    <definedName name="BLPR1020040129204514642_4_5" localSheetId="7" hidden="1">'[4]Spread Sheet'!#REF!</definedName>
    <definedName name="BLPR1020040129204514642_4_5" hidden="1">'[4]Spread Sheet'!#REF!</definedName>
    <definedName name="BLPR1020040129204514642_5_5" localSheetId="7" hidden="1">'[4]Spread Sheet'!#REF!</definedName>
    <definedName name="BLPR1020040129204514642_5_5" hidden="1">'[4]Spread Sheet'!#REF!</definedName>
    <definedName name="BLPR1120040129204514642" localSheetId="7" hidden="1">'[4]Spread Sheet'!#REF!</definedName>
    <definedName name="BLPR1120040129204514642" hidden="1">'[4]Spread Sheet'!#REF!</definedName>
    <definedName name="BLPR1120040129204514642_1_5" localSheetId="7" hidden="1">'[4]Spread Sheet'!#REF!</definedName>
    <definedName name="BLPR1120040129204514642_1_5" hidden="1">'[4]Spread Sheet'!#REF!</definedName>
    <definedName name="BLPR1120040129204514642_2_5" localSheetId="7" hidden="1">'[4]Spread Sheet'!#REF!</definedName>
    <definedName name="BLPR1120040129204514642_2_5" hidden="1">'[4]Spread Sheet'!#REF!</definedName>
    <definedName name="BLPR1120040129204514642_3_5" localSheetId="7" hidden="1">'[4]Spread Sheet'!#REF!</definedName>
    <definedName name="BLPR1120040129204514642_3_5" hidden="1">'[4]Spread Sheet'!#REF!</definedName>
    <definedName name="BLPR1120040129204514642_4_5" localSheetId="7" hidden="1">'[4]Spread Sheet'!#REF!</definedName>
    <definedName name="BLPR1120040129204514642_4_5" hidden="1">'[4]Spread Sheet'!#REF!</definedName>
    <definedName name="BLPR1120040129204514642_5_5" localSheetId="7" hidden="1">'[4]Spread Sheet'!#REF!</definedName>
    <definedName name="BLPR1120040129204514642_5_5" hidden="1">'[4]Spread Sheet'!#REF!</definedName>
    <definedName name="BLPR120040129203645421" localSheetId="7" hidden="1">'[4]Spread Sheet'!#REF!</definedName>
    <definedName name="BLPR120040129203645421" hidden="1">'[4]Spread Sheet'!#REF!</definedName>
    <definedName name="BLPR120040129203645421_1_4" localSheetId="7" hidden="1">'[4]Spread Sheet'!#REF!</definedName>
    <definedName name="BLPR120040129203645421_1_4" hidden="1">'[4]Spread Sheet'!#REF!</definedName>
    <definedName name="BLPR120040129203645421_2_4" localSheetId="7" hidden="1">'[4]Spread Sheet'!#REF!</definedName>
    <definedName name="BLPR120040129203645421_2_4" hidden="1">'[4]Spread Sheet'!#REF!</definedName>
    <definedName name="BLPR120040129203645421_3_4" localSheetId="7" hidden="1">'[4]Spread Sheet'!#REF!</definedName>
    <definedName name="BLPR120040129203645421_3_4" hidden="1">'[4]Spread Sheet'!#REF!</definedName>
    <definedName name="BLPR120040129203645421_4_4" localSheetId="7" hidden="1">'[4]Spread Sheet'!#REF!</definedName>
    <definedName name="BLPR120040129203645421_4_4" hidden="1">'[4]Spread Sheet'!#REF!</definedName>
    <definedName name="BLPR1220040129204514642" localSheetId="7" hidden="1">'[4]Spread Sheet'!#REF!</definedName>
    <definedName name="BLPR1220040129204514642" hidden="1">'[4]Spread Sheet'!#REF!</definedName>
    <definedName name="BLPR1220040129204514642_1_5" localSheetId="7" hidden="1">'[4]Spread Sheet'!#REF!</definedName>
    <definedName name="BLPR1220040129204514642_1_5" hidden="1">'[4]Spread Sheet'!#REF!</definedName>
    <definedName name="BLPR1220040129204514642_2_5" localSheetId="7" hidden="1">'[4]Spread Sheet'!#REF!</definedName>
    <definedName name="BLPR1220040129204514642_2_5" hidden="1">'[4]Spread Sheet'!#REF!</definedName>
    <definedName name="BLPR1220040129204514642_3_5" localSheetId="7" hidden="1">'[4]Spread Sheet'!#REF!</definedName>
    <definedName name="BLPR1220040129204514642_3_5" hidden="1">'[4]Spread Sheet'!#REF!</definedName>
    <definedName name="BLPR1220040129204514642_4_5" localSheetId="7" hidden="1">'[4]Spread Sheet'!#REF!</definedName>
    <definedName name="BLPR1220040129204514642_4_5" hidden="1">'[4]Spread Sheet'!#REF!</definedName>
    <definedName name="BLPR1220040129204514642_5_5" localSheetId="7" hidden="1">'[4]Spread Sheet'!#REF!</definedName>
    <definedName name="BLPR1220040129204514642_5_5" hidden="1">'[4]Spread Sheet'!#REF!</definedName>
    <definedName name="BLPR1320040129204514642" localSheetId="7" hidden="1">'[4]Spread Sheet'!#REF!</definedName>
    <definedName name="BLPR1320040129204514642" hidden="1">'[4]Spread Sheet'!#REF!</definedName>
    <definedName name="BLPR1320040129204514642_1_5" localSheetId="7" hidden="1">'[4]Spread Sheet'!#REF!</definedName>
    <definedName name="BLPR1320040129204514642_1_5" hidden="1">'[4]Spread Sheet'!#REF!</definedName>
    <definedName name="BLPR1320040129204514642_2_5" localSheetId="7" hidden="1">'[4]Spread Sheet'!#REF!</definedName>
    <definedName name="BLPR1320040129204514642_2_5" hidden="1">'[4]Spread Sheet'!#REF!</definedName>
    <definedName name="BLPR1320040129204514642_3_5" localSheetId="7" hidden="1">'[4]Spread Sheet'!#REF!</definedName>
    <definedName name="BLPR1320040129204514642_3_5" hidden="1">'[4]Spread Sheet'!#REF!</definedName>
    <definedName name="BLPR1320040129204514642_4_5" localSheetId="7" hidden="1">'[4]Spread Sheet'!#REF!</definedName>
    <definedName name="BLPR1320040129204514642_4_5" hidden="1">'[4]Spread Sheet'!#REF!</definedName>
    <definedName name="BLPR1320040129204514642_5_5" localSheetId="7" hidden="1">'[4]Spread Sheet'!#REF!</definedName>
    <definedName name="BLPR1320040129204514642_5_5" hidden="1">'[4]Spread Sheet'!#REF!</definedName>
    <definedName name="BLPR1420040129204514642" localSheetId="7" hidden="1">'[4]Spread Sheet'!#REF!</definedName>
    <definedName name="BLPR1420040129204514642" hidden="1">'[4]Spread Sheet'!#REF!</definedName>
    <definedName name="BLPR1420040129204514642_1_5" localSheetId="7" hidden="1">'[4]Spread Sheet'!#REF!</definedName>
    <definedName name="BLPR1420040129204514642_1_5" hidden="1">'[4]Spread Sheet'!#REF!</definedName>
    <definedName name="BLPR1420040129204514642_2_5" localSheetId="7" hidden="1">'[4]Spread Sheet'!#REF!</definedName>
    <definedName name="BLPR1420040129204514642_2_5" hidden="1">'[4]Spread Sheet'!#REF!</definedName>
    <definedName name="BLPR1420040129204514642_3_5" localSheetId="7" hidden="1">'[4]Spread Sheet'!#REF!</definedName>
    <definedName name="BLPR1420040129204514642_3_5" hidden="1">'[4]Spread Sheet'!#REF!</definedName>
    <definedName name="BLPR1420040129204514642_4_5" localSheetId="7" hidden="1">'[4]Spread Sheet'!#REF!</definedName>
    <definedName name="BLPR1420040129204514642_4_5" hidden="1">'[4]Spread Sheet'!#REF!</definedName>
    <definedName name="BLPR1420040129204514642_5_5" localSheetId="7" hidden="1">'[4]Spread Sheet'!#REF!</definedName>
    <definedName name="BLPR1420040129204514642_5_5" hidden="1">'[4]Spread Sheet'!#REF!</definedName>
    <definedName name="BLPR1520040129204514652" localSheetId="7" hidden="1">'[4]Spread Sheet'!#REF!</definedName>
    <definedName name="BLPR1520040129204514652" hidden="1">'[4]Spread Sheet'!#REF!</definedName>
    <definedName name="BLPR1520040129204514652_1_5" localSheetId="7" hidden="1">'[4]Spread Sheet'!#REF!</definedName>
    <definedName name="BLPR1520040129204514652_1_5" hidden="1">'[4]Spread Sheet'!#REF!</definedName>
    <definedName name="BLPR1520040129204514652_2_5" localSheetId="7" hidden="1">'[4]Spread Sheet'!#REF!</definedName>
    <definedName name="BLPR1520040129204514652_2_5" hidden="1">'[4]Spread Sheet'!#REF!</definedName>
    <definedName name="BLPR1520040129204514652_3_5" localSheetId="7" hidden="1">'[4]Spread Sheet'!#REF!</definedName>
    <definedName name="BLPR1520040129204514652_3_5" hidden="1">'[4]Spread Sheet'!#REF!</definedName>
    <definedName name="BLPR1520040129204514652_4_5" localSheetId="7" hidden="1">'[4]Spread Sheet'!#REF!</definedName>
    <definedName name="BLPR1520040129204514652_4_5" hidden="1">'[4]Spread Sheet'!#REF!</definedName>
    <definedName name="BLPR1520040129204514652_5_5" localSheetId="7" hidden="1">'[4]Spread Sheet'!#REF!</definedName>
    <definedName name="BLPR1520040129204514652_5_5" hidden="1">'[4]Spread Sheet'!#REF!</definedName>
    <definedName name="BLPR1620040129204514652" localSheetId="7" hidden="1">'[4]Spread Sheet'!#REF!</definedName>
    <definedName name="BLPR1620040129204514652" hidden="1">'[4]Spread Sheet'!#REF!</definedName>
    <definedName name="BLPR1620040129204514652_1_5" localSheetId="7" hidden="1">'[4]Spread Sheet'!#REF!</definedName>
    <definedName name="BLPR1620040129204514652_1_5" hidden="1">'[4]Spread Sheet'!#REF!</definedName>
    <definedName name="BLPR1620040129204514652_2_5" localSheetId="7" hidden="1">'[4]Spread Sheet'!#REF!</definedName>
    <definedName name="BLPR1620040129204514652_2_5" hidden="1">'[4]Spread Sheet'!#REF!</definedName>
    <definedName name="BLPR1620040129204514652_3_5" localSheetId="7" hidden="1">'[4]Spread Sheet'!#REF!</definedName>
    <definedName name="BLPR1620040129204514652_3_5" hidden="1">'[4]Spread Sheet'!#REF!</definedName>
    <definedName name="BLPR1620040129204514652_4_5" localSheetId="7" hidden="1">'[4]Spread Sheet'!#REF!</definedName>
    <definedName name="BLPR1620040129204514652_4_5" hidden="1">'[4]Spread Sheet'!#REF!</definedName>
    <definedName name="BLPR1620040129204514652_5_5" localSheetId="7" hidden="1">'[4]Spread Sheet'!#REF!</definedName>
    <definedName name="BLPR1620040129204514652_5_5" hidden="1">'[4]Spread Sheet'!#REF!</definedName>
    <definedName name="BLPR1720040129204514652" localSheetId="7" hidden="1">'[4]Spread Sheet'!#REF!</definedName>
    <definedName name="BLPR1720040129204514652" hidden="1">'[4]Spread Sheet'!#REF!</definedName>
    <definedName name="BLPR1720040129204514652_1_5" localSheetId="7" hidden="1">'[4]Spread Sheet'!#REF!</definedName>
    <definedName name="BLPR1720040129204514652_1_5" hidden="1">'[4]Spread Sheet'!#REF!</definedName>
    <definedName name="BLPR1720040129204514652_2_5" localSheetId="7" hidden="1">'[4]Spread Sheet'!#REF!</definedName>
    <definedName name="BLPR1720040129204514652_2_5" hidden="1">'[4]Spread Sheet'!#REF!</definedName>
    <definedName name="BLPR1720040129204514652_3_5" localSheetId="7" hidden="1">'[4]Spread Sheet'!#REF!</definedName>
    <definedName name="BLPR1720040129204514652_3_5" hidden="1">'[4]Spread Sheet'!#REF!</definedName>
    <definedName name="BLPR1720040129204514652_4_5" localSheetId="7" hidden="1">'[4]Spread Sheet'!#REF!</definedName>
    <definedName name="BLPR1720040129204514652_4_5" hidden="1">'[4]Spread Sheet'!#REF!</definedName>
    <definedName name="BLPR1720040129204514652_5_5" localSheetId="7" hidden="1">'[4]Spread Sheet'!#REF!</definedName>
    <definedName name="BLPR1720040129204514652_5_5" hidden="1">'[4]Spread Sheet'!#REF!</definedName>
    <definedName name="BLPR1820040129204514652" localSheetId="7" hidden="1">'[4]Spread Sheet'!#REF!</definedName>
    <definedName name="BLPR1820040129204514652" hidden="1">'[4]Spread Sheet'!#REF!</definedName>
    <definedName name="BLPR1820040129204514652_1_5" localSheetId="7" hidden="1">'[4]Spread Sheet'!#REF!</definedName>
    <definedName name="BLPR1820040129204514652_1_5" hidden="1">'[4]Spread Sheet'!#REF!</definedName>
    <definedName name="BLPR1820040129204514652_2_5" localSheetId="7" hidden="1">'[4]Spread Sheet'!#REF!</definedName>
    <definedName name="BLPR1820040129204514652_2_5" hidden="1">'[4]Spread Sheet'!#REF!</definedName>
    <definedName name="BLPR1820040129204514652_3_5" localSheetId="7" hidden="1">'[4]Spread Sheet'!#REF!</definedName>
    <definedName name="BLPR1820040129204514652_3_5" hidden="1">'[4]Spread Sheet'!#REF!</definedName>
    <definedName name="BLPR1820040129204514652_4_5" localSheetId="7" hidden="1">'[4]Spread Sheet'!#REF!</definedName>
    <definedName name="BLPR1820040129204514652_4_5" hidden="1">'[4]Spread Sheet'!#REF!</definedName>
    <definedName name="BLPR1820040129204514652_5_5" localSheetId="7" hidden="1">'[4]Spread Sheet'!#REF!</definedName>
    <definedName name="BLPR1820040129204514652_5_5" hidden="1">'[4]Spread Sheet'!#REF!</definedName>
    <definedName name="BLPR1920040129204514652" localSheetId="7" hidden="1">'[4]Spread Sheet'!#REF!</definedName>
    <definedName name="BLPR1920040129204514652" hidden="1">'[4]Spread Sheet'!#REF!</definedName>
    <definedName name="BLPR1920040129204514652_1_5" localSheetId="7" hidden="1">'[4]Spread Sheet'!#REF!</definedName>
    <definedName name="BLPR1920040129204514652_1_5" hidden="1">'[4]Spread Sheet'!#REF!</definedName>
    <definedName name="BLPR1920040129204514652_2_5" localSheetId="7" hidden="1">'[4]Spread Sheet'!#REF!</definedName>
    <definedName name="BLPR1920040129204514652_2_5" hidden="1">'[4]Spread Sheet'!#REF!</definedName>
    <definedName name="BLPR1920040129204514652_3_5" localSheetId="7" hidden="1">'[4]Spread Sheet'!#REF!</definedName>
    <definedName name="BLPR1920040129204514652_3_5" hidden="1">'[4]Spread Sheet'!#REF!</definedName>
    <definedName name="BLPR1920040129204514652_4_5" localSheetId="7" hidden="1">'[4]Spread Sheet'!#REF!</definedName>
    <definedName name="BLPR1920040129204514652_4_5" hidden="1">'[4]Spread Sheet'!#REF!</definedName>
    <definedName name="BLPR1920040129204514652_5_5" localSheetId="7" hidden="1">'[4]Spread Sheet'!#REF!</definedName>
    <definedName name="BLPR1920040129204514652_5_5" hidden="1">'[4]Spread Sheet'!#REF!</definedName>
    <definedName name="BLPR2020040129204514652" localSheetId="7" hidden="1">'[4]Spread Sheet'!#REF!</definedName>
    <definedName name="BLPR2020040129204514652" hidden="1">'[4]Spread Sheet'!#REF!</definedName>
    <definedName name="BLPR2020040129204514652_1_5" localSheetId="7" hidden="1">'[4]Spread Sheet'!#REF!</definedName>
    <definedName name="BLPR2020040129204514652_1_5" hidden="1">'[4]Spread Sheet'!#REF!</definedName>
    <definedName name="BLPR2020040129204514652_2_5" localSheetId="7" hidden="1">'[4]Spread Sheet'!#REF!</definedName>
    <definedName name="BLPR2020040129204514652_2_5" hidden="1">'[4]Spread Sheet'!#REF!</definedName>
    <definedName name="BLPR2020040129204514652_3_5" localSheetId="7" hidden="1">'[4]Spread Sheet'!#REF!</definedName>
    <definedName name="BLPR2020040129204514652_3_5" hidden="1">'[4]Spread Sheet'!#REF!</definedName>
    <definedName name="BLPR2020040129204514652_4_5" localSheetId="7" hidden="1">'[4]Spread Sheet'!#REF!</definedName>
    <definedName name="BLPR2020040129204514652_4_5" hidden="1">'[4]Spread Sheet'!#REF!</definedName>
    <definedName name="BLPR2020040129204514652_5_5" localSheetId="7" hidden="1">'[4]Spread Sheet'!#REF!</definedName>
    <definedName name="BLPR2020040129204514652_5_5" hidden="1">'[4]Spread Sheet'!#REF!</definedName>
    <definedName name="BLPR2120040129204514652" localSheetId="7" hidden="1">'[4]Spread Sheet'!#REF!</definedName>
    <definedName name="BLPR2120040129204514652" hidden="1">'[4]Spread Sheet'!#REF!</definedName>
    <definedName name="BLPR2120040129204514652_1_5" localSheetId="7" hidden="1">'[4]Spread Sheet'!#REF!</definedName>
    <definedName name="BLPR2120040129204514652_1_5" hidden="1">'[4]Spread Sheet'!#REF!</definedName>
    <definedName name="BLPR2120040129204514652_2_5" localSheetId="7" hidden="1">'[4]Spread Sheet'!#REF!</definedName>
    <definedName name="BLPR2120040129204514652_2_5" hidden="1">'[4]Spread Sheet'!#REF!</definedName>
    <definedName name="BLPR2120040129204514652_3_5" localSheetId="7" hidden="1">'[4]Spread Sheet'!#REF!</definedName>
    <definedName name="BLPR2120040129204514652_3_5" hidden="1">'[4]Spread Sheet'!#REF!</definedName>
    <definedName name="BLPR2120040129204514652_4_5" localSheetId="7" hidden="1">'[4]Spread Sheet'!#REF!</definedName>
    <definedName name="BLPR2120040129204514652_4_5" hidden="1">'[4]Spread Sheet'!#REF!</definedName>
    <definedName name="BLPR2120040129204514652_5_5" localSheetId="7" hidden="1">'[4]Spread Sheet'!#REF!</definedName>
    <definedName name="BLPR2120040129204514652_5_5" hidden="1">'[4]Spread Sheet'!#REF!</definedName>
    <definedName name="BLPR220040129203645421" localSheetId="7" hidden="1">'[4]Spread Sheet'!#REF!</definedName>
    <definedName name="BLPR220040129203645421" hidden="1">'[4]Spread Sheet'!#REF!</definedName>
    <definedName name="BLPR220040129203645421_1_4" localSheetId="7" hidden="1">'[4]Spread Sheet'!#REF!</definedName>
    <definedName name="BLPR220040129203645421_1_4" hidden="1">'[4]Spread Sheet'!#REF!</definedName>
    <definedName name="BLPR220040129203645421_2_4" localSheetId="7" hidden="1">'[4]Spread Sheet'!#REF!</definedName>
    <definedName name="BLPR220040129203645421_2_4" hidden="1">'[4]Spread Sheet'!#REF!</definedName>
    <definedName name="BLPR220040129203645421_3_4" localSheetId="7" hidden="1">'[4]Spread Sheet'!#REF!</definedName>
    <definedName name="BLPR220040129203645421_3_4" hidden="1">'[4]Spread Sheet'!#REF!</definedName>
    <definedName name="BLPR220040129203645421_4_4" localSheetId="7" hidden="1">'[4]Spread Sheet'!#REF!</definedName>
    <definedName name="BLPR220040129203645421_4_4" hidden="1">'[4]Spread Sheet'!#REF!</definedName>
    <definedName name="BLPR2220040129204514652" localSheetId="7" hidden="1">'[4]Spread Sheet'!#REF!</definedName>
    <definedName name="BLPR2220040129204514652" hidden="1">'[4]Spread Sheet'!#REF!</definedName>
    <definedName name="BLPR2220040129204514652_1_5" localSheetId="7" hidden="1">'[4]Spread Sheet'!#REF!</definedName>
    <definedName name="BLPR2220040129204514652_1_5" hidden="1">'[4]Spread Sheet'!#REF!</definedName>
    <definedName name="BLPR2220040129204514652_2_5" localSheetId="7" hidden="1">'[4]Spread Sheet'!#REF!</definedName>
    <definedName name="BLPR2220040129204514652_2_5" hidden="1">'[4]Spread Sheet'!#REF!</definedName>
    <definedName name="BLPR2220040129204514652_3_5" localSheetId="7" hidden="1">'[4]Spread Sheet'!#REF!</definedName>
    <definedName name="BLPR2220040129204514652_3_5" hidden="1">'[4]Spread Sheet'!#REF!</definedName>
    <definedName name="BLPR2220040129204514652_4_5" localSheetId="7" hidden="1">'[4]Spread Sheet'!#REF!</definedName>
    <definedName name="BLPR2220040129204514652_4_5" hidden="1">'[4]Spread Sheet'!#REF!</definedName>
    <definedName name="BLPR2220040129204514652_5_5" localSheetId="7" hidden="1">'[4]Spread Sheet'!#REF!</definedName>
    <definedName name="BLPR2220040129204514652_5_5" hidden="1">'[4]Spread Sheet'!#REF!</definedName>
    <definedName name="BLPR2320040129204514662" localSheetId="7" hidden="1">'[4]Spread Sheet'!#REF!</definedName>
    <definedName name="BLPR2320040129204514662" hidden="1">'[4]Spread Sheet'!#REF!</definedName>
    <definedName name="BLPR2320040129204514662_1_5" localSheetId="7" hidden="1">'[4]Spread Sheet'!#REF!</definedName>
    <definedName name="BLPR2320040129204514662_1_5" hidden="1">'[4]Spread Sheet'!#REF!</definedName>
    <definedName name="BLPR2320040129204514662_2_5" localSheetId="7" hidden="1">'[4]Spread Sheet'!#REF!</definedName>
    <definedName name="BLPR2320040129204514662_2_5" hidden="1">'[4]Spread Sheet'!#REF!</definedName>
    <definedName name="BLPR2320040129204514662_3_5" localSheetId="7" hidden="1">'[4]Spread Sheet'!#REF!</definedName>
    <definedName name="BLPR2320040129204514662_3_5" hidden="1">'[4]Spread Sheet'!#REF!</definedName>
    <definedName name="BLPR2320040129204514662_4_5" localSheetId="7" hidden="1">'[4]Spread Sheet'!#REF!</definedName>
    <definedName name="BLPR2320040129204514662_4_5" hidden="1">'[4]Spread Sheet'!#REF!</definedName>
    <definedName name="BLPR2320040129204514662_5_5" localSheetId="7" hidden="1">'[4]Spread Sheet'!#REF!</definedName>
    <definedName name="BLPR2320040129204514662_5_5" hidden="1">'[4]Spread Sheet'!#REF!</definedName>
    <definedName name="BLPR2420040129204514662" localSheetId="7" hidden="1">'[4]Spread Sheet'!#REF!</definedName>
    <definedName name="BLPR2420040129204514662" hidden="1">'[4]Spread Sheet'!#REF!</definedName>
    <definedName name="BLPR2420040129204514662_1_5" localSheetId="7" hidden="1">'[4]Spread Sheet'!#REF!</definedName>
    <definedName name="BLPR2420040129204514662_1_5" hidden="1">'[4]Spread Sheet'!#REF!</definedName>
    <definedName name="BLPR2420040129204514662_2_5" localSheetId="7" hidden="1">'[4]Spread Sheet'!#REF!</definedName>
    <definedName name="BLPR2420040129204514662_2_5" hidden="1">'[4]Spread Sheet'!#REF!</definedName>
    <definedName name="BLPR2420040129204514662_3_5" localSheetId="7" hidden="1">'[4]Spread Sheet'!#REF!</definedName>
    <definedName name="BLPR2420040129204514662_3_5" hidden="1">'[4]Spread Sheet'!#REF!</definedName>
    <definedName name="BLPR2420040129204514662_4_5" localSheetId="7" hidden="1">'[4]Spread Sheet'!#REF!</definedName>
    <definedName name="BLPR2420040129204514662_4_5" hidden="1">'[4]Spread Sheet'!#REF!</definedName>
    <definedName name="BLPR2420040129204514662_5_5" localSheetId="7" hidden="1">'[4]Spread Sheet'!#REF!</definedName>
    <definedName name="BLPR2420040129204514662_5_5" hidden="1">'[4]Spread Sheet'!#REF!</definedName>
    <definedName name="BLPR2520040129204514662" localSheetId="7" hidden="1">'[4]Spread Sheet'!#REF!</definedName>
    <definedName name="BLPR2520040129204514662" hidden="1">'[4]Spread Sheet'!#REF!</definedName>
    <definedName name="BLPR2520040129204514662_1_5" localSheetId="7" hidden="1">'[4]Spread Sheet'!#REF!</definedName>
    <definedName name="BLPR2520040129204514662_1_5" hidden="1">'[4]Spread Sheet'!#REF!</definedName>
    <definedName name="BLPR2520040129204514662_2_5" localSheetId="7" hidden="1">'[4]Spread Sheet'!#REF!</definedName>
    <definedName name="BLPR2520040129204514662_2_5" hidden="1">'[4]Spread Sheet'!#REF!</definedName>
    <definedName name="BLPR2520040129204514662_3_5" localSheetId="7" hidden="1">'[4]Spread Sheet'!#REF!</definedName>
    <definedName name="BLPR2520040129204514662_3_5" hidden="1">'[4]Spread Sheet'!#REF!</definedName>
    <definedName name="BLPR2520040129204514662_4_5" localSheetId="7" hidden="1">'[4]Spread Sheet'!#REF!</definedName>
    <definedName name="BLPR2520040129204514662_4_5" hidden="1">'[4]Spread Sheet'!#REF!</definedName>
    <definedName name="BLPR2520040129204514662_5_5" localSheetId="7" hidden="1">'[4]Spread Sheet'!#REF!</definedName>
    <definedName name="BLPR2520040129204514662_5_5" hidden="1">'[4]Spread Sheet'!#REF!</definedName>
    <definedName name="BLPR2620040129204514662" localSheetId="7" hidden="1">'[4]Spread Sheet'!#REF!</definedName>
    <definedName name="BLPR2620040129204514662" hidden="1">'[4]Spread Sheet'!#REF!</definedName>
    <definedName name="BLPR2620040129204514662_1_5" localSheetId="7" hidden="1">'[4]Spread Sheet'!#REF!</definedName>
    <definedName name="BLPR2620040129204514662_1_5" hidden="1">'[4]Spread Sheet'!#REF!</definedName>
    <definedName name="BLPR2620040129204514662_2_5" localSheetId="7" hidden="1">'[4]Spread Sheet'!#REF!</definedName>
    <definedName name="BLPR2620040129204514662_2_5" hidden="1">'[4]Spread Sheet'!#REF!</definedName>
    <definedName name="BLPR2620040129204514662_3_5" localSheetId="7" hidden="1">'[4]Spread Sheet'!#REF!</definedName>
    <definedName name="BLPR2620040129204514662_3_5" hidden="1">'[4]Spread Sheet'!#REF!</definedName>
    <definedName name="BLPR2620040129204514662_4_5" localSheetId="7" hidden="1">'[4]Spread Sheet'!#REF!</definedName>
    <definedName name="BLPR2620040129204514662_4_5" hidden="1">'[4]Spread Sheet'!#REF!</definedName>
    <definedName name="BLPR2620040129204514662_5_5" localSheetId="7" hidden="1">'[4]Spread Sheet'!#REF!</definedName>
    <definedName name="BLPR2620040129204514662_5_5" hidden="1">'[4]Spread Sheet'!#REF!</definedName>
    <definedName name="BLPR2720040129204514662" localSheetId="7" hidden="1">'[4]Spread Sheet'!#REF!</definedName>
    <definedName name="BLPR2720040129204514662" hidden="1">'[4]Spread Sheet'!#REF!</definedName>
    <definedName name="BLPR2720040129204514662_1_5" localSheetId="7" hidden="1">'[4]Spread Sheet'!#REF!</definedName>
    <definedName name="BLPR2720040129204514662_1_5" hidden="1">'[4]Spread Sheet'!#REF!</definedName>
    <definedName name="BLPR2720040129204514662_2_5" localSheetId="7" hidden="1">'[4]Spread Sheet'!#REF!</definedName>
    <definedName name="BLPR2720040129204514662_2_5" hidden="1">'[4]Spread Sheet'!#REF!</definedName>
    <definedName name="BLPR2720040129204514662_3_5" localSheetId="7" hidden="1">'[4]Spread Sheet'!#REF!</definedName>
    <definedName name="BLPR2720040129204514662_3_5" hidden="1">'[4]Spread Sheet'!#REF!</definedName>
    <definedName name="BLPR2720040129204514662_4_5" localSheetId="7" hidden="1">'[4]Spread Sheet'!#REF!</definedName>
    <definedName name="BLPR2720040129204514662_4_5" hidden="1">'[4]Spread Sheet'!#REF!</definedName>
    <definedName name="BLPR2720040129204514662_5_5" localSheetId="7" hidden="1">'[4]Spread Sheet'!#REF!</definedName>
    <definedName name="BLPR2720040129204514662_5_5" hidden="1">'[4]Spread Sheet'!#REF!</definedName>
    <definedName name="BLPR2820040129204514662" localSheetId="7" hidden="1">'[4]Spread Sheet'!#REF!</definedName>
    <definedName name="BLPR2820040129204514662" hidden="1">'[4]Spread Sheet'!#REF!</definedName>
    <definedName name="BLPR2820040129204514662_1_5" localSheetId="7" hidden="1">'[4]Spread Sheet'!#REF!</definedName>
    <definedName name="BLPR2820040129204514662_1_5" hidden="1">'[4]Spread Sheet'!#REF!</definedName>
    <definedName name="BLPR2820040129204514662_2_5" localSheetId="7" hidden="1">'[4]Spread Sheet'!#REF!</definedName>
    <definedName name="BLPR2820040129204514662_2_5" hidden="1">'[4]Spread Sheet'!#REF!</definedName>
    <definedName name="BLPR2820040129204514662_3_5" localSheetId="7" hidden="1">'[4]Spread Sheet'!#REF!</definedName>
    <definedName name="BLPR2820040129204514662_3_5" hidden="1">'[4]Spread Sheet'!#REF!</definedName>
    <definedName name="BLPR2820040129204514662_4_5" localSheetId="7" hidden="1">'[4]Spread Sheet'!#REF!</definedName>
    <definedName name="BLPR2820040129204514662_4_5" hidden="1">'[4]Spread Sheet'!#REF!</definedName>
    <definedName name="BLPR2820040129204514662_5_5" localSheetId="7" hidden="1">'[4]Spread Sheet'!#REF!</definedName>
    <definedName name="BLPR2820040129204514662_5_5" hidden="1">'[4]Spread Sheet'!#REF!</definedName>
    <definedName name="BLPR2920040129204514662" localSheetId="7" hidden="1">'[4]Spread Sheet'!#REF!</definedName>
    <definedName name="BLPR2920040129204514662" hidden="1">'[4]Spread Sheet'!#REF!</definedName>
    <definedName name="BLPR2920040129204514662_1_5" localSheetId="7" hidden="1">'[4]Spread Sheet'!#REF!</definedName>
    <definedName name="BLPR2920040129204514662_1_5" hidden="1">'[4]Spread Sheet'!#REF!</definedName>
    <definedName name="BLPR2920040129204514662_2_5" localSheetId="7" hidden="1">'[4]Spread Sheet'!#REF!</definedName>
    <definedName name="BLPR2920040129204514662_2_5" hidden="1">'[4]Spread Sheet'!#REF!</definedName>
    <definedName name="BLPR2920040129204514662_3_5" localSheetId="7" hidden="1">'[4]Spread Sheet'!#REF!</definedName>
    <definedName name="BLPR2920040129204514662_3_5" hidden="1">'[4]Spread Sheet'!#REF!</definedName>
    <definedName name="BLPR2920040129204514662_4_5" localSheetId="7" hidden="1">'[4]Spread Sheet'!#REF!</definedName>
    <definedName name="BLPR2920040129204514662_4_5" hidden="1">'[4]Spread Sheet'!#REF!</definedName>
    <definedName name="BLPR2920040129204514662_5_5" localSheetId="7" hidden="1">'[4]Spread Sheet'!#REF!</definedName>
    <definedName name="BLPR2920040129204514662_5_5" hidden="1">'[4]Spread Sheet'!#REF!</definedName>
    <definedName name="BLPR3020040129204514672" localSheetId="7" hidden="1">'[4]Spread Sheet'!#REF!</definedName>
    <definedName name="BLPR3020040129204514672" hidden="1">'[4]Spread Sheet'!#REF!</definedName>
    <definedName name="BLPR3020040129204514672_1_5" localSheetId="7" hidden="1">'[4]Spread Sheet'!#REF!</definedName>
    <definedName name="BLPR3020040129204514672_1_5" hidden="1">'[4]Spread Sheet'!#REF!</definedName>
    <definedName name="BLPR3020040129204514672_2_5" localSheetId="7" hidden="1">'[4]Spread Sheet'!#REF!</definedName>
    <definedName name="BLPR3020040129204514672_2_5" hidden="1">'[4]Spread Sheet'!#REF!</definedName>
    <definedName name="BLPR3020040129204514672_3_5" localSheetId="7" hidden="1">'[4]Spread Sheet'!#REF!</definedName>
    <definedName name="BLPR3020040129204514672_3_5" hidden="1">'[4]Spread Sheet'!#REF!</definedName>
    <definedName name="BLPR3020040129204514672_4_5" localSheetId="7" hidden="1">'[4]Spread Sheet'!#REF!</definedName>
    <definedName name="BLPR3020040129204514672_4_5" hidden="1">'[4]Spread Sheet'!#REF!</definedName>
    <definedName name="BLPR3020040129204514672_5_5" localSheetId="7" hidden="1">'[4]Spread Sheet'!#REF!</definedName>
    <definedName name="BLPR3020040129204514672_5_5" hidden="1">'[4]Spread Sheet'!#REF!</definedName>
    <definedName name="BLPR3120040129204514692" localSheetId="7" hidden="1">'[4]Spread Sheet'!#REF!</definedName>
    <definedName name="BLPR3120040129204514692" hidden="1">'[4]Spread Sheet'!#REF!</definedName>
    <definedName name="BLPR3120040129204514692_1_1" localSheetId="7" hidden="1">'[4]Spread Sheet'!#REF!</definedName>
    <definedName name="BLPR3120040129204514692_1_1" hidden="1">'[4]Spread Sheet'!#REF!</definedName>
    <definedName name="BLPR320040129203645431" localSheetId="7" hidden="1">'[4]Spread Sheet'!#REF!</definedName>
    <definedName name="BLPR320040129203645431" hidden="1">'[4]Spread Sheet'!#REF!</definedName>
    <definedName name="BLPR320040129203645431_1_4" localSheetId="7" hidden="1">'[4]Spread Sheet'!#REF!</definedName>
    <definedName name="BLPR320040129203645431_1_4" hidden="1">'[4]Spread Sheet'!#REF!</definedName>
    <definedName name="BLPR320040129203645431_2_4" localSheetId="7" hidden="1">'[4]Spread Sheet'!#REF!</definedName>
    <definedName name="BLPR320040129203645431_2_4" hidden="1">'[4]Spread Sheet'!#REF!</definedName>
    <definedName name="BLPR320040129203645431_3_4" localSheetId="7" hidden="1">'[4]Spread Sheet'!#REF!</definedName>
    <definedName name="BLPR320040129203645431_3_4" hidden="1">'[4]Spread Sheet'!#REF!</definedName>
    <definedName name="BLPR320040129203645431_4_4" localSheetId="7" hidden="1">'[4]Spread Sheet'!#REF!</definedName>
    <definedName name="BLPR320040129203645431_4_4" hidden="1">'[4]Spread Sheet'!#REF!</definedName>
    <definedName name="BLPR3220040129204514692" localSheetId="7" hidden="1">'[4]Spread Sheet'!#REF!</definedName>
    <definedName name="BLPR3220040129204514692" hidden="1">'[4]Spread Sheet'!#REF!</definedName>
    <definedName name="BLPR3220040129204514692_1_1" localSheetId="7" hidden="1">'[4]Spread Sheet'!#REF!</definedName>
    <definedName name="BLPR3220040129204514692_1_1" hidden="1">'[4]Spread Sheet'!#REF!</definedName>
    <definedName name="BLPR3320040129204514702" localSheetId="7" hidden="1">'[4]Spread Sheet'!#REF!</definedName>
    <definedName name="BLPR3320040129204514702" hidden="1">'[4]Spread Sheet'!#REF!</definedName>
    <definedName name="BLPR3320040129204514702_1_1" localSheetId="7" hidden="1">'[4]Spread Sheet'!#REF!</definedName>
    <definedName name="BLPR3320040129204514702_1_1" hidden="1">'[4]Spread Sheet'!#REF!</definedName>
    <definedName name="BLPR3420040129204514702" localSheetId="7" hidden="1">'[4]Spread Sheet'!#REF!</definedName>
    <definedName name="BLPR3420040129204514702" hidden="1">'[4]Spread Sheet'!#REF!</definedName>
    <definedName name="BLPR3420040129204514702_1_1" localSheetId="7" hidden="1">'[4]Spread Sheet'!#REF!</definedName>
    <definedName name="BLPR3420040129204514702_1_1" hidden="1">'[4]Spread Sheet'!#REF!</definedName>
    <definedName name="BLPR3520040129204514702" localSheetId="7" hidden="1">'[4]Spread Sheet'!#REF!</definedName>
    <definedName name="BLPR3520040129204514702" hidden="1">'[4]Spread Sheet'!#REF!</definedName>
    <definedName name="BLPR3520040129204514702_1_1" localSheetId="7" hidden="1">'[4]Spread Sheet'!#REF!</definedName>
    <definedName name="BLPR3520040129204514702_1_1" hidden="1">'[4]Spread Sheet'!#REF!</definedName>
    <definedName name="BLPR420040129203645431" localSheetId="7" hidden="1">'[4]Spread Sheet'!#REF!</definedName>
    <definedName name="BLPR420040129203645431" hidden="1">'[4]Spread Sheet'!#REF!</definedName>
    <definedName name="BLPR420040129203645431_1_4" localSheetId="7" hidden="1">'[4]Spread Sheet'!#REF!</definedName>
    <definedName name="BLPR420040129203645431_1_4" hidden="1">'[4]Spread Sheet'!#REF!</definedName>
    <definedName name="BLPR420040129203645431_2_4" localSheetId="7" hidden="1">'[4]Spread Sheet'!#REF!</definedName>
    <definedName name="BLPR420040129203645431_2_4" hidden="1">'[4]Spread Sheet'!#REF!</definedName>
    <definedName name="BLPR420040129203645431_3_4" localSheetId="7" hidden="1">'[4]Spread Sheet'!#REF!</definedName>
    <definedName name="BLPR420040129203645431_3_4" hidden="1">'[4]Spread Sheet'!#REF!</definedName>
    <definedName name="BLPR420040129203645431_4_4" localSheetId="7" hidden="1">'[4]Spread Sheet'!#REF!</definedName>
    <definedName name="BLPR420040129203645431_4_4" hidden="1">'[4]Spread Sheet'!#REF!</definedName>
    <definedName name="BLPR520040129203645441" localSheetId="7" hidden="1">'[4]Spread Sheet'!#REF!</definedName>
    <definedName name="BLPR520040129203645441" hidden="1">'[4]Spread Sheet'!#REF!</definedName>
    <definedName name="BLPR520040129203645441_1_4" localSheetId="7" hidden="1">'[4]Spread Sheet'!#REF!</definedName>
    <definedName name="BLPR520040129203645441_1_4" hidden="1">'[4]Spread Sheet'!#REF!</definedName>
    <definedName name="BLPR520040129203645441_2_4" localSheetId="7" hidden="1">'[4]Spread Sheet'!#REF!</definedName>
    <definedName name="BLPR520040129203645441_2_4" hidden="1">'[4]Spread Sheet'!#REF!</definedName>
    <definedName name="BLPR520040129203645441_3_4" localSheetId="7" hidden="1">'[4]Spread Sheet'!#REF!</definedName>
    <definedName name="BLPR520040129203645441_3_4" hidden="1">'[4]Spread Sheet'!#REF!</definedName>
    <definedName name="BLPR520040129203645441_4_4" localSheetId="7" hidden="1">'[4]Spread Sheet'!#REF!</definedName>
    <definedName name="BLPR520040129203645441_4_4" hidden="1">'[4]Spread Sheet'!#REF!</definedName>
    <definedName name="BLPR620040129204149993" localSheetId="7" hidden="1">'[4]Spread Sheet'!#REF!</definedName>
    <definedName name="BLPR620040129204149993" hidden="1">'[4]Spread Sheet'!#REF!</definedName>
    <definedName name="BLPR620040129204149993_1_5" localSheetId="7" hidden="1">'[4]Spread Sheet'!#REF!</definedName>
    <definedName name="BLPR620040129204149993_1_5" hidden="1">'[4]Spread Sheet'!#REF!</definedName>
    <definedName name="BLPR620040129204149993_2_5" localSheetId="7" hidden="1">'[4]Spread Sheet'!#REF!</definedName>
    <definedName name="BLPR620040129204149993_2_5" hidden="1">'[4]Spread Sheet'!#REF!</definedName>
    <definedName name="BLPR620040129204149993_3_5" localSheetId="7" hidden="1">'[4]Spread Sheet'!#REF!</definedName>
    <definedName name="BLPR620040129204149993_3_5" hidden="1">'[4]Spread Sheet'!#REF!</definedName>
    <definedName name="BLPR620040129204149993_4_5" localSheetId="7" hidden="1">'[4]Spread Sheet'!#REF!</definedName>
    <definedName name="BLPR620040129204149993_4_5" hidden="1">'[4]Spread Sheet'!#REF!</definedName>
    <definedName name="BLPR620040129204149993_5_5" localSheetId="7" hidden="1">'[4]Spread Sheet'!#REF!</definedName>
    <definedName name="BLPR620040129204149993_5_5" hidden="1">'[4]Spread Sheet'!#REF!</definedName>
    <definedName name="BLPR720040129204514631" localSheetId="7" hidden="1">'[4]Spread Sheet'!#REF!</definedName>
    <definedName name="BLPR720040129204514631" hidden="1">'[4]Spread Sheet'!#REF!</definedName>
    <definedName name="BLPR720040129204514631_1_5" localSheetId="7" hidden="1">'[4]Spread Sheet'!#REF!</definedName>
    <definedName name="BLPR720040129204514631_1_5" hidden="1">'[4]Spread Sheet'!#REF!</definedName>
    <definedName name="BLPR720040129204514631_2_5" localSheetId="7" hidden="1">'[4]Spread Sheet'!#REF!</definedName>
    <definedName name="BLPR720040129204514631_2_5" hidden="1">'[4]Spread Sheet'!#REF!</definedName>
    <definedName name="BLPR720040129204514631_3_5" localSheetId="7" hidden="1">'[4]Spread Sheet'!#REF!</definedName>
    <definedName name="BLPR720040129204514631_3_5" hidden="1">'[4]Spread Sheet'!#REF!</definedName>
    <definedName name="BLPR720040129204514631_4_5" localSheetId="7" hidden="1">'[4]Spread Sheet'!#REF!</definedName>
    <definedName name="BLPR720040129204514631_4_5" hidden="1">'[4]Spread Sheet'!#REF!</definedName>
    <definedName name="BLPR720040129204514631_5_5" localSheetId="7" hidden="1">'[4]Spread Sheet'!#REF!</definedName>
    <definedName name="BLPR720040129204514631_5_5" hidden="1">'[4]Spread Sheet'!#REF!</definedName>
    <definedName name="BLPR820040129204514642" localSheetId="7" hidden="1">'[4]Spread Sheet'!#REF!</definedName>
    <definedName name="BLPR820040129204514642" hidden="1">'[4]Spread Sheet'!#REF!</definedName>
    <definedName name="BLPR820040129204514642_1_5" localSheetId="7" hidden="1">'[4]Spread Sheet'!#REF!</definedName>
    <definedName name="BLPR820040129204514642_1_5" hidden="1">'[4]Spread Sheet'!#REF!</definedName>
    <definedName name="BLPR820040129204514642_2_5" localSheetId="7" hidden="1">'[4]Spread Sheet'!#REF!</definedName>
    <definedName name="BLPR820040129204514642_2_5" hidden="1">'[4]Spread Sheet'!#REF!</definedName>
    <definedName name="BLPR820040129204514642_3_5" localSheetId="7" hidden="1">'[4]Spread Sheet'!#REF!</definedName>
    <definedName name="BLPR820040129204514642_3_5" hidden="1">'[4]Spread Sheet'!#REF!</definedName>
    <definedName name="BLPR820040129204514642_4_5" localSheetId="7" hidden="1">'[4]Spread Sheet'!#REF!</definedName>
    <definedName name="BLPR820040129204514642_4_5" hidden="1">'[4]Spread Sheet'!#REF!</definedName>
    <definedName name="BLPR820040129204514642_5_5" localSheetId="7" hidden="1">'[4]Spread Sheet'!#REF!</definedName>
    <definedName name="BLPR820040129204514642_5_5" hidden="1">'[4]Spread Sheet'!#REF!</definedName>
    <definedName name="BLPR920040129204514642" localSheetId="7" hidden="1">'[4]Spread Sheet'!#REF!</definedName>
    <definedName name="BLPR920040129204514642" hidden="1">'[4]Spread Sheet'!#REF!</definedName>
    <definedName name="BLPR920040129204514642_1_5" localSheetId="7" hidden="1">'[4]Spread Sheet'!#REF!</definedName>
    <definedName name="BLPR920040129204514642_1_5" hidden="1">'[4]Spread Sheet'!#REF!</definedName>
    <definedName name="BLPR920040129204514642_2_5" localSheetId="7" hidden="1">'[4]Spread Sheet'!#REF!</definedName>
    <definedName name="BLPR920040129204514642_2_5" hidden="1">'[4]Spread Sheet'!#REF!</definedName>
    <definedName name="BLPR920040129204514642_3_5" localSheetId="7" hidden="1">'[4]Spread Sheet'!#REF!</definedName>
    <definedName name="BLPR920040129204514642_3_5" hidden="1">'[4]Spread Sheet'!#REF!</definedName>
    <definedName name="BLPR920040129204514642_4_5" localSheetId="7" hidden="1">'[4]Spread Sheet'!#REF!</definedName>
    <definedName name="BLPR920040129204514642_4_5" hidden="1">'[4]Spread Sheet'!#REF!</definedName>
    <definedName name="BLPR920040129204514642_5_5" localSheetId="7" hidden="1">'[4]Spread Sheet'!#REF!</definedName>
    <definedName name="BLPR920040129204514642_5_5" hidden="1">'[4]Spread Sheet'!#REF!</definedName>
    <definedName name="BNE_MESSAGES_HIDDEN" localSheetId="7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1">'Q1 p.1 - Rate Base True-up Adj'!$A$1:$I$29,'Q1 p.2 - Rate of Return Adj'!$A$1:$I$29</definedName>
    <definedName name="_xlnm.Print_Area" localSheetId="3">'Q1 p.3 - ROR (Mar-May)'!$A$1:$T$46</definedName>
    <definedName name="_xlnm.Print_Area" localSheetId="4">'Q1 p.4 - ROR (Jun-Aug)'!$A$1:$T$59</definedName>
    <definedName name="_xlnm.Print_Area" localSheetId="7">'Q2 p.1 - Retail E(m)'!$A$1:$H$31,'Q2 p.2 - Detailed Over-Under'!$A$1:$L$17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7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I27" i="14" l="1"/>
  <c r="I26" i="14"/>
  <c r="I25" i="14"/>
  <c r="I24" i="14"/>
  <c r="I23" i="14"/>
  <c r="I22" i="14"/>
  <c r="I14" i="14"/>
  <c r="I13" i="14"/>
  <c r="I12" i="14"/>
  <c r="I11" i="14"/>
  <c r="I10" i="14"/>
  <c r="I9" i="14"/>
  <c r="G14" i="14"/>
  <c r="G13" i="14"/>
  <c r="G12" i="14"/>
  <c r="G11" i="14"/>
  <c r="G10" i="14"/>
  <c r="G9" i="14"/>
  <c r="L15" i="15" l="1"/>
  <c r="L14" i="15"/>
  <c r="L13" i="15"/>
  <c r="L12" i="15"/>
  <c r="E15" i="15"/>
  <c r="E14" i="15"/>
  <c r="E13" i="15"/>
  <c r="E12" i="15"/>
  <c r="E11" i="15"/>
  <c r="E10" i="15"/>
  <c r="B15" i="15"/>
  <c r="E16" i="15" l="1"/>
  <c r="N70" i="17" l="1"/>
  <c r="L70" i="17"/>
  <c r="J70" i="17"/>
  <c r="F70" i="17"/>
  <c r="P68" i="17"/>
  <c r="R68" i="17" s="1"/>
  <c r="H68" i="17"/>
  <c r="R67" i="17"/>
  <c r="H67" i="17"/>
  <c r="P67" i="17" s="1"/>
  <c r="P66" i="17"/>
  <c r="H66" i="17"/>
  <c r="H70" i="17" s="1"/>
  <c r="P52" i="17"/>
  <c r="N52" i="17"/>
  <c r="L52" i="17"/>
  <c r="J52" i="17"/>
  <c r="H52" i="17"/>
  <c r="F52" i="17"/>
  <c r="P51" i="17"/>
  <c r="P50" i="17"/>
  <c r="N48" i="17"/>
  <c r="L48" i="17"/>
  <c r="J48" i="17"/>
  <c r="J54" i="17" s="1"/>
  <c r="J73" i="17" s="1"/>
  <c r="H48" i="17"/>
  <c r="P47" i="17"/>
  <c r="P46" i="17"/>
  <c r="P45" i="17"/>
  <c r="P44" i="17"/>
  <c r="P48" i="17" s="1"/>
  <c r="N41" i="17"/>
  <c r="L41" i="17"/>
  <c r="J41" i="17"/>
  <c r="F41" i="17"/>
  <c r="P39" i="17"/>
  <c r="P37" i="17"/>
  <c r="P36" i="17"/>
  <c r="R36" i="17" s="1"/>
  <c r="D36" i="17"/>
  <c r="H35" i="17"/>
  <c r="P35" i="17" s="1"/>
  <c r="R35" i="17" s="1"/>
  <c r="P34" i="17"/>
  <c r="R33" i="17"/>
  <c r="P33" i="17"/>
  <c r="D33" i="17"/>
  <c r="P32" i="17"/>
  <c r="R32" i="17" s="1"/>
  <c r="H32" i="17"/>
  <c r="P31" i="17"/>
  <c r="P30" i="17"/>
  <c r="R30" i="17" s="1"/>
  <c r="D30" i="17"/>
  <c r="H29" i="17"/>
  <c r="P29" i="17" s="1"/>
  <c r="R29" i="17" s="1"/>
  <c r="P28" i="17"/>
  <c r="R28" i="17" s="1"/>
  <c r="D28" i="17"/>
  <c r="H27" i="17"/>
  <c r="H41" i="17" s="1"/>
  <c r="N25" i="17"/>
  <c r="N54" i="17" s="1"/>
  <c r="N73" i="17" s="1"/>
  <c r="L25" i="17"/>
  <c r="L54" i="17" s="1"/>
  <c r="L73" i="17" s="1"/>
  <c r="J25" i="17"/>
  <c r="F25" i="17"/>
  <c r="F54" i="17" s="1"/>
  <c r="F73" i="17" s="1"/>
  <c r="P23" i="17"/>
  <c r="P22" i="17"/>
  <c r="R22" i="17" s="1"/>
  <c r="H22" i="17"/>
  <c r="H21" i="17"/>
  <c r="P21" i="17" s="1"/>
  <c r="R21" i="17" s="1"/>
  <c r="P20" i="17"/>
  <c r="R20" i="17" s="1"/>
  <c r="H20" i="17"/>
  <c r="H19" i="17"/>
  <c r="P19" i="17" s="1"/>
  <c r="R19" i="17" s="1"/>
  <c r="P18" i="17"/>
  <c r="R18" i="17" s="1"/>
  <c r="H18" i="17"/>
  <c r="H17" i="17"/>
  <c r="P17" i="17" s="1"/>
  <c r="R17" i="17" s="1"/>
  <c r="P16" i="17"/>
  <c r="R16" i="17" s="1"/>
  <c r="H16" i="17"/>
  <c r="H15" i="17"/>
  <c r="P15" i="17" s="1"/>
  <c r="R15" i="17" s="1"/>
  <c r="P14" i="17"/>
  <c r="R14" i="17" s="1"/>
  <c r="H14" i="17"/>
  <c r="H13" i="17"/>
  <c r="P13" i="17" s="1"/>
  <c r="R13" i="17" s="1"/>
  <c r="P12" i="17"/>
  <c r="H12" i="17"/>
  <c r="R52" i="17" l="1"/>
  <c r="P25" i="17"/>
  <c r="R48" i="17"/>
  <c r="P70" i="17"/>
  <c r="R70" i="17" s="1"/>
  <c r="R12" i="17"/>
  <c r="P27" i="17"/>
  <c r="H25" i="17"/>
  <c r="H54" i="17" s="1"/>
  <c r="H73" i="17" s="1"/>
  <c r="R66" i="17"/>
  <c r="R27" i="17" l="1"/>
  <c r="P41" i="17"/>
  <c r="R41" i="17" s="1"/>
  <c r="P54" i="17"/>
  <c r="R25" i="17"/>
  <c r="P73" i="17" l="1"/>
  <c r="R73" i="17" s="1"/>
  <c r="R54" i="17"/>
  <c r="L10" i="15" l="1"/>
  <c r="L11" i="15"/>
  <c r="B12" i="15" l="1"/>
  <c r="C40" i="10" l="1"/>
  <c r="C25" i="10"/>
  <c r="AE28" i="13" l="1"/>
  <c r="AE27" i="13"/>
  <c r="AE26" i="13"/>
  <c r="AE25" i="13"/>
  <c r="AE24" i="13"/>
  <c r="AE23" i="13"/>
  <c r="AD28" i="13"/>
  <c r="AD27" i="13"/>
  <c r="AD26" i="13"/>
  <c r="AD25" i="13"/>
  <c r="AD24" i="13"/>
  <c r="AD23" i="13"/>
  <c r="D11" i="15" l="1"/>
  <c r="D12" i="15"/>
  <c r="D13" i="15"/>
  <c r="D14" i="15"/>
  <c r="D15" i="15"/>
  <c r="D10" i="15"/>
  <c r="D6" i="15" l="1"/>
  <c r="E6" i="15" s="1"/>
  <c r="F6" i="15" s="1"/>
  <c r="G6" i="15" s="1"/>
  <c r="H6" i="15" s="1"/>
  <c r="I6" i="15" s="1"/>
  <c r="J6" i="15" s="1"/>
  <c r="K6" i="15" s="1"/>
  <c r="L6" i="15" s="1"/>
  <c r="A14" i="16" l="1"/>
  <c r="A13" i="16"/>
  <c r="A12" i="16"/>
  <c r="A11" i="16"/>
  <c r="A10" i="16"/>
  <c r="A9" i="16"/>
  <c r="H1" i="16" l="1"/>
  <c r="A1" i="16"/>
  <c r="R42" i="18" l="1"/>
  <c r="C42" i="18"/>
  <c r="R26" i="18"/>
  <c r="R41" i="18" s="1"/>
  <c r="R25" i="18"/>
  <c r="R40" i="18" s="1"/>
  <c r="C26" i="18"/>
  <c r="C41" i="18" s="1"/>
  <c r="C25" i="18"/>
  <c r="C40" i="18" s="1"/>
  <c r="A1" i="17" l="1"/>
  <c r="F53" i="18"/>
  <c r="F55" i="18" s="1"/>
  <c r="H15" i="18" s="1"/>
  <c r="C46" i="18"/>
  <c r="B46" i="18"/>
  <c r="H40" i="18"/>
  <c r="H42" i="18" s="1"/>
  <c r="J42" i="18" s="1"/>
  <c r="J40" i="18"/>
  <c r="H27" i="18"/>
  <c r="J27" i="18" s="1"/>
  <c r="J15" i="18"/>
  <c r="A1" i="18"/>
  <c r="R41" i="10"/>
  <c r="R40" i="10"/>
  <c r="C41" i="10"/>
  <c r="R26" i="10"/>
  <c r="R25" i="10"/>
  <c r="C26" i="10"/>
  <c r="N70" i="11"/>
  <c r="L70" i="11"/>
  <c r="J70" i="11"/>
  <c r="F70" i="11"/>
  <c r="P68" i="11"/>
  <c r="R68" i="11" s="1"/>
  <c r="H68" i="11"/>
  <c r="R67" i="11"/>
  <c r="H67" i="11"/>
  <c r="P67" i="11" s="1"/>
  <c r="P66" i="11"/>
  <c r="P70" i="11" s="1"/>
  <c r="R70" i="11" s="1"/>
  <c r="H66" i="11"/>
  <c r="H70" i="11" s="1"/>
  <c r="P52" i="11"/>
  <c r="R52" i="11" s="1"/>
  <c r="N52" i="11"/>
  <c r="L52" i="11"/>
  <c r="J52" i="11"/>
  <c r="H52" i="11"/>
  <c r="F52" i="11"/>
  <c r="P51" i="11"/>
  <c r="P50" i="11"/>
  <c r="N48" i="11"/>
  <c r="L48" i="11"/>
  <c r="J48" i="11"/>
  <c r="J54" i="11" s="1"/>
  <c r="J73" i="11" s="1"/>
  <c r="H48" i="11"/>
  <c r="P47" i="11"/>
  <c r="P46" i="11"/>
  <c r="P45" i="11"/>
  <c r="P44" i="11"/>
  <c r="P48" i="11" s="1"/>
  <c r="N41" i="11"/>
  <c r="N54" i="11" s="1"/>
  <c r="N73" i="11" s="1"/>
  <c r="L41" i="11"/>
  <c r="J41" i="11"/>
  <c r="F41" i="11"/>
  <c r="F54" i="11" s="1"/>
  <c r="F73" i="11" s="1"/>
  <c r="P39" i="11"/>
  <c r="P37" i="11"/>
  <c r="P36" i="11"/>
  <c r="R36" i="11" s="1"/>
  <c r="D36" i="11"/>
  <c r="H35" i="11"/>
  <c r="P35" i="11" s="1"/>
  <c r="R35" i="11" s="1"/>
  <c r="P34" i="11"/>
  <c r="R33" i="11"/>
  <c r="P33" i="11"/>
  <c r="D33" i="11"/>
  <c r="P32" i="11"/>
  <c r="R32" i="11" s="1"/>
  <c r="H32" i="11"/>
  <c r="P31" i="11"/>
  <c r="P30" i="11"/>
  <c r="R30" i="11" s="1"/>
  <c r="D30" i="11"/>
  <c r="H29" i="11"/>
  <c r="P29" i="11" s="1"/>
  <c r="R29" i="11" s="1"/>
  <c r="P28" i="11"/>
  <c r="R28" i="11" s="1"/>
  <c r="D28" i="11"/>
  <c r="H27" i="11"/>
  <c r="H41" i="11" s="1"/>
  <c r="N25" i="11"/>
  <c r="L25" i="11"/>
  <c r="L54" i="11" s="1"/>
  <c r="L73" i="11" s="1"/>
  <c r="J25" i="11"/>
  <c r="F25" i="11"/>
  <c r="P23" i="11"/>
  <c r="P22" i="11"/>
  <c r="R22" i="11" s="1"/>
  <c r="H22" i="11"/>
  <c r="H21" i="11"/>
  <c r="P21" i="11" s="1"/>
  <c r="R21" i="11" s="1"/>
  <c r="P20" i="11"/>
  <c r="R20" i="11" s="1"/>
  <c r="H20" i="11"/>
  <c r="H19" i="11"/>
  <c r="P19" i="11" s="1"/>
  <c r="R19" i="11" s="1"/>
  <c r="P18" i="11"/>
  <c r="R18" i="11" s="1"/>
  <c r="H18" i="11"/>
  <c r="H17" i="11"/>
  <c r="P17" i="11" s="1"/>
  <c r="R17" i="11" s="1"/>
  <c r="P16" i="11"/>
  <c r="R16" i="11" s="1"/>
  <c r="H16" i="11"/>
  <c r="H15" i="11"/>
  <c r="P15" i="11" s="1"/>
  <c r="R15" i="11" s="1"/>
  <c r="P14" i="11"/>
  <c r="R14" i="11" s="1"/>
  <c r="H14" i="11"/>
  <c r="H13" i="11"/>
  <c r="P13" i="11" s="1"/>
  <c r="R13" i="11" s="1"/>
  <c r="P12" i="11"/>
  <c r="P25" i="11" s="1"/>
  <c r="H12" i="11"/>
  <c r="C14" i="18" l="1"/>
  <c r="C28" i="18"/>
  <c r="F25" i="18" s="1"/>
  <c r="F40" i="18" s="1"/>
  <c r="C43" i="18"/>
  <c r="T15" i="18"/>
  <c r="J25" i="18"/>
  <c r="H26" i="18"/>
  <c r="J26" i="18" s="1"/>
  <c r="H41" i="18"/>
  <c r="J41" i="18" s="1"/>
  <c r="R25" i="11"/>
  <c r="R48" i="11"/>
  <c r="R12" i="11"/>
  <c r="P27" i="11"/>
  <c r="H25" i="11"/>
  <c r="H54" i="11" s="1"/>
  <c r="H73" i="11" s="1"/>
  <c r="R66" i="11"/>
  <c r="J40" i="10"/>
  <c r="H23" i="14"/>
  <c r="H24" i="14"/>
  <c r="H27" i="14"/>
  <c r="H22" i="14"/>
  <c r="H10" i="14"/>
  <c r="H11" i="14"/>
  <c r="H12" i="14"/>
  <c r="H25" i="14" s="1"/>
  <c r="H13" i="14"/>
  <c r="H26" i="14" s="1"/>
  <c r="H14" i="14"/>
  <c r="H9" i="14"/>
  <c r="F23" i="14"/>
  <c r="F24" i="14"/>
  <c r="F25" i="14"/>
  <c r="F26" i="14"/>
  <c r="F27" i="14"/>
  <c r="F22" i="14"/>
  <c r="F10" i="14"/>
  <c r="F11" i="14"/>
  <c r="F12" i="14"/>
  <c r="F13" i="14"/>
  <c r="F14" i="14"/>
  <c r="F9" i="14"/>
  <c r="C23" i="14"/>
  <c r="C24" i="14"/>
  <c r="C25" i="14"/>
  <c r="C26" i="14"/>
  <c r="C27" i="14"/>
  <c r="C22" i="14"/>
  <c r="C10" i="14"/>
  <c r="C11" i="14"/>
  <c r="C12" i="14"/>
  <c r="C13" i="14"/>
  <c r="C14" i="14"/>
  <c r="C9" i="14"/>
  <c r="E27" i="2"/>
  <c r="E26" i="2"/>
  <c r="E25" i="2"/>
  <c r="E24" i="2"/>
  <c r="E23" i="2"/>
  <c r="E22" i="2"/>
  <c r="E14" i="2"/>
  <c r="E13" i="2"/>
  <c r="E12" i="2"/>
  <c r="E11" i="2"/>
  <c r="E10" i="2"/>
  <c r="E9" i="2"/>
  <c r="F53" i="10"/>
  <c r="C13" i="18" l="1"/>
  <c r="C12" i="18"/>
  <c r="J28" i="18"/>
  <c r="F26" i="18"/>
  <c r="J43" i="18"/>
  <c r="R27" i="11"/>
  <c r="P41" i="11"/>
  <c r="L28" i="13"/>
  <c r="F27" i="18" l="1"/>
  <c r="F41" i="18"/>
  <c r="C15" i="18"/>
  <c r="F12" i="18" s="1"/>
  <c r="R41" i="11"/>
  <c r="P54" i="11"/>
  <c r="L27" i="13"/>
  <c r="F28" i="18" l="1"/>
  <c r="F42" i="18"/>
  <c r="F43" i="18" s="1"/>
  <c r="L12" i="18"/>
  <c r="R12" i="18"/>
  <c r="J12" i="18"/>
  <c r="P12" i="18"/>
  <c r="H12" i="18"/>
  <c r="N12" i="18"/>
  <c r="F13" i="18"/>
  <c r="P73" i="11"/>
  <c r="R73" i="11" s="1"/>
  <c r="R54" i="11"/>
  <c r="L26" i="13"/>
  <c r="L25" i="13"/>
  <c r="R13" i="18" l="1"/>
  <c r="R14" i="18" s="1"/>
  <c r="J13" i="18"/>
  <c r="J14" i="18" s="1"/>
  <c r="P13" i="18"/>
  <c r="P14" i="18" s="1"/>
  <c r="H13" i="18"/>
  <c r="H14" i="18" s="1"/>
  <c r="N13" i="18"/>
  <c r="N14" i="18" s="1"/>
  <c r="L13" i="18"/>
  <c r="L14" i="18" s="1"/>
  <c r="T12" i="18"/>
  <c r="F14" i="18"/>
  <c r="F15" i="18" s="1"/>
  <c r="L24" i="13"/>
  <c r="K24" i="13"/>
  <c r="L25" i="18" l="1"/>
  <c r="L40" i="18"/>
  <c r="T14" i="18"/>
  <c r="T13" i="18"/>
  <c r="L23" i="13"/>
  <c r="L42" i="18" l="1"/>
  <c r="L27" i="18"/>
  <c r="N27" i="18" s="1"/>
  <c r="L41" i="18"/>
  <c r="N41" i="18" s="1"/>
  <c r="L26" i="18"/>
  <c r="N26" i="18" s="1"/>
  <c r="N42" i="18"/>
  <c r="N40" i="18"/>
  <c r="N25" i="18"/>
  <c r="A9" i="2"/>
  <c r="L28" i="18" l="1"/>
  <c r="N43" i="18"/>
  <c r="P40" i="18" s="1"/>
  <c r="L43" i="18"/>
  <c r="N28" i="18"/>
  <c r="P25" i="18" s="1"/>
  <c r="F9" i="16"/>
  <c r="F10" i="16"/>
  <c r="F11" i="16"/>
  <c r="F12" i="16"/>
  <c r="F13" i="16"/>
  <c r="F14" i="16"/>
  <c r="E10" i="16"/>
  <c r="E11" i="16"/>
  <c r="E12" i="16"/>
  <c r="E13" i="16"/>
  <c r="E14" i="16"/>
  <c r="E9" i="16"/>
  <c r="P41" i="18" l="1"/>
  <c r="T41" i="18" s="1"/>
  <c r="P26" i="18"/>
  <c r="T26" i="18" s="1"/>
  <c r="T25" i="18"/>
  <c r="T40" i="18"/>
  <c r="H26" i="10"/>
  <c r="C9" i="2"/>
  <c r="N15" i="10"/>
  <c r="R15" i="10"/>
  <c r="P15" i="10"/>
  <c r="L15" i="10"/>
  <c r="J15" i="10"/>
  <c r="F55" i="10"/>
  <c r="H15" i="10" s="1"/>
  <c r="C46" i="10"/>
  <c r="B46" i="10"/>
  <c r="P42" i="18" l="1"/>
  <c r="T42" i="18" s="1"/>
  <c r="T43" i="18" s="1"/>
  <c r="T44" i="18" s="1"/>
  <c r="N26" i="13" s="1"/>
  <c r="P27" i="18"/>
  <c r="T27" i="18" s="1"/>
  <c r="T28" i="18" s="1"/>
  <c r="T29" i="18" s="1"/>
  <c r="J26" i="13" s="1"/>
  <c r="J27" i="13" s="1"/>
  <c r="J28" i="13" s="1"/>
  <c r="T15" i="10"/>
  <c r="H27" i="10"/>
  <c r="J27" i="10" s="1"/>
  <c r="C14" i="10" s="1"/>
  <c r="P43" i="18" l="1"/>
  <c r="P28" i="18"/>
  <c r="B23" i="13"/>
  <c r="C23" i="13" s="1"/>
  <c r="C10" i="3"/>
  <c r="D9" i="2"/>
  <c r="H9" i="2"/>
  <c r="C10" i="2"/>
  <c r="C11" i="3" s="1"/>
  <c r="D10" i="2"/>
  <c r="H10" i="2"/>
  <c r="H23" i="2" s="1"/>
  <c r="G25" i="12" s="1"/>
  <c r="C11" i="2"/>
  <c r="C12" i="3" s="1"/>
  <c r="D11" i="2"/>
  <c r="H11" i="2"/>
  <c r="G12" i="12" s="1"/>
  <c r="C12" i="2"/>
  <c r="D12" i="2"/>
  <c r="H12" i="2"/>
  <c r="G13" i="12" s="1"/>
  <c r="C13" i="2"/>
  <c r="D13" i="2"/>
  <c r="H13" i="2"/>
  <c r="C14" i="2"/>
  <c r="D14" i="2"/>
  <c r="H14" i="2"/>
  <c r="H27" i="2" s="1"/>
  <c r="G29" i="12" s="1"/>
  <c r="C22" i="2"/>
  <c r="D22" i="2"/>
  <c r="C23" i="2"/>
  <c r="D23" i="2"/>
  <c r="C24" i="2"/>
  <c r="C26" i="3" s="1"/>
  <c r="D24" i="2"/>
  <c r="H24" i="2"/>
  <c r="G26" i="12" s="1"/>
  <c r="C25" i="2"/>
  <c r="C27" i="3" s="1"/>
  <c r="D25" i="2"/>
  <c r="H25" i="2"/>
  <c r="G27" i="12" s="1"/>
  <c r="C26" i="2"/>
  <c r="D26" i="2"/>
  <c r="C27" i="2"/>
  <c r="D27" i="2"/>
  <c r="B10" i="12"/>
  <c r="C10" i="12" s="1"/>
  <c r="E10" i="12"/>
  <c r="B11" i="12"/>
  <c r="C11" i="12" s="1"/>
  <c r="E11" i="12"/>
  <c r="B12" i="12"/>
  <c r="C12" i="12" s="1"/>
  <c r="E12" i="12"/>
  <c r="B13" i="12"/>
  <c r="C13" i="12" s="1"/>
  <c r="E13" i="12"/>
  <c r="B14" i="12"/>
  <c r="C14" i="12" s="1"/>
  <c r="E14" i="12"/>
  <c r="B15" i="12"/>
  <c r="C15" i="12" s="1"/>
  <c r="E15" i="12"/>
  <c r="B24" i="12"/>
  <c r="C24" i="12" s="1"/>
  <c r="E24" i="12"/>
  <c r="B25" i="12"/>
  <c r="C25" i="12" s="1"/>
  <c r="E25" i="12"/>
  <c r="B26" i="12"/>
  <c r="C26" i="12" s="1"/>
  <c r="E26" i="12"/>
  <c r="B27" i="12"/>
  <c r="C27" i="12" s="1"/>
  <c r="E27" i="12"/>
  <c r="B28" i="12"/>
  <c r="C28" i="12" s="1"/>
  <c r="E28" i="12"/>
  <c r="B29" i="12"/>
  <c r="C29" i="12" s="1"/>
  <c r="E29" i="12"/>
  <c r="C10" i="15"/>
  <c r="F10" i="15"/>
  <c r="G10" i="15"/>
  <c r="H10" i="15"/>
  <c r="J10" i="15"/>
  <c r="K10" i="15"/>
  <c r="C11" i="15"/>
  <c r="F11" i="15"/>
  <c r="G11" i="15"/>
  <c r="H11" i="15"/>
  <c r="J11" i="15"/>
  <c r="K11" i="15"/>
  <c r="C12" i="15"/>
  <c r="F12" i="15"/>
  <c r="G12" i="15"/>
  <c r="H12" i="15"/>
  <c r="J12" i="15"/>
  <c r="K12" i="15"/>
  <c r="C13" i="15"/>
  <c r="F13" i="15"/>
  <c r="G13" i="15"/>
  <c r="H13" i="15"/>
  <c r="J13" i="15"/>
  <c r="K13" i="15"/>
  <c r="C14" i="15"/>
  <c r="F14" i="15"/>
  <c r="G14" i="15"/>
  <c r="H14" i="15"/>
  <c r="J14" i="15"/>
  <c r="K14" i="15"/>
  <c r="C15" i="15"/>
  <c r="F15" i="15"/>
  <c r="G15" i="15"/>
  <c r="H15" i="15"/>
  <c r="J15" i="15"/>
  <c r="K15" i="15"/>
  <c r="C14" i="3" l="1"/>
  <c r="B24" i="13"/>
  <c r="B25" i="13" s="1"/>
  <c r="C25" i="13" s="1"/>
  <c r="F29" i="3"/>
  <c r="C29" i="3"/>
  <c r="C24" i="3"/>
  <c r="G15" i="12"/>
  <c r="C13" i="3"/>
  <c r="F13" i="3"/>
  <c r="J16" i="15"/>
  <c r="H16" i="15"/>
  <c r="K16" i="15"/>
  <c r="F24" i="3"/>
  <c r="F24" i="2"/>
  <c r="G24" i="2" s="1"/>
  <c r="I24" i="2" s="1"/>
  <c r="F25" i="2"/>
  <c r="G25" i="2" s="1"/>
  <c r="I25" i="2" s="1"/>
  <c r="F14" i="2"/>
  <c r="G14" i="2" s="1"/>
  <c r="I14" i="2" s="1"/>
  <c r="F14" i="3"/>
  <c r="F28" i="3"/>
  <c r="F25" i="3"/>
  <c r="F10" i="3"/>
  <c r="C28" i="3"/>
  <c r="G11" i="12"/>
  <c r="C15" i="3"/>
  <c r="H26" i="2"/>
  <c r="G28" i="12" s="1"/>
  <c r="G14" i="12"/>
  <c r="C25" i="3"/>
  <c r="G10" i="12"/>
  <c r="H22" i="2"/>
  <c r="G24" i="12" s="1"/>
  <c r="F12" i="2" l="1"/>
  <c r="G12" i="2" s="1"/>
  <c r="I12" i="2" s="1"/>
  <c r="F27" i="2"/>
  <c r="G27" i="2" s="1"/>
  <c r="I27" i="2" s="1"/>
  <c r="F22" i="2"/>
  <c r="G22" i="2" s="1"/>
  <c r="I22" i="2" s="1"/>
  <c r="C24" i="13"/>
  <c r="B26" i="13"/>
  <c r="B27" i="13" s="1"/>
  <c r="F13" i="2"/>
  <c r="G13" i="2" s="1"/>
  <c r="I13" i="2" s="1"/>
  <c r="F9" i="2"/>
  <c r="G9" i="2" s="1"/>
  <c r="I9" i="2" s="1"/>
  <c r="F27" i="3"/>
  <c r="F26" i="3"/>
  <c r="F23" i="2"/>
  <c r="G23" i="2" s="1"/>
  <c r="I23" i="2" s="1"/>
  <c r="F15" i="3"/>
  <c r="F10" i="2"/>
  <c r="G10" i="2" s="1"/>
  <c r="I10" i="2" s="1"/>
  <c r="F11" i="3"/>
  <c r="F12" i="3"/>
  <c r="F11" i="2"/>
  <c r="G11" i="2" s="1"/>
  <c r="I11" i="2" s="1"/>
  <c r="F26" i="2"/>
  <c r="G26" i="2" s="1"/>
  <c r="I26" i="2" s="1"/>
  <c r="C26" i="13" l="1"/>
  <c r="C27" i="13"/>
  <c r="B28" i="13"/>
  <c r="C28" i="13" s="1"/>
  <c r="I15" i="2"/>
  <c r="G15" i="2"/>
  <c r="G28" i="2"/>
  <c r="I28" i="2"/>
  <c r="D9" i="16" l="1"/>
  <c r="D10" i="16"/>
  <c r="D11" i="16"/>
  <c r="D12" i="16"/>
  <c r="D13" i="16"/>
  <c r="D14" i="16"/>
  <c r="C10" i="16"/>
  <c r="C11" i="16"/>
  <c r="C12" i="16"/>
  <c r="C13" i="16"/>
  <c r="C14" i="16"/>
  <c r="C9" i="16"/>
  <c r="H9" i="16" l="1"/>
  <c r="H10" i="16"/>
  <c r="H11" i="16"/>
  <c r="H12" i="16"/>
  <c r="H13" i="16"/>
  <c r="H14" i="16"/>
  <c r="G10" i="16"/>
  <c r="G11" i="16"/>
  <c r="G12" i="16"/>
  <c r="G13" i="16"/>
  <c r="G14" i="16"/>
  <c r="G9" i="16"/>
  <c r="C25" i="16" l="1"/>
  <c r="E21" i="16"/>
  <c r="D22" i="16"/>
  <c r="C24" i="16"/>
  <c r="D25" i="16"/>
  <c r="F21" i="16"/>
  <c r="E23" i="16"/>
  <c r="D20" i="16"/>
  <c r="E20" i="16"/>
  <c r="E22" i="16"/>
  <c r="F23" i="16"/>
  <c r="D24" i="16"/>
  <c r="E24" i="16"/>
  <c r="E25" i="16"/>
  <c r="G25" i="16" s="1"/>
  <c r="F22" i="16"/>
  <c r="H22" i="16" s="1"/>
  <c r="C22" i="16"/>
  <c r="G22" i="16" s="1"/>
  <c r="F24" i="16"/>
  <c r="C23" i="16"/>
  <c r="G23" i="16" s="1"/>
  <c r="F20" i="16"/>
  <c r="H20" i="16" s="1"/>
  <c r="D23" i="16"/>
  <c r="H23" i="16" s="1"/>
  <c r="F25" i="16"/>
  <c r="H25" i="16" s="1"/>
  <c r="C21" i="16"/>
  <c r="D21" i="16"/>
  <c r="H21" i="16" s="1"/>
  <c r="C20" i="16"/>
  <c r="G20" i="16" s="1"/>
  <c r="G21" i="16" l="1"/>
  <c r="H24" i="16"/>
  <c r="H26" i="16" s="1"/>
  <c r="G24" i="16"/>
  <c r="C36" i="16" s="1"/>
  <c r="C32" i="16"/>
  <c r="C33" i="16"/>
  <c r="C37" i="16"/>
  <c r="C34" i="16"/>
  <c r="C35" i="16"/>
  <c r="G26" i="16" l="1"/>
  <c r="C38" i="16"/>
  <c r="A1" i="3" l="1"/>
  <c r="A1" i="15"/>
  <c r="A1" i="12"/>
  <c r="A1" i="10"/>
  <c r="A1" i="2"/>
  <c r="A1" i="14" s="1"/>
  <c r="B6" i="15" l="1"/>
  <c r="C6" i="15" s="1"/>
  <c r="A3" i="15"/>
  <c r="A2" i="15"/>
  <c r="L1" i="15"/>
  <c r="B19" i="14" l="1"/>
  <c r="C19" i="14" s="1"/>
  <c r="D19" i="14" s="1"/>
  <c r="E19" i="14" s="1"/>
  <c r="F19" i="14" s="1"/>
  <c r="G19" i="14" s="1"/>
  <c r="H19" i="14" s="1"/>
  <c r="I19" i="14" s="1"/>
  <c r="B6" i="14"/>
  <c r="C6" i="14" s="1"/>
  <c r="D6" i="14" s="1"/>
  <c r="E6" i="14" s="1"/>
  <c r="F6" i="14" s="1"/>
  <c r="G6" i="14" s="1"/>
  <c r="H6" i="14" s="1"/>
  <c r="I6" i="14" s="1"/>
  <c r="A3" i="14"/>
  <c r="I1" i="14"/>
  <c r="A1" i="11" l="1"/>
  <c r="H3" i="12" l="1"/>
  <c r="I3" i="2"/>
  <c r="I3" i="14" s="1"/>
  <c r="T3" i="18" l="1"/>
  <c r="R3" i="17"/>
  <c r="L3" i="15"/>
  <c r="H3" i="16"/>
  <c r="I1" i="3"/>
  <c r="I3" i="3"/>
  <c r="B21" i="12"/>
  <c r="C21" i="12" s="1"/>
  <c r="D21" i="12" s="1"/>
  <c r="E21" i="12" s="1"/>
  <c r="F21" i="12" s="1"/>
  <c r="G21" i="12" s="1"/>
  <c r="H21" i="12" s="1"/>
  <c r="B7" i="12"/>
  <c r="C7" i="12" s="1"/>
  <c r="D7" i="12" s="1"/>
  <c r="E7" i="12" s="1"/>
  <c r="F7" i="12" s="1"/>
  <c r="G7" i="12" s="1"/>
  <c r="H7" i="12" s="1"/>
  <c r="H29" i="3" l="1"/>
  <c r="H28" i="3"/>
  <c r="H27" i="3"/>
  <c r="H26" i="3"/>
  <c r="H25" i="3"/>
  <c r="H24" i="3"/>
  <c r="B20" i="3"/>
  <c r="C20" i="3" s="1"/>
  <c r="D20" i="3" s="1"/>
  <c r="E20" i="3" s="1"/>
  <c r="F20" i="3" s="1"/>
  <c r="G20" i="3" s="1"/>
  <c r="H20" i="3" s="1"/>
  <c r="I20" i="3" s="1"/>
  <c r="J26" i="10" l="1"/>
  <c r="C13" i="10" s="1"/>
  <c r="C28" i="10"/>
  <c r="J25" i="10"/>
  <c r="C12" i="10" s="1"/>
  <c r="C15" i="10" s="1"/>
  <c r="F12" i="10" s="1"/>
  <c r="P12" i="10" l="1"/>
  <c r="J12" i="10"/>
  <c r="N12" i="10"/>
  <c r="R12" i="10"/>
  <c r="H12" i="10"/>
  <c r="L12" i="10"/>
  <c r="F25" i="10"/>
  <c r="F41" i="10"/>
  <c r="F40" i="10"/>
  <c r="F26" i="10"/>
  <c r="J28" i="10"/>
  <c r="T12" i="10" l="1"/>
  <c r="F42" i="10"/>
  <c r="F27" i="10"/>
  <c r="F28" i="10" s="1"/>
  <c r="F13" i="10"/>
  <c r="N13" i="10" l="1"/>
  <c r="P13" i="10"/>
  <c r="P14" i="10" s="1"/>
  <c r="H13" i="10"/>
  <c r="L13" i="10"/>
  <c r="J13" i="10"/>
  <c r="R13" i="10"/>
  <c r="R14" i="10" s="1"/>
  <c r="A22" i="2"/>
  <c r="B9" i="2"/>
  <c r="A10" i="2"/>
  <c r="I10" i="15"/>
  <c r="A10" i="3"/>
  <c r="A9" i="14"/>
  <c r="F14" i="10" l="1"/>
  <c r="T13" i="10"/>
  <c r="L41" i="10" s="1"/>
  <c r="B9" i="14"/>
  <c r="A10" i="12"/>
  <c r="A10" i="15" s="1"/>
  <c r="B10" i="3"/>
  <c r="A22" i="14"/>
  <c r="A24" i="3"/>
  <c r="B22" i="2"/>
  <c r="A11" i="3"/>
  <c r="A10" i="14"/>
  <c r="B10" i="2"/>
  <c r="A11" i="2"/>
  <c r="A23" i="2"/>
  <c r="I11" i="15"/>
  <c r="B9" i="16"/>
  <c r="A32" i="16"/>
  <c r="A20" i="16"/>
  <c r="F15" i="10" l="1"/>
  <c r="L26" i="10"/>
  <c r="A12" i="3"/>
  <c r="A12" i="2"/>
  <c r="A24" i="2"/>
  <c r="A11" i="14"/>
  <c r="B11" i="2"/>
  <c r="I12" i="15"/>
  <c r="B23" i="2"/>
  <c r="A23" i="14"/>
  <c r="A25" i="3"/>
  <c r="B22" i="14"/>
  <c r="B24" i="3"/>
  <c r="A24" i="12"/>
  <c r="A11" i="12"/>
  <c r="A11" i="15" s="1"/>
  <c r="B10" i="14"/>
  <c r="B11" i="3"/>
  <c r="B20" i="16"/>
  <c r="B32" i="16"/>
  <c r="B10" i="16"/>
  <c r="A21" i="16"/>
  <c r="A33" i="16"/>
  <c r="B25" i="3" l="1"/>
  <c r="A25" i="12"/>
  <c r="B23" i="14"/>
  <c r="B24" i="2"/>
  <c r="A24" i="14"/>
  <c r="A26" i="3"/>
  <c r="B12" i="2"/>
  <c r="A13" i="2"/>
  <c r="A12" i="14"/>
  <c r="A25" i="2"/>
  <c r="A13" i="3"/>
  <c r="I13" i="15"/>
  <c r="B11" i="14"/>
  <c r="B12" i="3"/>
  <c r="A12" i="12"/>
  <c r="A12" i="15" s="1"/>
  <c r="A34" i="16"/>
  <c r="B11" i="16"/>
  <c r="A22" i="16"/>
  <c r="B21" i="16"/>
  <c r="B33" i="16"/>
  <c r="B13" i="3" l="1"/>
  <c r="B12" i="14"/>
  <c r="A13" i="12"/>
  <c r="A13" i="15" s="1"/>
  <c r="A26" i="12"/>
  <c r="B24" i="14"/>
  <c r="B26" i="3"/>
  <c r="A13" i="14"/>
  <c r="B13" i="2"/>
  <c r="A14" i="2"/>
  <c r="I14" i="15"/>
  <c r="A14" i="3"/>
  <c r="A26" i="2"/>
  <c r="B25" i="2"/>
  <c r="A27" i="3"/>
  <c r="A25" i="14"/>
  <c r="B22" i="16"/>
  <c r="B34" i="16"/>
  <c r="A23" i="16"/>
  <c r="A35" i="16"/>
  <c r="B12" i="16"/>
  <c r="N26" i="10"/>
  <c r="B26" i="2" l="1"/>
  <c r="A28" i="3"/>
  <c r="A26" i="14"/>
  <c r="B13" i="14"/>
  <c r="B14" i="3"/>
  <c r="A14" i="12"/>
  <c r="A14" i="15" s="1"/>
  <c r="B25" i="14"/>
  <c r="A27" i="12"/>
  <c r="B27" i="3"/>
  <c r="A15" i="3"/>
  <c r="A27" i="2"/>
  <c r="B14" i="2"/>
  <c r="A14" i="14"/>
  <c r="I15" i="15"/>
  <c r="B23" i="16"/>
  <c r="B35" i="16"/>
  <c r="A36" i="16"/>
  <c r="A24" i="16"/>
  <c r="B13" i="16"/>
  <c r="B14" i="14" l="1"/>
  <c r="A15" i="12"/>
  <c r="A15" i="15" s="1"/>
  <c r="B15" i="3"/>
  <c r="B27" i="2"/>
  <c r="A29" i="3"/>
  <c r="A27" i="14"/>
  <c r="B26" i="14"/>
  <c r="A28" i="12"/>
  <c r="B28" i="3"/>
  <c r="B24" i="16"/>
  <c r="B36" i="16"/>
  <c r="A37" i="16"/>
  <c r="A25" i="16"/>
  <c r="B14" i="16"/>
  <c r="B19" i="2"/>
  <c r="C19" i="2" s="1"/>
  <c r="D19" i="2" s="1"/>
  <c r="E19" i="2" s="1"/>
  <c r="F19" i="2" s="1"/>
  <c r="G19" i="2" s="1"/>
  <c r="H19" i="2" s="1"/>
  <c r="I19" i="2" s="1"/>
  <c r="B29" i="3" l="1"/>
  <c r="A29" i="12"/>
  <c r="B27" i="14"/>
  <c r="B25" i="16"/>
  <c r="B37" i="16"/>
  <c r="B6" i="2"/>
  <c r="C6" i="2" s="1"/>
  <c r="D6" i="2" s="1"/>
  <c r="E6" i="2" s="1"/>
  <c r="F6" i="2" s="1"/>
  <c r="G6" i="2" s="1"/>
  <c r="H6" i="2" s="1"/>
  <c r="I6" i="2" s="1"/>
  <c r="C43" i="10" l="1"/>
  <c r="F43" i="10" l="1"/>
  <c r="T3" i="10" l="1"/>
  <c r="R3" i="11"/>
  <c r="H11" i="3" l="1"/>
  <c r="H12" i="3"/>
  <c r="H13" i="3"/>
  <c r="H14" i="3"/>
  <c r="H15" i="3"/>
  <c r="H10" i="3"/>
  <c r="B40" i="3" l="1"/>
  <c r="C34" i="3"/>
  <c r="D34" i="3" s="1"/>
  <c r="E34" i="3" s="1"/>
  <c r="F34" i="3" s="1"/>
  <c r="G34" i="3" s="1"/>
  <c r="C43" i="3"/>
  <c r="B43" i="3"/>
  <c r="C42" i="3"/>
  <c r="B42" i="3"/>
  <c r="C41" i="3"/>
  <c r="B41" i="3"/>
  <c r="C40" i="3"/>
  <c r="C39" i="3"/>
  <c r="B39" i="3"/>
  <c r="C38" i="3"/>
  <c r="B38" i="3"/>
  <c r="B6" i="3"/>
  <c r="C6" i="3" s="1"/>
  <c r="D6" i="3" s="1"/>
  <c r="E6" i="3" s="1"/>
  <c r="F6" i="3" s="1"/>
  <c r="G6" i="3" s="1"/>
  <c r="H6" i="3" s="1"/>
  <c r="I6" i="3" s="1"/>
  <c r="H41" i="10" l="1"/>
  <c r="J41" i="10" s="1"/>
  <c r="H42" i="10"/>
  <c r="J42" i="10" s="1"/>
  <c r="N41" i="10" l="1"/>
  <c r="J43" i="10"/>
  <c r="J14" i="10"/>
  <c r="H14" i="10" l="1"/>
  <c r="L40" i="10" l="1"/>
  <c r="L25" i="10"/>
  <c r="L14" i="10" l="1"/>
  <c r="N25" i="10"/>
  <c r="N40" i="10"/>
  <c r="N14" i="10"/>
  <c r="T14" i="10" l="1"/>
  <c r="L42" i="10" s="1"/>
  <c r="L43" i="10" s="1"/>
  <c r="L27" i="10" l="1"/>
  <c r="N42" i="10"/>
  <c r="N43" i="10" s="1"/>
  <c r="P40" i="10" s="1"/>
  <c r="N27" i="10" l="1"/>
  <c r="N28" i="10" s="1"/>
  <c r="L28" i="10"/>
  <c r="P41" i="10"/>
  <c r="T41" i="10" s="1"/>
  <c r="T40" i="10"/>
  <c r="P25" i="10" l="1"/>
  <c r="P26" i="10"/>
  <c r="T26" i="10" s="1"/>
  <c r="P42" i="10"/>
  <c r="T42" i="10" s="1"/>
  <c r="T43" i="10" s="1"/>
  <c r="T44" i="10" s="1"/>
  <c r="N23" i="13" s="1"/>
  <c r="N24" i="13" s="1"/>
  <c r="N25" i="13" s="1"/>
  <c r="P43" i="10" l="1"/>
  <c r="T25" i="10"/>
  <c r="P27" i="10"/>
  <c r="T27" i="10" s="1"/>
  <c r="D22" i="14"/>
  <c r="E22" i="14" s="1"/>
  <c r="G22" i="14" s="1"/>
  <c r="D24" i="12"/>
  <c r="F24" i="12" s="1"/>
  <c r="H24" i="12" s="1"/>
  <c r="D23" i="14"/>
  <c r="D25" i="12"/>
  <c r="F25" i="12" s="1"/>
  <c r="H25" i="12" s="1"/>
  <c r="D24" i="3" l="1"/>
  <c r="E24" i="3" s="1"/>
  <c r="G24" i="3" s="1"/>
  <c r="I24" i="3" s="1"/>
  <c r="P28" i="10"/>
  <c r="T28" i="10"/>
  <c r="T29" i="10" s="1"/>
  <c r="J23" i="13" s="1"/>
  <c r="J24" i="13" s="1"/>
  <c r="J25" i="13" s="1"/>
  <c r="D24" i="14"/>
  <c r="D26" i="12"/>
  <c r="F26" i="12" s="1"/>
  <c r="H26" i="12" s="1"/>
  <c r="E23" i="14"/>
  <c r="G23" i="14" s="1"/>
  <c r="D25" i="3"/>
  <c r="E25" i="3" s="1"/>
  <c r="G25" i="3" s="1"/>
  <c r="I25" i="3" s="1"/>
  <c r="F39" i="3" s="1"/>
  <c r="D10" i="12" l="1"/>
  <c r="F10" i="12" s="1"/>
  <c r="H10" i="12" s="1"/>
  <c r="D9" i="14"/>
  <c r="E24" i="14"/>
  <c r="G24" i="14" s="1"/>
  <c r="D26" i="3"/>
  <c r="E26" i="3" s="1"/>
  <c r="G26" i="3" s="1"/>
  <c r="I26" i="3" s="1"/>
  <c r="F40" i="3" s="1"/>
  <c r="N27" i="13"/>
  <c r="D25" i="14"/>
  <c r="D27" i="12"/>
  <c r="F27" i="12" s="1"/>
  <c r="H27" i="12" s="1"/>
  <c r="F38" i="3"/>
  <c r="B10" i="15" l="1"/>
  <c r="D10" i="3"/>
  <c r="E10" i="3" s="1"/>
  <c r="G10" i="3" s="1"/>
  <c r="I10" i="3" s="1"/>
  <c r="E38" i="3" s="1"/>
  <c r="E9" i="14"/>
  <c r="E32" i="16" s="1"/>
  <c r="D11" i="12"/>
  <c r="F11" i="12" s="1"/>
  <c r="H11" i="12" s="1"/>
  <c r="D10" i="14"/>
  <c r="D27" i="3"/>
  <c r="E27" i="3" s="1"/>
  <c r="G27" i="3" s="1"/>
  <c r="I27" i="3" s="1"/>
  <c r="F41" i="3" s="1"/>
  <c r="E25" i="14"/>
  <c r="G25" i="14" s="1"/>
  <c r="D26" i="14"/>
  <c r="N28" i="13"/>
  <c r="D28" i="12"/>
  <c r="F28" i="12" s="1"/>
  <c r="H28" i="12" s="1"/>
  <c r="D39" i="3" l="1"/>
  <c r="D11" i="14"/>
  <c r="D12" i="12"/>
  <c r="F12" i="12" s="1"/>
  <c r="H12" i="12" s="1"/>
  <c r="D11" i="3"/>
  <c r="E11" i="3" s="1"/>
  <c r="G11" i="3" s="1"/>
  <c r="I11" i="3" s="1"/>
  <c r="E39" i="3" s="1"/>
  <c r="E10" i="14"/>
  <c r="E33" i="16" s="1"/>
  <c r="D27" i="14"/>
  <c r="D29" i="12"/>
  <c r="F29" i="12" s="1"/>
  <c r="H29" i="12" s="1"/>
  <c r="D28" i="3"/>
  <c r="E28" i="3" s="1"/>
  <c r="E26" i="14"/>
  <c r="G26" i="14" s="1"/>
  <c r="G28" i="3" l="1"/>
  <c r="I28" i="3" s="1"/>
  <c r="F42" i="3" s="1"/>
  <c r="G39" i="3"/>
  <c r="D38" i="3"/>
  <c r="G38" i="3" s="1"/>
  <c r="F32" i="16"/>
  <c r="D32" i="16" s="1"/>
  <c r="F33" i="16"/>
  <c r="D33" i="16" s="1"/>
  <c r="D12" i="14"/>
  <c r="D13" i="12"/>
  <c r="F13" i="12" s="1"/>
  <c r="H13" i="12" s="1"/>
  <c r="B13" i="15" s="1"/>
  <c r="D12" i="3"/>
  <c r="E12" i="3" s="1"/>
  <c r="G12" i="3" s="1"/>
  <c r="I12" i="3" s="1"/>
  <c r="E40" i="3" s="1"/>
  <c r="E11" i="14"/>
  <c r="E34" i="16" s="1"/>
  <c r="D29" i="3"/>
  <c r="E29" i="3" s="1"/>
  <c r="G29" i="3" s="1"/>
  <c r="E27" i="14"/>
  <c r="G27" i="14" s="1"/>
  <c r="G28" i="14" l="1"/>
  <c r="I28" i="14"/>
  <c r="D13" i="14"/>
  <c r="D14" i="12"/>
  <c r="F14" i="12" s="1"/>
  <c r="H14" i="12" s="1"/>
  <c r="B14" i="15" s="1"/>
  <c r="D13" i="3"/>
  <c r="E13" i="3" s="1"/>
  <c r="G13" i="3" s="1"/>
  <c r="I13" i="3" s="1"/>
  <c r="E41" i="3" s="1"/>
  <c r="E12" i="14"/>
  <c r="E35" i="16" s="1"/>
  <c r="I29" i="3"/>
  <c r="G30" i="3"/>
  <c r="D40" i="3" l="1"/>
  <c r="G40" i="3" s="1"/>
  <c r="F34" i="16"/>
  <c r="D34" i="16" s="1"/>
  <c r="E13" i="14"/>
  <c r="E36" i="16" s="1"/>
  <c r="D14" i="3"/>
  <c r="E14" i="3" s="1"/>
  <c r="G14" i="3" s="1"/>
  <c r="I14" i="3" s="1"/>
  <c r="D15" i="12"/>
  <c r="F15" i="12" s="1"/>
  <c r="H15" i="12" s="1"/>
  <c r="D14" i="14"/>
  <c r="F43" i="3"/>
  <c r="I30" i="3"/>
  <c r="D41" i="3" l="1"/>
  <c r="G41" i="3" s="1"/>
  <c r="F35" i="16"/>
  <c r="D35" i="16" s="1"/>
  <c r="F36" i="16"/>
  <c r="D36" i="16" s="1"/>
  <c r="D42" i="3"/>
  <c r="L16" i="15"/>
  <c r="E42" i="3"/>
  <c r="D15" i="3"/>
  <c r="E15" i="3" s="1"/>
  <c r="G15" i="3" s="1"/>
  <c r="E14" i="14"/>
  <c r="F44" i="3"/>
  <c r="E52" i="3" s="1"/>
  <c r="F37" i="16" l="1"/>
  <c r="D43" i="3"/>
  <c r="G42" i="3"/>
  <c r="I15" i="3"/>
  <c r="G16" i="3"/>
  <c r="G15" i="14"/>
  <c r="F38" i="16" l="1"/>
  <c r="I15" i="14"/>
  <c r="E37" i="16"/>
  <c r="E38" i="16" s="1"/>
  <c r="E43" i="3"/>
  <c r="E44" i="3" s="1"/>
  <c r="E51" i="3" s="1"/>
  <c r="I16" i="3"/>
  <c r="D44" i="3"/>
  <c r="F49" i="3" s="1"/>
  <c r="D37" i="16" l="1"/>
  <c r="D38" i="16" s="1"/>
  <c r="G43" i="3"/>
  <c r="G44" i="3" s="1"/>
  <c r="E53" i="3" s="1"/>
  <c r="F55" i="3" s="1"/>
  <c r="F57" i="3" s="1"/>
</calcChain>
</file>

<file path=xl/sharedStrings.xml><?xml version="1.0" encoding="utf-8"?>
<sst xmlns="http://schemas.openxmlformats.org/spreadsheetml/2006/main" count="822" uniqueCount="344">
  <si>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</si>
  <si>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</si>
  <si>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</si>
  <si>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</si>
  <si>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</si>
  <si>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</si>
  <si>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</si>
  <si>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</si>
  <si>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</si>
  <si>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</si>
  <si>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</si>
  <si>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</si>
  <si>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</si>
  <si>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</si>
  <si>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</si>
  <si>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</si>
  <si>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</si>
  <si>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</si>
  <si>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</si>
  <si>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</si>
  <si>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</si>
  <si>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</si>
  <si>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</si>
  <si>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</si>
  <si>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</si>
  <si>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</si>
  <si>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</si>
  <si>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</si>
  <si>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</si>
  <si>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</si>
  <si>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</si>
  <si>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</si>
  <si>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</si>
  <si>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</si>
  <si>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</si>
  <si>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</si>
  <si>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</si>
  <si>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</si>
  <si>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</si>
  <si>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</si>
  <si>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</si>
  <si>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</si>
  <si>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</si>
  <si>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</si>
  <si>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</si>
  <si>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</si>
  <si>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</si>
  <si>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</si>
  <si>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</si>
  <si>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</si>
  <si>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</si>
  <si>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</si>
  <si>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</si>
  <si>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 xml:space="preserve">Capital </t>
  </si>
  <si>
    <t>Capitalization</t>
  </si>
  <si>
    <t>Rate Base</t>
  </si>
  <si>
    <t>Structure</t>
  </si>
  <si>
    <t>Percentage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</si>
  <si>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</si>
  <si>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</si>
  <si>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</si>
  <si>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</si>
  <si>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</si>
  <si>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</si>
  <si>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</si>
  <si>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</si>
  <si>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</si>
  <si>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</si>
  <si>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</si>
  <si>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</si>
  <si>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</si>
  <si>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</si>
  <si>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</si>
  <si>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</si>
  <si>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</si>
  <si>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</si>
  <si>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Total for 6 months</t>
  </si>
  <si>
    <t>Rahn</t>
  </si>
  <si>
    <t>2016 ECR Plans</t>
  </si>
  <si>
    <t>2016 ECR Plans     ES  Form 2.00</t>
  </si>
  <si>
    <t>2016 ECR Plans        (3) / 12</t>
  </si>
  <si>
    <t>PRE-2016 ECR PLANS</t>
  </si>
  <si>
    <t>2016 ECR PLANS</t>
  </si>
  <si>
    <t>(5)-(4)</t>
  </si>
  <si>
    <t>(3) * (6)  / 12</t>
  </si>
  <si>
    <t>ES  Form 2.00</t>
  </si>
  <si>
    <t>(2) / 12</t>
  </si>
  <si>
    <t>Page 1 Col (8)     Pre-2016 ECR Plans; 2016 ECR Plans</t>
  </si>
  <si>
    <t>Adjusted Electric Rate of Return on Common Equity - 2016 ECR Plans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</si>
  <si>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</si>
  <si>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</si>
  <si>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</si>
  <si>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</si>
  <si>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</si>
  <si>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</si>
  <si>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</si>
  <si>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</si>
  <si>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</si>
  <si>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</si>
  <si>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</si>
  <si>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>Total</t>
  </si>
  <si>
    <t xml:space="preserve">  Cost  </t>
  </si>
  <si>
    <t xml:space="preserve">Pollution Control Bonds - </t>
  </si>
  <si>
    <t>*</t>
  </si>
  <si>
    <t>a</t>
  </si>
  <si>
    <t>Trimble Co. 2007 Series A</t>
  </si>
  <si>
    <t>Called Bonds</t>
  </si>
  <si>
    <t>Total Pollution Control Bond Debt</t>
  </si>
  <si>
    <t>First Mortgage Bonds -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</si>
  <si>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</si>
  <si>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</si>
  <si>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</si>
  <si>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</si>
  <si>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</si>
  <si>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</si>
  <si>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</si>
  <si>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</si>
  <si>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</si>
  <si>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Total First Mortgage Bond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</si>
  <si>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</si>
  <si>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</si>
  <si>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</si>
  <si>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</si>
  <si>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</si>
  <si>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</si>
  <si>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</si>
  <si>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</si>
  <si>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</si>
  <si>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</si>
  <si>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</si>
  <si>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</si>
  <si>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</si>
  <si>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a - Remarketing fee = 10 basis points</t>
  </si>
  <si>
    <t>ROR True-up (Pre-2016 Plans)</t>
  </si>
  <si>
    <t>ROR True-up (2016 Plans)</t>
  </si>
  <si>
    <t>Due to Change in ROR in (Pre-2016 Plans)</t>
  </si>
  <si>
    <t>Due to Change in ROR in (2016 Plans)</t>
  </si>
  <si>
    <t xml:space="preserve">Adjusted Electric Rate of Return on Common Equity </t>
  </si>
  <si>
    <t>Rahn/Metts</t>
  </si>
  <si>
    <t>Pre-2016 Plan</t>
  </si>
  <si>
    <t>2016 Plan</t>
  </si>
  <si>
    <t>Period #4</t>
  </si>
  <si>
    <t xml:space="preserve">Common Equity:  </t>
  </si>
  <si>
    <t xml:space="preserve">First Billing Month:  </t>
  </si>
  <si>
    <t>Company :</t>
  </si>
  <si>
    <t>Witnesse(s):  (Q1)</t>
  </si>
  <si>
    <t>Witnesse(s):  (Q2)</t>
  </si>
  <si>
    <t xml:space="preserve">Investments in OVEC and Other: 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</si>
  <si>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</si>
  <si>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</si>
  <si>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</si>
  <si>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</si>
  <si>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</si>
  <si>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</si>
  <si>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</si>
  <si>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</si>
  <si>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</si>
  <si>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</si>
  <si>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</si>
  <si>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</si>
  <si>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</si>
  <si>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</si>
  <si>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</si>
  <si>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</si>
  <si>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</si>
  <si>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</si>
  <si>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</si>
  <si>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</si>
  <si>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</si>
  <si>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</si>
  <si>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</si>
  <si>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</si>
  <si>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</si>
  <si>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</si>
  <si>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</si>
  <si>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</si>
  <si>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</si>
  <si>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</si>
  <si>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</si>
  <si>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</si>
  <si>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</si>
  <si>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</si>
  <si>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</si>
  <si>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</si>
  <si>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</si>
  <si>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</si>
  <si>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</si>
  <si>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</si>
  <si>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</si>
  <si>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</si>
  <si>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2.  Actual Revenues Subject to ECR Surcharge are taken from monthly filings on ES Form 3.00 Column 8 for Group 1 and Column 9 for Group 2.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</si>
  <si>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</si>
  <si>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</si>
  <si>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</si>
  <si>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</si>
  <si>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</si>
  <si>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</si>
  <si>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t>Electric</t>
  </si>
  <si>
    <t>Per Books</t>
  </si>
  <si>
    <t>ELECTRIC</t>
  </si>
  <si>
    <t>Jefferson Co. 2001 Series A</t>
  </si>
  <si>
    <t>Trimble Co. 2001 Series A</t>
  </si>
  <si>
    <t>Jefferson Co. 2001 Series B</t>
  </si>
  <si>
    <t>Trimble Co. 2001 Series B</t>
  </si>
  <si>
    <t>Louisville Metro 2003 Series A</t>
  </si>
  <si>
    <t>Louisville Metro 2005 Series A</t>
  </si>
  <si>
    <t>Louisville Metro 2007 Series A</t>
  </si>
  <si>
    <t>Louisville Metro 2007 Series B</t>
  </si>
  <si>
    <t>Trimble Co. 2016 Series A</t>
  </si>
  <si>
    <t>d</t>
  </si>
  <si>
    <t>Interest Rate Swaps:</t>
  </si>
  <si>
    <t>JP Morgan Chase Bank 5.495% - Trimble Co. 2000 Series A</t>
  </si>
  <si>
    <t>Morgan Stanley Capital Services 3.657% - Louisville Metro 2003 Series A</t>
  </si>
  <si>
    <t>Morgan Stanley Capital Services 3.645% - Louisville Metro 2003 Series A</t>
  </si>
  <si>
    <t>1   Additional interest due to Swap Agreements: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</si>
  <si>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</si>
  <si>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</si>
  <si>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</si>
  <si>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</si>
  <si>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</si>
  <si>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</si>
  <si>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</si>
  <si>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</si>
  <si>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</si>
  <si>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</si>
  <si>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b - Remarketing fee = 25 basis points</t>
  </si>
  <si>
    <t>(c)</t>
  </si>
  <si>
    <t>Electric Rate Base Percentage:</t>
  </si>
  <si>
    <t>Advanced Coal</t>
  </si>
  <si>
    <t>Trimble County</t>
  </si>
  <si>
    <t>Investments</t>
  </si>
  <si>
    <t>Compliance</t>
  </si>
  <si>
    <t xml:space="preserve">DSM </t>
  </si>
  <si>
    <t>Investment</t>
  </si>
  <si>
    <t>Inventories (a)</t>
  </si>
  <si>
    <t>in OVEC &amp; Other</t>
  </si>
  <si>
    <t>JDIC</t>
  </si>
  <si>
    <t>Tax Credit (b)</t>
  </si>
  <si>
    <t>To Capital</t>
  </si>
  <si>
    <t>Materials and Supplies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</si>
  <si>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</si>
  <si>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</si>
  <si>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</si>
  <si>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</si>
  <si>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</si>
  <si>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</si>
  <si>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</si>
  <si>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</si>
  <si>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</si>
  <si>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</si>
  <si>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Average daily balance per Settlement Agreement in Case No. 2011-00162.</t>
  </si>
  <si>
    <t xml:space="preserve">JDIC:  </t>
  </si>
  <si>
    <t xml:space="preserve">Environmental Compliance Rate Base: </t>
  </si>
  <si>
    <t>DSM Rate Base:</t>
  </si>
  <si>
    <t xml:space="preserve">Advanced Coal Investment Tax Credit: </t>
  </si>
  <si>
    <t xml:space="preserve">Electric Capitalization </t>
  </si>
  <si>
    <t>Adjusted Electric Rate of Return on Common Equity - Pre 2016 ECR Plans</t>
  </si>
  <si>
    <t>(Col 10 x Col 13)</t>
  </si>
  <si>
    <t>(Col 8)</t>
  </si>
  <si>
    <t>(Col 14 + Col 15)</t>
  </si>
  <si>
    <t>(Col 18 x Col 17)</t>
  </si>
  <si>
    <t>(Col 14)</t>
  </si>
  <si>
    <t>(Col 1 x Col 2 Line 4)</t>
  </si>
  <si>
    <t>(Col 1 x Col 3 Line 4)</t>
  </si>
  <si>
    <t>(Col 1 x Col 4 Line 4)</t>
  </si>
  <si>
    <t>(Col 1 x Col 5 Line 4)</t>
  </si>
  <si>
    <t>(Col 1 x Col 6 Line 4)</t>
  </si>
  <si>
    <t>(Col 1 x Col 7 Line 4)</t>
  </si>
  <si>
    <t>(Sum of Col 2 - Col 7)</t>
  </si>
  <si>
    <t>Case No. 2018-00052</t>
  </si>
  <si>
    <t>As of August 31, 2017</t>
  </si>
  <si>
    <r>
      <t>LONG-TERM DEBT</t>
    </r>
    <r>
      <rPr>
        <b/>
        <sz val="12"/>
        <rFont val="Arial"/>
        <family val="2"/>
      </rPr>
      <t xml:space="preserve"> </t>
    </r>
  </si>
  <si>
    <t>**</t>
  </si>
  <si>
    <t>c</t>
  </si>
  <si>
    <t>Bank of America - Louisville Metro 2003 Series A</t>
  </si>
  <si>
    <t>1, e</t>
  </si>
  <si>
    <t>Interest Rate Swaps External Debt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</si>
  <si>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</si>
  <si>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</si>
  <si>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</si>
  <si>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</si>
  <si>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</si>
  <si>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</si>
  <si>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</si>
  <si>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</si>
  <si>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</si>
  <si>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</si>
  <si>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</si>
  <si>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</si>
  <si>
    <t>2   Includes setup fees for Credit Facility amended January 29, 2016 with a term ending December 31, 2020.</t>
  </si>
  <si>
    <t>c - Revolving Credit Facility fee = 10 basis points</t>
  </si>
  <si>
    <t>d - Remarketing/Insurance fee = TC2002A, TC2000A, and TC2016A</t>
  </si>
  <si>
    <t>05-31-17</t>
  </si>
  <si>
    <t>As of May 31, 2017</t>
  </si>
  <si>
    <t>08-31-17</t>
  </si>
  <si>
    <t>Trimble Co. 20017 Series A</t>
  </si>
  <si>
    <t>Distribution:</t>
  </si>
  <si>
    <t>Prasetya Adhitama</t>
  </si>
  <si>
    <t>Chad Clements</t>
  </si>
  <si>
    <t>Don Harris</t>
  </si>
  <si>
    <t>Frank Mazza</t>
  </si>
  <si>
    <t>Derek Rahn</t>
  </si>
  <si>
    <t>Rhonda Anderson</t>
  </si>
  <si>
    <t>David Cummings</t>
  </si>
  <si>
    <t>Ashley Smith</t>
  </si>
  <si>
    <t>Dawn McGee</t>
  </si>
  <si>
    <t>Regulatory Accounting</t>
  </si>
  <si>
    <t>Dan Arbough</t>
  </si>
  <si>
    <t>Jay Fister</t>
  </si>
  <si>
    <t>Jason Knoy</t>
  </si>
  <si>
    <t>Heather Metts</t>
  </si>
  <si>
    <t>Revenue Accounting</t>
  </si>
  <si>
    <t>Sharon Bloat</t>
  </si>
  <si>
    <t>Doug Leichty</t>
  </si>
  <si>
    <t>Lesley Pienaar</t>
  </si>
  <si>
    <t>Valerie Scott</t>
  </si>
  <si>
    <t>Page 4 of 4</t>
  </si>
  <si>
    <t>Detailed Variances for Expense Months March 2017 through August 2017</t>
  </si>
  <si>
    <t>Prior Period Adjustments (as Filed)</t>
  </si>
  <si>
    <t>(2) + (3) +(4)</t>
  </si>
  <si>
    <t>ES Form 1.10 , Line 12</t>
  </si>
  <si>
    <t>(8) + (10) + (11) - (5)</t>
  </si>
  <si>
    <t>12-month avg</t>
  </si>
  <si>
    <t>Billing Revenue</t>
  </si>
  <si>
    <t>Page 1 of 6</t>
  </si>
  <si>
    <t>Page 2 of 6</t>
  </si>
  <si>
    <t>Page 3 of 6</t>
  </si>
  <si>
    <t>Page 4 of 6</t>
  </si>
  <si>
    <t>Page 5 of 6</t>
  </si>
  <si>
    <t>Page 6 of 6</t>
  </si>
  <si>
    <t xml:space="preserve">3.  Billing Factors were provided in the Initial Request for Information Response to Question No. 2, page 2 of 4, columns 6 and 7. </t>
  </si>
  <si>
    <t>4.  Expense Month May and June 2017 represent a higher revenue variance due to cooler than normal weather and the implementation of new base rates. June 2017 also includes the adjustment approved in LG&amp;E's 6-month review Case No. 2016-00438.</t>
  </si>
  <si>
    <t>1.  12-Month Average Revenues were provided in the Direct Testimony of Derek A. Rahn on page 6 and consisted of Group 1 and Group 2 combined.</t>
  </si>
  <si>
    <t>5.  Rate of Return True-up was provided in the Initial Request for Information Response to Question No. 1, page 2 of 6, column 9.</t>
  </si>
  <si>
    <t>6.  Combined Total Over/(Under) Recovery were provided in the Initial Request for Information Response to Question No. 2, page 2 of 4, column 12.</t>
  </si>
  <si>
    <t>Overall Rate of Return - Revised Rate Base</t>
  </si>
  <si>
    <t>March 01, 2017 - May 31, 2017</t>
  </si>
  <si>
    <t>Overall Revised Rate of Return</t>
  </si>
  <si>
    <t>Summary Schedule for Expense Months March 2017 - August  2017</t>
  </si>
  <si>
    <t>Summary Schedule for Expense Months March 2017 through August 2017</t>
  </si>
  <si>
    <t>March 1, 2017 - August 31, 2017</t>
  </si>
  <si>
    <t>Revised Attachment to Response to Question No. 1</t>
  </si>
  <si>
    <t>Revised Attachment to Response to Question No. 2</t>
  </si>
  <si>
    <t>Regulatory Asset - Swap Hedging Louisville Metro 2003 Series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</si>
</sst>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&quot;$&quot;#,##0"/>
    <numFmt numFmtId="183" formatCode="0.0%"/>
  </numFmts>
  <fonts count="9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indexed="10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696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68" fontId="73" fillId="0" borderId="0" xfId="45409" applyNumberFormat="1" applyFont="1" applyBorder="1"/>
    <xf numFmtId="10" fontId="70" fillId="0" borderId="0" xfId="45409" applyNumberFormat="1" applyFont="1" applyBorder="1"/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37" fontId="68" fillId="51" borderId="0" xfId="57515" quotePrefix="1" applyFill="1" applyAlignment="1"/>
    <xf numFmtId="168" fontId="70" fillId="0" borderId="34" xfId="45409" applyNumberFormat="1" applyFont="1" applyFill="1" applyBorder="1"/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right" wrapText="1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7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6" fontId="75" fillId="0" borderId="0" xfId="1" applyNumberFormat="1" applyFont="1" applyFill="1" applyBorder="1"/>
    <xf numFmtId="165" fontId="75" fillId="0" borderId="0" xfId="0" applyNumberFormat="1" applyFont="1" applyFill="1"/>
    <xf numFmtId="37" fontId="75" fillId="0" borderId="0" xfId="1" applyNumberFormat="1" applyFont="1" applyFill="1" applyBorder="1"/>
    <xf numFmtId="177" fontId="75" fillId="0" borderId="0" xfId="2" applyNumberFormat="1" applyFont="1" applyFill="1" applyBorder="1"/>
    <xf numFmtId="0" fontId="75" fillId="0" borderId="0" xfId="0" applyFont="1" applyFill="1" applyBorder="1"/>
    <xf numFmtId="177" fontId="75" fillId="0" borderId="7" xfId="2" applyNumberFormat="1" applyFont="1" applyFill="1" applyBorder="1"/>
    <xf numFmtId="0" fontId="75" fillId="0" borderId="6" xfId="0" applyFont="1" applyFill="1" applyBorder="1"/>
    <xf numFmtId="166" fontId="75" fillId="0" borderId="2" xfId="2" applyNumberFormat="1" applyFont="1" applyFill="1" applyBorder="1"/>
    <xf numFmtId="177" fontId="75" fillId="0" borderId="0" xfId="0" applyNumberFormat="1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1" xfId="0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43" fontId="75" fillId="0" borderId="12" xfId="0" applyNumberFormat="1" applyFont="1" applyFill="1" applyBorder="1"/>
    <xf numFmtId="4" fontId="77" fillId="0" borderId="12" xfId="0" quotePrefix="1" applyNumberFormat="1" applyFont="1" applyFill="1" applyBorder="1"/>
    <xf numFmtId="166" fontId="75" fillId="0" borderId="7" xfId="0" applyNumberFormat="1" applyFont="1" applyFill="1" applyBorder="1"/>
    <xf numFmtId="165" fontId="75" fillId="0" borderId="7" xfId="1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77" fontId="75" fillId="0" borderId="1" xfId="0" applyNumberFormat="1" applyFont="1" applyFill="1" applyBorder="1"/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177" fontId="4" fillId="0" borderId="1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5" fillId="0" borderId="12" xfId="0" applyNumberFormat="1" applyFont="1" applyFill="1" applyBorder="1"/>
    <xf numFmtId="0" fontId="75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8" fillId="0" borderId="6" xfId="0" applyNumberFormat="1" applyFont="1" applyFill="1" applyBorder="1" applyAlignment="1">
      <alignment horizontal="center"/>
    </xf>
    <xf numFmtId="0" fontId="78" fillId="0" borderId="11" xfId="0" applyFont="1" applyFill="1" applyBorder="1"/>
    <xf numFmtId="10" fontId="78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43" fontId="72" fillId="0" borderId="7" xfId="11027" applyFont="1" applyBorder="1" applyAlignment="1">
      <alignment horizontal="center"/>
    </xf>
    <xf numFmtId="37" fontId="71" fillId="0" borderId="6" xfId="57515" applyFont="1" applyBorder="1"/>
    <xf numFmtId="37" fontId="69" fillId="0" borderId="6" xfId="57515" applyFont="1" applyBorder="1"/>
    <xf numFmtId="37" fontId="70" fillId="0" borderId="6" xfId="57515" quotePrefix="1" applyFont="1" applyBorder="1" applyAlignment="1">
      <alignment horizontal="left"/>
    </xf>
    <xf numFmtId="10" fontId="70" fillId="0" borderId="0" xfId="45409" applyNumberFormat="1" applyFont="1" applyFill="1" applyBorder="1" applyAlignment="1">
      <alignment horizontal="center"/>
    </xf>
    <xf numFmtId="10" fontId="70" fillId="0" borderId="7" xfId="45409" applyNumberFormat="1" applyFont="1" applyFill="1" applyBorder="1" applyAlignment="1">
      <alignment horizontal="center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10" fontId="70" fillId="0" borderId="0" xfId="45409" applyNumberFormat="1" applyFont="1" applyBorder="1" applyAlignment="1">
      <alignment horizontal="center"/>
    </xf>
    <xf numFmtId="37" fontId="71" fillId="0" borderId="0" xfId="57515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80" fillId="0" borderId="0" xfId="57516" applyFont="1" applyFill="1" applyBorder="1"/>
    <xf numFmtId="0" fontId="81" fillId="0" borderId="0" xfId="0" applyFont="1" applyFill="1"/>
    <xf numFmtId="10" fontId="70" fillId="0" borderId="8" xfId="45409" applyNumberFormat="1" applyFont="1" applyFill="1" applyBorder="1" applyAlignment="1">
      <alignment horizontal="center"/>
    </xf>
    <xf numFmtId="10" fontId="70" fillId="0" borderId="45" xfId="45409" quotePrefix="1" applyNumberFormat="1" applyFont="1" applyFill="1" applyBorder="1" applyAlignment="1">
      <alignment horizontal="center"/>
    </xf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7" fontId="4" fillId="0" borderId="0" xfId="5" applyNumberFormat="1" applyFont="1" applyFill="1" applyBorder="1"/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37" fontId="70" fillId="0" borderId="11" xfId="57515" quotePrefix="1" applyFont="1" applyBorder="1" applyAlignment="1">
      <alignment horizontal="left"/>
    </xf>
    <xf numFmtId="10" fontId="69" fillId="0" borderId="13" xfId="45409" applyNumberFormat="1" applyFont="1" applyFill="1" applyBorder="1" applyAlignment="1">
      <alignment horizontal="center"/>
    </xf>
    <xf numFmtId="0" fontId="83" fillId="0" borderId="6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0" xfId="0" quotePrefix="1" applyFont="1" applyFill="1" applyBorder="1" applyAlignment="1">
      <alignment horizontal="center" wrapText="1"/>
    </xf>
    <xf numFmtId="0" fontId="83" fillId="0" borderId="7" xfId="0" quotePrefix="1" applyFont="1" applyFill="1" applyBorder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83" fillId="0" borderId="0" xfId="0" applyFont="1" applyFill="1"/>
    <xf numFmtId="0" fontId="78" fillId="0" borderId="0" xfId="0" applyFont="1"/>
    <xf numFmtId="0" fontId="78" fillId="0" borderId="0" xfId="0" quotePrefix="1" applyFont="1" applyAlignment="1">
      <alignment horizontal="left"/>
    </xf>
    <xf numFmtId="17" fontId="78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1" fontId="75" fillId="0" borderId="0" xfId="2" applyNumberFormat="1" applyFont="1" applyFill="1" applyBorder="1" applyAlignment="1">
      <alignment horizontal="center"/>
    </xf>
    <xf numFmtId="42" fontId="75" fillId="0" borderId="0" xfId="2" applyNumberFormat="1" applyFont="1" applyFill="1" applyBorder="1" applyAlignment="1">
      <alignment horizontal="center"/>
    </xf>
    <xf numFmtId="41" fontId="75" fillId="0" borderId="0" xfId="3" applyNumberFormat="1" applyFont="1" applyFill="1" applyBorder="1" applyAlignment="1">
      <alignment horizontal="center"/>
    </xf>
    <xf numFmtId="41" fontId="75" fillId="0" borderId="0" xfId="1" applyNumberFormat="1" applyFont="1" applyFill="1" applyBorder="1"/>
    <xf numFmtId="0" fontId="83" fillId="0" borderId="11" xfId="0" applyFont="1" applyFill="1" applyBorder="1" applyAlignment="1">
      <alignment horizontal="center" wrapText="1"/>
    </xf>
    <xf numFmtId="0" fontId="83" fillId="53" borderId="12" xfId="0" applyFont="1" applyFill="1" applyBorder="1" applyAlignment="1">
      <alignment horizontal="center" wrapText="1"/>
    </xf>
    <xf numFmtId="37" fontId="78" fillId="0" borderId="0" xfId="1" applyNumberFormat="1" applyFont="1" applyAlignment="1">
      <alignment horizontal="left"/>
    </xf>
    <xf numFmtId="37" fontId="80" fillId="0" borderId="0" xfId="57515" applyFont="1" applyFill="1" applyBorder="1"/>
    <xf numFmtId="166" fontId="80" fillId="0" borderId="34" xfId="12007" applyNumberFormat="1" applyFont="1" applyFill="1" applyBorder="1"/>
    <xf numFmtId="39" fontId="0" fillId="0" borderId="0" xfId="1" applyNumberFormat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80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69" fillId="0" borderId="0" xfId="24280" applyFont="1" applyFill="1" applyAlignment="1"/>
    <xf numFmtId="0" fontId="69" fillId="0" borderId="1" xfId="24280" applyFont="1" applyFill="1" applyBorder="1" applyAlignment="1">
      <alignment horizontal="center"/>
    </xf>
    <xf numFmtId="0" fontId="69" fillId="0" borderId="0" xfId="24280" applyFont="1" applyFill="1"/>
    <xf numFmtId="0" fontId="70" fillId="0" borderId="0" xfId="24280" applyFont="1" applyFill="1"/>
    <xf numFmtId="2" fontId="70" fillId="0" borderId="0" xfId="24280" applyNumberFormat="1" applyFont="1" applyFill="1"/>
    <xf numFmtId="0" fontId="84" fillId="0" borderId="0" xfId="24280" applyFont="1" applyFill="1"/>
    <xf numFmtId="4" fontId="70" fillId="0" borderId="0" xfId="24280" applyNumberFormat="1" applyFont="1" applyFill="1"/>
    <xf numFmtId="0" fontId="70" fillId="0" borderId="0" xfId="24280" applyFont="1" applyFill="1" applyAlignment="1">
      <alignment horizontal="center"/>
    </xf>
    <xf numFmtId="0" fontId="4" fillId="0" borderId="0" xfId="24280" applyFont="1" applyFill="1" applyAlignment="1">
      <alignment horizontal="right"/>
    </xf>
    <xf numFmtId="178" fontId="70" fillId="0" borderId="0" xfId="24280" applyNumberFormat="1" applyFont="1" applyFill="1"/>
    <xf numFmtId="0" fontId="70" fillId="0" borderId="0" xfId="24280" applyFont="1" applyFill="1" applyAlignment="1"/>
    <xf numFmtId="168" fontId="70" fillId="0" borderId="0" xfId="24280" applyNumberFormat="1" applyFont="1" applyFill="1"/>
    <xf numFmtId="0" fontId="0" fillId="0" borderId="0" xfId="0" applyFill="1"/>
    <xf numFmtId="0" fontId="0" fillId="0" borderId="0" xfId="0" applyFill="1" applyBorder="1"/>
    <xf numFmtId="166" fontId="78" fillId="0" borderId="0" xfId="12007" applyNumberFormat="1" applyFont="1" applyFill="1" applyBorder="1"/>
    <xf numFmtId="0" fontId="5" fillId="0" borderId="0" xfId="24280" applyFont="1" applyFill="1" applyBorder="1" applyAlignment="1">
      <alignment horizontal="left"/>
    </xf>
    <xf numFmtId="17" fontId="85" fillId="0" borderId="6" xfId="0" applyNumberFormat="1" applyFont="1" applyBorder="1" applyAlignment="1">
      <alignment vertical="center"/>
    </xf>
    <xf numFmtId="17" fontId="85" fillId="0" borderId="11" xfId="0" applyNumberFormat="1" applyFont="1" applyBorder="1" applyAlignment="1">
      <alignment vertical="center"/>
    </xf>
    <xf numFmtId="17" fontId="0" fillId="0" borderId="0" xfId="0" applyNumberFormat="1"/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17" fontId="79" fillId="0" borderId="6" xfId="0" quotePrefix="1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left"/>
    </xf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9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78" fillId="0" borderId="12" xfId="0" quotePrefix="1" applyFont="1" applyFill="1" applyBorder="1" applyAlignment="1">
      <alignment horizont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3" fillId="0" borderId="5" xfId="0" quotePrefix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53" borderId="4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4" xfId="0" quotePrefix="1" applyFont="1" applyFill="1" applyBorder="1" applyAlignment="1">
      <alignment horizontal="center" vertical="center" wrapText="1"/>
    </xf>
    <xf numFmtId="0" fontId="5" fillId="53" borderId="47" xfId="0" applyFont="1" applyFill="1" applyBorder="1" applyAlignment="1"/>
    <xf numFmtId="0" fontId="87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78" fillId="0" borderId="0" xfId="0" quotePrefix="1" applyFont="1" applyAlignment="1">
      <alignment horizontal="center" vertical="center" textRotation="180" wrapText="1"/>
    </xf>
    <xf numFmtId="0" fontId="90" fillId="0" borderId="0" xfId="0" applyFont="1" applyFill="1"/>
    <xf numFmtId="0" fontId="90" fillId="0" borderId="0" xfId="0" quotePrefix="1" applyFont="1" applyFill="1" applyAlignment="1">
      <alignment horizontal="center"/>
    </xf>
    <xf numFmtId="0" fontId="90" fillId="0" borderId="0" xfId="0" applyFont="1"/>
    <xf numFmtId="0" fontId="90" fillId="0" borderId="54" xfId="0" applyFont="1" applyFill="1" applyBorder="1" applyAlignment="1">
      <alignment horizontal="center"/>
    </xf>
    <xf numFmtId="0" fontId="90" fillId="55" borderId="54" xfId="0" applyFont="1" applyFill="1" applyBorder="1" applyAlignment="1">
      <alignment horizontal="center"/>
    </xf>
    <xf numFmtId="0" fontId="90" fillId="0" borderId="52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0" fontId="90" fillId="55" borderId="52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4" fontId="90" fillId="0" borderId="36" xfId="0" applyNumberFormat="1" applyFont="1" applyFill="1" applyBorder="1" applyAlignment="1">
      <alignment horizontal="center"/>
    </xf>
    <xf numFmtId="164" fontId="90" fillId="55" borderId="50" xfId="0" applyNumberFormat="1" applyFont="1" applyFill="1" applyBorder="1" applyAlignment="1">
      <alignment horizontal="center"/>
    </xf>
    <xf numFmtId="10" fontId="84" fillId="0" borderId="50" xfId="3" applyNumberFormat="1" applyFont="1" applyFill="1" applyBorder="1" applyAlignment="1">
      <alignment horizontal="center"/>
    </xf>
    <xf numFmtId="164" fontId="90" fillId="55" borderId="53" xfId="0" applyNumberFormat="1" applyFont="1" applyFill="1" applyBorder="1" applyAlignment="1">
      <alignment horizontal="center"/>
    </xf>
    <xf numFmtId="10" fontId="84" fillId="0" borderId="53" xfId="3" applyNumberFormat="1" applyFont="1" applyFill="1" applyBorder="1" applyAlignment="1">
      <alignment horizontal="center"/>
    </xf>
    <xf numFmtId="164" fontId="90" fillId="0" borderId="38" xfId="0" applyNumberFormat="1" applyFont="1" applyFill="1" applyBorder="1" applyAlignment="1">
      <alignment horizontal="center"/>
    </xf>
    <xf numFmtId="164" fontId="90" fillId="0" borderId="42" xfId="0" applyNumberFormat="1" applyFont="1" applyFill="1" applyBorder="1" applyAlignment="1">
      <alignment horizontal="center"/>
    </xf>
    <xf numFmtId="164" fontId="90" fillId="55" borderId="55" xfId="0" applyNumberFormat="1" applyFont="1" applyFill="1" applyBorder="1" applyAlignment="1">
      <alignment horizontal="center"/>
    </xf>
    <xf numFmtId="10" fontId="84" fillId="0" borderId="55" xfId="3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54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4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182" fontId="90" fillId="0" borderId="0" xfId="1" applyNumberFormat="1" applyFont="1" applyFill="1" applyBorder="1" applyAlignment="1">
      <alignment horizontal="center"/>
    </xf>
    <xf numFmtId="182" fontId="90" fillId="0" borderId="50" xfId="1" applyNumberFormat="1" applyFont="1" applyFill="1" applyBorder="1" applyAlignment="1">
      <alignment horizontal="center"/>
    </xf>
    <xf numFmtId="182" fontId="90" fillId="55" borderId="0" xfId="1" applyNumberFormat="1" applyFont="1" applyFill="1" applyBorder="1" applyAlignment="1">
      <alignment horizontal="center"/>
    </xf>
    <xf numFmtId="182" fontId="90" fillId="55" borderId="50" xfId="1" applyNumberFormat="1" applyFont="1" applyFill="1" applyBorder="1" applyAlignment="1">
      <alignment horizontal="center"/>
    </xf>
    <xf numFmtId="5" fontId="90" fillId="0" borderId="0" xfId="1" applyNumberFormat="1" applyFont="1" applyFill="1" applyBorder="1" applyAlignment="1">
      <alignment horizontal="center"/>
    </xf>
    <xf numFmtId="5" fontId="90" fillId="0" borderId="50" xfId="1" applyNumberFormat="1" applyFont="1" applyFill="1" applyBorder="1" applyAlignment="1">
      <alignment horizontal="center"/>
    </xf>
    <xf numFmtId="182" fontId="90" fillId="0" borderId="53" xfId="1" applyNumberFormat="1" applyFont="1" applyFill="1" applyBorder="1" applyAlignment="1">
      <alignment horizontal="center"/>
    </xf>
    <xf numFmtId="182" fontId="90" fillId="55" borderId="53" xfId="1" applyNumberFormat="1" applyFont="1" applyFill="1" applyBorder="1" applyAlignment="1">
      <alignment horizontal="center"/>
    </xf>
    <xf numFmtId="5" fontId="90" fillId="0" borderId="53" xfId="1" applyNumberFormat="1" applyFont="1" applyFill="1" applyBorder="1" applyAlignment="1">
      <alignment horizontal="center"/>
    </xf>
    <xf numFmtId="182" fontId="90" fillId="0" borderId="1" xfId="1" applyNumberFormat="1" applyFont="1" applyFill="1" applyBorder="1" applyAlignment="1">
      <alignment horizontal="center"/>
    </xf>
    <xf numFmtId="182" fontId="90" fillId="0" borderId="55" xfId="1" applyNumberFormat="1" applyFont="1" applyFill="1" applyBorder="1" applyAlignment="1">
      <alignment horizontal="center"/>
    </xf>
    <xf numFmtId="182" fontId="90" fillId="55" borderId="1" xfId="1" applyNumberFormat="1" applyFont="1" applyFill="1" applyBorder="1" applyAlignment="1">
      <alignment horizontal="center"/>
    </xf>
    <xf numFmtId="182" fontId="90" fillId="55" borderId="55" xfId="1" applyNumberFormat="1" applyFont="1" applyFill="1" applyBorder="1" applyAlignment="1">
      <alignment horizontal="center"/>
    </xf>
    <xf numFmtId="5" fontId="90" fillId="0" borderId="1" xfId="1" applyNumberFormat="1" applyFont="1" applyFill="1" applyBorder="1" applyAlignment="1">
      <alignment horizontal="center"/>
    </xf>
    <xf numFmtId="5" fontId="90" fillId="0" borderId="55" xfId="1" applyNumberFormat="1" applyFont="1" applyFill="1" applyBorder="1" applyAlignment="1">
      <alignment horizontal="center"/>
    </xf>
    <xf numFmtId="182" fontId="90" fillId="0" borderId="0" xfId="0" applyNumberFormat="1" applyFont="1" applyFill="1" applyAlignment="1">
      <alignment horizontal="center"/>
    </xf>
    <xf numFmtId="5" fontId="90" fillId="0" borderId="51" xfId="0" applyNumberFormat="1" applyFont="1" applyFill="1" applyBorder="1" applyAlignment="1">
      <alignment horizontal="center"/>
    </xf>
    <xf numFmtId="5" fontId="90" fillId="0" borderId="5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4" xfId="0" quotePrefix="1" applyFont="1" applyFill="1" applyBorder="1" applyAlignment="1">
      <alignment horizontal="center"/>
    </xf>
    <xf numFmtId="0" fontId="90" fillId="55" borderId="53" xfId="0" quotePrefix="1" applyFont="1" applyFill="1" applyBorder="1" applyAlignment="1">
      <alignment horizontal="center"/>
    </xf>
    <xf numFmtId="5" fontId="90" fillId="0" borderId="37" xfId="0" applyNumberFormat="1" applyFont="1" applyFill="1" applyBorder="1" applyAlignment="1">
      <alignment horizontal="center"/>
    </xf>
    <xf numFmtId="5" fontId="90" fillId="0" borderId="31" xfId="0" applyNumberFormat="1" applyFont="1" applyFill="1" applyBorder="1" applyAlignment="1">
      <alignment horizontal="center"/>
    </xf>
    <xf numFmtId="5" fontId="90" fillId="0" borderId="39" xfId="0" applyNumberFormat="1" applyFont="1" applyFill="1" applyBorder="1" applyAlignment="1">
      <alignment horizontal="center"/>
    </xf>
    <xf numFmtId="0" fontId="90" fillId="0" borderId="0" xfId="0" quotePrefix="1" applyFont="1" applyAlignment="1">
      <alignment horizontal="left"/>
    </xf>
    <xf numFmtId="164" fontId="90" fillId="0" borderId="50" xfId="0" applyNumberFormat="1" applyFont="1" applyFill="1" applyBorder="1" applyAlignment="1">
      <alignment horizontal="center"/>
    </xf>
    <xf numFmtId="164" fontId="90" fillId="0" borderId="53" xfId="0" applyNumberFormat="1" applyFont="1" applyFill="1" applyBorder="1" applyAlignment="1">
      <alignment horizontal="center"/>
    </xf>
    <xf numFmtId="164" fontId="90" fillId="0" borderId="55" xfId="0" applyNumberFormat="1" applyFont="1" applyFill="1" applyBorder="1" applyAlignment="1">
      <alignment horizontal="center"/>
    </xf>
    <xf numFmtId="0" fontId="0" fillId="53" borderId="0" xfId="0" applyFill="1"/>
    <xf numFmtId="0" fontId="0" fillId="53" borderId="0" xfId="0" applyFill="1" applyAlignment="1">
      <alignment horizontal="center" vertical="center"/>
    </xf>
    <xf numFmtId="37" fontId="71" fillId="0" borderId="0" xfId="57515" applyFont="1" applyBorder="1" applyAlignment="1">
      <alignment horizontal="center"/>
    </xf>
    <xf numFmtId="0" fontId="89" fillId="0" borderId="0" xfId="0" quotePrefix="1" applyFont="1" applyFill="1" applyAlignment="1">
      <alignment horizontal="left"/>
    </xf>
    <xf numFmtId="37" fontId="71" fillId="0" borderId="6" xfId="57515" quotePrefix="1" applyFont="1" applyBorder="1" applyAlignment="1">
      <alignment horizontal="left"/>
    </xf>
    <xf numFmtId="37" fontId="70" fillId="0" borderId="0" xfId="57516" applyFont="1" applyFill="1" applyBorder="1" applyAlignment="1">
      <alignment horizontal="center"/>
    </xf>
    <xf numFmtId="37" fontId="70" fillId="0" borderId="0" xfId="57516" applyFont="1" applyFill="1" applyBorder="1"/>
    <xf numFmtId="37" fontId="70" fillId="0" borderId="1" xfId="57516" applyFont="1" applyFill="1" applyBorder="1" applyAlignment="1">
      <alignment horizontal="center"/>
    </xf>
    <xf numFmtId="37" fontId="71" fillId="0" borderId="3" xfId="57515" applyFont="1" applyBorder="1" applyAlignment="1">
      <alignment horizontal="center"/>
    </xf>
    <xf numFmtId="37" fontId="71" fillId="0" borderId="4" xfId="57515" applyFont="1" applyBorder="1" applyAlignment="1">
      <alignment horizontal="center"/>
    </xf>
    <xf numFmtId="37" fontId="71" fillId="0" borderId="5" xfId="57515" applyFont="1" applyBorder="1" applyAlignment="1">
      <alignment horizontal="center"/>
    </xf>
    <xf numFmtId="37" fontId="70" fillId="0" borderId="7" xfId="57516" applyFont="1" applyFill="1" applyBorder="1" applyAlignment="1">
      <alignment horizontal="center"/>
    </xf>
    <xf numFmtId="37" fontId="6" fillId="0" borderId="0" xfId="57516" quotePrefix="1" applyFont="1" applyFill="1" applyBorder="1" applyAlignment="1">
      <alignment horizontal="center"/>
    </xf>
    <xf numFmtId="37" fontId="6" fillId="0" borderId="7" xfId="57516" quotePrefix="1" applyFont="1" applyFill="1" applyBorder="1" applyAlignment="1">
      <alignment horizontal="center"/>
    </xf>
    <xf numFmtId="37" fontId="70" fillId="0" borderId="8" xfId="57516" applyFont="1" applyFill="1" applyBorder="1" applyAlignment="1">
      <alignment horizontal="center"/>
    </xf>
    <xf numFmtId="37" fontId="70" fillId="0" borderId="0" xfId="57515" applyFont="1" applyBorder="1" applyAlignment="1">
      <alignment horizontal="right"/>
    </xf>
    <xf numFmtId="0" fontId="69" fillId="0" borderId="0" xfId="24280" applyFont="1" applyFill="1" applyAlignment="1">
      <alignment horizontal="right"/>
    </xf>
    <xf numFmtId="0" fontId="69" fillId="0" borderId="1" xfId="24280" applyFont="1" applyFill="1" applyBorder="1" applyAlignment="1">
      <alignment horizontal="right"/>
    </xf>
    <xf numFmtId="0" fontId="70" fillId="0" borderId="0" xfId="24280" applyFont="1" applyFill="1" applyAlignment="1">
      <alignment wrapText="1"/>
    </xf>
    <xf numFmtId="37" fontId="70" fillId="0" borderId="0" xfId="57515" quotePrefix="1" applyFont="1" applyBorder="1" applyAlignment="1">
      <alignment horizontal="left"/>
    </xf>
    <xf numFmtId="166" fontId="80" fillId="0" borderId="0" xfId="12007" applyNumberFormat="1" applyFont="1" applyFill="1" applyBorder="1"/>
    <xf numFmtId="166" fontId="70" fillId="0" borderId="2" xfId="12007" applyNumberFormat="1" applyFont="1" applyFill="1" applyBorder="1"/>
    <xf numFmtId="9" fontId="70" fillId="0" borderId="0" xfId="3" applyFont="1" applyBorder="1"/>
    <xf numFmtId="166" fontId="70" fillId="0" borderId="0" xfId="2" applyNumberFormat="1" applyFont="1" applyBorder="1"/>
    <xf numFmtId="37" fontId="75" fillId="0" borderId="0" xfId="1" quotePrefix="1" applyNumberFormat="1" applyFont="1" applyAlignment="1">
      <alignment horizontal="right"/>
    </xf>
    <xf numFmtId="37" fontId="70" fillId="0" borderId="34" xfId="57515" applyFont="1" applyBorder="1"/>
    <xf numFmtId="37" fontId="70" fillId="0" borderId="34" xfId="3" applyNumberFormat="1" applyFont="1" applyFill="1" applyBorder="1"/>
    <xf numFmtId="166" fontId="70" fillId="0" borderId="7" xfId="45409" applyNumberFormat="1" applyFont="1" applyFill="1" applyBorder="1" applyAlignment="1">
      <alignment horizontal="center"/>
    </xf>
    <xf numFmtId="166" fontId="70" fillId="0" borderId="44" xfId="45409" applyNumberFormat="1" applyFont="1" applyFill="1" applyBorder="1" applyAlignment="1">
      <alignment horizontal="center"/>
    </xf>
    <xf numFmtId="10" fontId="70" fillId="0" borderId="7" xfId="3" applyNumberFormat="1" applyFont="1" applyFill="1" applyBorder="1"/>
    <xf numFmtId="10" fontId="70" fillId="0" borderId="44" xfId="3" applyNumberFormat="1" applyFont="1" applyFill="1" applyBorder="1"/>
    <xf numFmtId="168" fontId="70" fillId="0" borderId="0" xfId="45409" applyNumberFormat="1" applyFont="1" applyFill="1" applyBorder="1"/>
    <xf numFmtId="37" fontId="93" fillId="0" borderId="0" xfId="57516" applyFont="1" applyFill="1" applyBorder="1" applyAlignment="1">
      <alignment horizontal="center"/>
    </xf>
    <xf numFmtId="166" fontId="70" fillId="0" borderId="2" xfId="12007" applyNumberFormat="1" applyFont="1" applyBorder="1"/>
    <xf numFmtId="168" fontId="70" fillId="0" borderId="2" xfId="45409" applyNumberFormat="1" applyFont="1" applyBorder="1"/>
    <xf numFmtId="166" fontId="80" fillId="54" borderId="2" xfId="12007" applyNumberFormat="1" applyFont="1" applyFill="1" applyBorder="1"/>
    <xf numFmtId="168" fontId="70" fillId="0" borderId="2" xfId="45409" applyNumberFormat="1" applyFont="1" applyFill="1" applyBorder="1"/>
    <xf numFmtId="37" fontId="70" fillId="0" borderId="0" xfId="57516" quotePrefix="1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83" fillId="0" borderId="6" xfId="0" quotePrefix="1" applyFont="1" applyFill="1" applyBorder="1" applyAlignment="1">
      <alignment horizontal="center" vertical="center" wrapText="1"/>
    </xf>
    <xf numFmtId="0" fontId="83" fillId="0" borderId="0" xfId="0" quotePrefix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82" fontId="90" fillId="55" borderId="50" xfId="2" applyNumberFormat="1" applyFont="1" applyFill="1" applyBorder="1" applyAlignment="1">
      <alignment horizontal="center"/>
    </xf>
    <xf numFmtId="182" fontId="90" fillId="55" borderId="37" xfId="2" applyNumberFormat="1" applyFont="1" applyFill="1" applyBorder="1" applyAlignment="1">
      <alignment horizontal="center"/>
    </xf>
    <xf numFmtId="182" fontId="90" fillId="55" borderId="53" xfId="2" applyNumberFormat="1" applyFont="1" applyFill="1" applyBorder="1" applyAlignment="1">
      <alignment horizontal="center"/>
    </xf>
    <xf numFmtId="182" fontId="90" fillId="55" borderId="31" xfId="2" applyNumberFormat="1" applyFont="1" applyFill="1" applyBorder="1" applyAlignment="1">
      <alignment horizontal="center"/>
    </xf>
    <xf numFmtId="182" fontId="90" fillId="55" borderId="55" xfId="2" applyNumberFormat="1" applyFont="1" applyFill="1" applyBorder="1" applyAlignment="1">
      <alignment horizontal="center"/>
    </xf>
    <xf numFmtId="182" fontId="90" fillId="55" borderId="39" xfId="2" applyNumberFormat="1" applyFont="1" applyFill="1" applyBorder="1" applyAlignment="1">
      <alignment horizontal="center"/>
    </xf>
    <xf numFmtId="0" fontId="75" fillId="0" borderId="13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7" xfId="0" applyFont="1" applyBorder="1" applyAlignment="1"/>
    <xf numFmtId="0" fontId="5" fillId="0" borderId="48" xfId="0" applyFont="1" applyBorder="1" applyAlignment="1"/>
    <xf numFmtId="0" fontId="89" fillId="0" borderId="0" xfId="24280" quotePrefix="1" applyFont="1" applyFill="1" applyAlignment="1">
      <alignment horizontal="left"/>
    </xf>
    <xf numFmtId="0" fontId="84" fillId="0" borderId="0" xfId="0" applyFont="1" applyFill="1"/>
    <xf numFmtId="37" fontId="71" fillId="0" borderId="0" xfId="57515" applyFont="1" applyBorder="1" applyAlignment="1">
      <alignment horizontal="center"/>
    </xf>
    <xf numFmtId="37" fontId="70" fillId="0" borderId="1" xfId="57515" applyFont="1" applyBorder="1"/>
    <xf numFmtId="37" fontId="70" fillId="0" borderId="2" xfId="57515" applyFont="1" applyBorder="1"/>
    <xf numFmtId="0" fontId="95" fillId="0" borderId="38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0" fontId="96" fillId="0" borderId="0" xfId="0" applyFont="1" applyFill="1" applyBorder="1"/>
    <xf numFmtId="178" fontId="96" fillId="0" borderId="31" xfId="0" applyNumberFormat="1" applyFont="1" applyFill="1" applyBorder="1"/>
    <xf numFmtId="43" fontId="96" fillId="0" borderId="38" xfId="11027" applyFont="1" applyFill="1" applyBorder="1"/>
    <xf numFmtId="178" fontId="96" fillId="0" borderId="31" xfId="0" applyNumberFormat="1" applyFont="1" applyFill="1" applyBorder="1" applyAlignment="1">
      <alignment horizontal="center"/>
    </xf>
    <xf numFmtId="0" fontId="96" fillId="0" borderId="38" xfId="0" applyFont="1" applyFill="1" applyBorder="1"/>
    <xf numFmtId="0" fontId="97" fillId="0" borderId="0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 wrapText="1"/>
    </xf>
    <xf numFmtId="0" fontId="96" fillId="0" borderId="1" xfId="0" applyFont="1" applyFill="1" applyBorder="1" applyAlignment="1">
      <alignment horizontal="right" wrapText="1"/>
    </xf>
    <xf numFmtId="178" fontId="96" fillId="0" borderId="39" xfId="0" applyNumberFormat="1" applyFont="1" applyFill="1" applyBorder="1" applyAlignment="1">
      <alignment horizontal="center"/>
    </xf>
    <xf numFmtId="179" fontId="96" fillId="0" borderId="0" xfId="0" applyNumberFormat="1" applyFont="1" applyFill="1" applyBorder="1" applyAlignment="1">
      <alignment horizontal="center"/>
    </xf>
    <xf numFmtId="180" fontId="96" fillId="0" borderId="0" xfId="0" applyNumberFormat="1" applyFont="1" applyFill="1" applyBorder="1"/>
    <xf numFmtId="37" fontId="96" fillId="0" borderId="0" xfId="0" applyNumberFormat="1" applyFont="1" applyFill="1" applyBorder="1"/>
    <xf numFmtId="165" fontId="96" fillId="0" borderId="0" xfId="0" applyNumberFormat="1" applyFont="1" applyFill="1" applyBorder="1"/>
    <xf numFmtId="165" fontId="96" fillId="0" borderId="0" xfId="0" applyNumberFormat="1" applyFont="1" applyFill="1" applyBorder="1" applyAlignment="1">
      <alignment horizontal="right"/>
    </xf>
    <xf numFmtId="37" fontId="96" fillId="0" borderId="0" xfId="0" applyNumberFormat="1" applyFont="1" applyFill="1" applyBorder="1" applyAlignment="1">
      <alignment horizontal="right"/>
    </xf>
    <xf numFmtId="168" fontId="96" fillId="0" borderId="0" xfId="0" applyNumberFormat="1" applyFont="1" applyFill="1" applyBorder="1"/>
    <xf numFmtId="0" fontId="96" fillId="0" borderId="0" xfId="0" applyFont="1" applyFill="1" applyBorder="1" applyAlignment="1">
      <alignment horizontal="left"/>
    </xf>
    <xf numFmtId="41" fontId="96" fillId="0" borderId="0" xfId="0" applyNumberFormat="1" applyFont="1" applyFill="1" applyBorder="1"/>
    <xf numFmtId="168" fontId="96" fillId="0" borderId="31" xfId="45409" applyNumberFormat="1" applyFont="1" applyFill="1" applyBorder="1"/>
    <xf numFmtId="0" fontId="95" fillId="0" borderId="0" xfId="0" applyFont="1" applyFill="1" applyBorder="1" applyAlignment="1">
      <alignment horizontal="right"/>
    </xf>
    <xf numFmtId="41" fontId="96" fillId="0" borderId="0" xfId="0" applyNumberFormat="1" applyFont="1" applyFill="1" applyBorder="1" applyAlignment="1">
      <alignment horizontal="right"/>
    </xf>
    <xf numFmtId="41" fontId="96" fillId="0" borderId="0" xfId="0" applyNumberFormat="1" applyFont="1" applyFill="1" applyBorder="1" applyAlignment="1">
      <alignment horizontal="left"/>
    </xf>
    <xf numFmtId="0" fontId="95" fillId="0" borderId="38" xfId="0" applyFont="1" applyFill="1" applyBorder="1"/>
    <xf numFmtId="43" fontId="96" fillId="0" borderId="0" xfId="11027" applyFont="1" applyFill="1" applyBorder="1" applyAlignment="1">
      <alignment horizontal="center"/>
    </xf>
    <xf numFmtId="181" fontId="96" fillId="0" borderId="0" xfId="0" applyNumberFormat="1" applyFont="1" applyFill="1" applyBorder="1"/>
    <xf numFmtId="42" fontId="96" fillId="0" borderId="40" xfId="0" applyNumberFormat="1" applyFont="1" applyFill="1" applyBorder="1"/>
    <xf numFmtId="42" fontId="96" fillId="0" borderId="0" xfId="0" applyNumberFormat="1" applyFont="1" applyFill="1" applyBorder="1" applyAlignment="1">
      <alignment horizontal="right"/>
    </xf>
    <xf numFmtId="42" fontId="96" fillId="0" borderId="0" xfId="0" applyNumberFormat="1" applyFont="1" applyFill="1" applyBorder="1"/>
    <xf numFmtId="168" fontId="95" fillId="0" borderId="41" xfId="45409" applyNumberFormat="1" applyFont="1" applyFill="1" applyBorder="1"/>
    <xf numFmtId="0" fontId="96" fillId="0" borderId="0" xfId="0" applyFont="1" applyFill="1" applyAlignment="1">
      <alignment horizontal="right"/>
    </xf>
    <xf numFmtId="175" fontId="96" fillId="0" borderId="0" xfId="0" applyNumberFormat="1" applyFont="1" applyFill="1" applyBorder="1"/>
    <xf numFmtId="41" fontId="96" fillId="0" borderId="0" xfId="0" applyNumberFormat="1" applyFont="1" applyFill="1" applyBorder="1" applyAlignment="1">
      <alignment horizontal="center"/>
    </xf>
    <xf numFmtId="180" fontId="96" fillId="0" borderId="31" xfId="45409" applyNumberFormat="1" applyFont="1" applyFill="1" applyBorder="1"/>
    <xf numFmtId="2" fontId="96" fillId="0" borderId="0" xfId="0" applyNumberFormat="1" applyFont="1" applyFill="1" applyBorder="1"/>
    <xf numFmtId="0" fontId="96" fillId="0" borderId="38" xfId="0" applyFont="1" applyFill="1" applyBorder="1" applyAlignment="1">
      <alignment wrapText="1"/>
    </xf>
    <xf numFmtId="0" fontId="96" fillId="0" borderId="0" xfId="0" applyFont="1" applyFill="1"/>
    <xf numFmtId="39" fontId="96" fillId="0" borderId="0" xfId="0" applyNumberFormat="1" applyFont="1" applyFill="1" applyBorder="1"/>
    <xf numFmtId="43" fontId="96" fillId="0" borderId="0" xfId="0" applyNumberFormat="1" applyFont="1" applyFill="1" applyBorder="1" applyAlignment="1">
      <alignment horizontal="right"/>
    </xf>
    <xf numFmtId="42" fontId="96" fillId="0" borderId="35" xfId="0" applyNumberFormat="1" applyFont="1" applyFill="1" applyBorder="1"/>
    <xf numFmtId="0" fontId="96" fillId="0" borderId="42" xfId="0" applyFont="1" applyFill="1" applyBorder="1"/>
    <xf numFmtId="0" fontId="96" fillId="0" borderId="1" xfId="0" applyFont="1" applyFill="1" applyBorder="1" applyAlignment="1">
      <alignment horizontal="right"/>
    </xf>
    <xf numFmtId="181" fontId="96" fillId="0" borderId="1" xfId="0" applyNumberFormat="1" applyFont="1" applyFill="1" applyBorder="1"/>
    <xf numFmtId="37" fontId="96" fillId="0" borderId="1" xfId="0" applyNumberFormat="1" applyFont="1" applyFill="1" applyBorder="1"/>
    <xf numFmtId="0" fontId="96" fillId="0" borderId="1" xfId="0" applyFont="1" applyFill="1" applyBorder="1"/>
    <xf numFmtId="37" fontId="96" fillId="0" borderId="1" xfId="0" applyNumberFormat="1" applyFont="1" applyFill="1" applyBorder="1" applyAlignment="1">
      <alignment horizontal="right"/>
    </xf>
    <xf numFmtId="178" fontId="96" fillId="0" borderId="39" xfId="0" applyNumberFormat="1" applyFont="1" applyFill="1" applyBorder="1"/>
    <xf numFmtId="0" fontId="96" fillId="0" borderId="0" xfId="0" applyFont="1" applyFill="1" applyAlignment="1">
      <alignment horizontal="center"/>
    </xf>
    <xf numFmtId="181" fontId="96" fillId="0" borderId="0" xfId="0" applyNumberFormat="1" applyFont="1" applyFill="1"/>
    <xf numFmtId="37" fontId="96" fillId="0" borderId="0" xfId="0" applyNumberFormat="1" applyFont="1" applyFill="1"/>
    <xf numFmtId="0" fontId="95" fillId="0" borderId="0" xfId="0" applyFont="1" applyFill="1" applyAlignment="1">
      <alignment horizontal="right"/>
    </xf>
    <xf numFmtId="37" fontId="96" fillId="0" borderId="2" xfId="0" applyNumberFormat="1" applyFont="1" applyFill="1" applyBorder="1"/>
    <xf numFmtId="37" fontId="96" fillId="0" borderId="2" xfId="0" applyNumberFormat="1" applyFont="1" applyFill="1" applyBorder="1" applyAlignment="1">
      <alignment horizontal="right"/>
    </xf>
    <xf numFmtId="178" fontId="96" fillId="0" borderId="0" xfId="0" applyNumberFormat="1" applyFont="1" applyFill="1"/>
    <xf numFmtId="37" fontId="96" fillId="0" borderId="0" xfId="0" applyNumberFormat="1" applyFont="1" applyFill="1" applyAlignment="1">
      <alignment horizontal="right"/>
    </xf>
    <xf numFmtId="4" fontId="96" fillId="0" borderId="0" xfId="0" applyNumberFormat="1" applyFont="1" applyFill="1"/>
    <xf numFmtId="0" fontId="97" fillId="0" borderId="0" xfId="0" applyFont="1" applyFill="1" applyBorder="1" applyAlignment="1">
      <alignment horizontal="right"/>
    </xf>
    <xf numFmtId="178" fontId="97" fillId="0" borderId="31" xfId="0" applyNumberFormat="1" applyFont="1" applyFill="1" applyBorder="1" applyAlignment="1">
      <alignment horizontal="center"/>
    </xf>
    <xf numFmtId="5" fontId="96" fillId="0" borderId="0" xfId="0" applyNumberFormat="1" applyFont="1" applyFill="1" applyBorder="1"/>
    <xf numFmtId="42" fontId="96" fillId="0" borderId="0" xfId="0" applyNumberFormat="1" applyFont="1" applyFill="1" applyBorder="1" applyAlignment="1">
      <alignment horizontal="center"/>
    </xf>
    <xf numFmtId="166" fontId="96" fillId="0" borderId="1" xfId="0" applyNumberFormat="1" applyFont="1" applyFill="1" applyBorder="1"/>
    <xf numFmtId="41" fontId="96" fillId="0" borderId="1" xfId="0" applyNumberFormat="1" applyFont="1" applyFill="1" applyBorder="1"/>
    <xf numFmtId="41" fontId="96" fillId="0" borderId="1" xfId="0" applyNumberFormat="1" applyFont="1" applyFill="1" applyBorder="1" applyAlignment="1">
      <alignment horizontal="center"/>
    </xf>
    <xf numFmtId="168" fontId="96" fillId="0" borderId="39" xfId="45409" applyNumberFormat="1" applyFont="1" applyFill="1" applyBorder="1"/>
    <xf numFmtId="5" fontId="96" fillId="0" borderId="35" xfId="0" applyNumberFormat="1" applyFont="1" applyFill="1" applyBorder="1"/>
    <xf numFmtId="42" fontId="96" fillId="0" borderId="35" xfId="0" applyNumberFormat="1" applyFont="1" applyFill="1" applyBorder="1" applyAlignment="1">
      <alignment horizontal="center"/>
    </xf>
    <xf numFmtId="168" fontId="95" fillId="0" borderId="43" xfId="45409" applyNumberFormat="1" applyFont="1" applyFill="1" applyBorder="1"/>
    <xf numFmtId="165" fontId="96" fillId="0" borderId="1" xfId="0" applyNumberFormat="1" applyFont="1" applyFill="1" applyBorder="1"/>
    <xf numFmtId="165" fontId="96" fillId="0" borderId="1" xfId="0" applyNumberFormat="1" applyFont="1" applyFill="1" applyBorder="1" applyAlignment="1">
      <alignment horizontal="right"/>
    </xf>
    <xf numFmtId="168" fontId="96" fillId="0" borderId="0" xfId="45409" applyNumberFormat="1" applyFont="1" applyFill="1"/>
    <xf numFmtId="42" fontId="96" fillId="0" borderId="34" xfId="0" applyNumberFormat="1" applyFont="1" applyFill="1" applyBorder="1"/>
    <xf numFmtId="42" fontId="96" fillId="0" borderId="0" xfId="0" applyNumberFormat="1" applyFont="1" applyFill="1"/>
    <xf numFmtId="42" fontId="98" fillId="0" borderId="0" xfId="0" applyNumberFormat="1" applyFont="1" applyFill="1" applyAlignment="1">
      <alignment horizontal="right"/>
    </xf>
    <xf numFmtId="42" fontId="96" fillId="0" borderId="0" xfId="0" applyNumberFormat="1" applyFont="1" applyFill="1" applyAlignment="1">
      <alignment horizontal="right"/>
    </xf>
    <xf numFmtId="180" fontId="95" fillId="0" borderId="0" xfId="45409" applyNumberFormat="1" applyFont="1" applyFill="1" applyAlignment="1">
      <alignment horizontal="center"/>
    </xf>
    <xf numFmtId="37" fontId="96" fillId="0" borderId="0" xfId="0" applyNumberFormat="1" applyFont="1" applyFill="1" applyAlignment="1">
      <alignment horizontal="center"/>
    </xf>
    <xf numFmtId="0" fontId="96" fillId="0" borderId="0" xfId="0" applyFont="1" applyFill="1" applyAlignment="1"/>
    <xf numFmtId="0" fontId="97" fillId="0" borderId="0" xfId="0" applyFont="1" applyFill="1" applyAlignment="1">
      <alignment horizontal="left"/>
    </xf>
    <xf numFmtId="0" fontId="97" fillId="0" borderId="0" xfId="0" applyFont="1" applyFill="1"/>
    <xf numFmtId="37" fontId="97" fillId="0" borderId="0" xfId="0" applyNumberFormat="1" applyFont="1" applyFill="1" applyAlignment="1">
      <alignment horizontal="center"/>
    </xf>
    <xf numFmtId="37" fontId="97" fillId="0" borderId="0" xfId="0" applyNumberFormat="1" applyFont="1" applyFill="1" applyAlignment="1">
      <alignment horizontal="right"/>
    </xf>
    <xf numFmtId="0" fontId="97" fillId="0" borderId="0" xfId="0" applyFont="1" applyFill="1" applyAlignment="1">
      <alignment horizontal="center"/>
    </xf>
    <xf numFmtId="0" fontId="96" fillId="0" borderId="0" xfId="0" applyFont="1" applyFill="1" applyAlignment="1">
      <alignment horizontal="left"/>
    </xf>
    <xf numFmtId="179" fontId="96" fillId="0" borderId="0" xfId="0" applyNumberFormat="1" applyFont="1" applyFill="1" applyAlignment="1">
      <alignment horizontal="center"/>
    </xf>
    <xf numFmtId="179" fontId="96" fillId="0" borderId="0" xfId="0" applyNumberFormat="1" applyFont="1" applyFill="1" applyAlignment="1">
      <alignment horizontal="right"/>
    </xf>
    <xf numFmtId="168" fontId="96" fillId="0" borderId="0" xfId="0" applyNumberFormat="1" applyFont="1" applyFill="1" applyAlignment="1">
      <alignment horizontal="center"/>
    </xf>
    <xf numFmtId="168" fontId="96" fillId="0" borderId="0" xfId="0" applyNumberFormat="1" applyFont="1" applyFill="1" applyAlignment="1">
      <alignment horizontal="right"/>
    </xf>
    <xf numFmtId="37" fontId="96" fillId="0" borderId="34" xfId="0" applyNumberFormat="1" applyFont="1" applyFill="1" applyBorder="1"/>
    <xf numFmtId="168" fontId="96" fillId="0" borderId="0" xfId="0" applyNumberFormat="1" applyFont="1" applyFill="1"/>
    <xf numFmtId="0" fontId="96" fillId="0" borderId="0" xfId="0" applyFont="1" applyFill="1" applyAlignment="1">
      <alignment horizontal="left" wrapText="1"/>
    </xf>
    <xf numFmtId="10" fontId="70" fillId="0" borderId="0" xfId="57515" applyNumberFormat="1" applyFont="1" applyFill="1" applyBorder="1"/>
    <xf numFmtId="168" fontId="70" fillId="0" borderId="1" xfId="45409" applyNumberFormat="1" applyFont="1" applyFill="1" applyBorder="1"/>
    <xf numFmtId="0" fontId="95" fillId="0" borderId="0" xfId="24282" applyFont="1" applyFill="1" applyAlignment="1"/>
    <xf numFmtId="0" fontId="95" fillId="0" borderId="38" xfId="24282" applyFont="1" applyFill="1" applyBorder="1" applyAlignment="1">
      <alignment horizontal="left"/>
    </xf>
    <xf numFmtId="0" fontId="96" fillId="0" borderId="0" xfId="24282" applyFont="1" applyFill="1" applyBorder="1" applyAlignment="1">
      <alignment horizontal="center"/>
    </xf>
    <xf numFmtId="0" fontId="96" fillId="0" borderId="0" xfId="24282" applyFont="1" applyFill="1" applyBorder="1" applyAlignment="1">
      <alignment horizontal="right"/>
    </xf>
    <xf numFmtId="0" fontId="96" fillId="0" borderId="0" xfId="24282" applyFont="1" applyFill="1" applyBorder="1"/>
    <xf numFmtId="178" fontId="96" fillId="0" borderId="31" xfId="24282" applyNumberFormat="1" applyFont="1" applyFill="1" applyBorder="1"/>
    <xf numFmtId="0" fontId="96" fillId="0" borderId="0" xfId="24282" applyFont="1" applyFill="1"/>
    <xf numFmtId="178" fontId="96" fillId="0" borderId="31" xfId="24282" applyNumberFormat="1" applyFont="1" applyFill="1" applyBorder="1" applyAlignment="1">
      <alignment horizontal="center"/>
    </xf>
    <xf numFmtId="0" fontId="96" fillId="0" borderId="38" xfId="24282" applyFont="1" applyFill="1" applyBorder="1"/>
    <xf numFmtId="0" fontId="97" fillId="0" borderId="0" xfId="24282" applyFont="1" applyFill="1" applyBorder="1" applyAlignment="1">
      <alignment horizontal="center"/>
    </xf>
    <xf numFmtId="0" fontId="96" fillId="0" borderId="1" xfId="24282" applyFont="1" applyFill="1" applyBorder="1" applyAlignment="1">
      <alignment horizontal="center" wrapText="1"/>
    </xf>
    <xf numFmtId="0" fontId="96" fillId="0" borderId="1" xfId="24282" applyFont="1" applyFill="1" applyBorder="1" applyAlignment="1">
      <alignment horizontal="right" wrapText="1"/>
    </xf>
    <xf numFmtId="178" fontId="96" fillId="0" borderId="39" xfId="24282" applyNumberFormat="1" applyFont="1" applyFill="1" applyBorder="1" applyAlignment="1">
      <alignment horizontal="center"/>
    </xf>
    <xf numFmtId="179" fontId="96" fillId="0" borderId="0" xfId="24282" applyNumberFormat="1" applyFont="1" applyFill="1" applyBorder="1" applyAlignment="1">
      <alignment horizontal="center"/>
    </xf>
    <xf numFmtId="180" fontId="96" fillId="0" borderId="0" xfId="24282" applyNumberFormat="1" applyFont="1" applyFill="1" applyBorder="1"/>
    <xf numFmtId="37" fontId="96" fillId="0" borderId="0" xfId="24282" applyNumberFormat="1" applyFont="1" applyFill="1" applyBorder="1"/>
    <xf numFmtId="165" fontId="96" fillId="0" borderId="0" xfId="24282" applyNumberFormat="1" applyFont="1" applyFill="1" applyBorder="1"/>
    <xf numFmtId="165" fontId="96" fillId="0" borderId="0" xfId="24282" applyNumberFormat="1" applyFont="1" applyFill="1" applyBorder="1" applyAlignment="1">
      <alignment horizontal="right"/>
    </xf>
    <xf numFmtId="37" fontId="96" fillId="0" borderId="0" xfId="24282" applyNumberFormat="1" applyFont="1" applyFill="1" applyBorder="1" applyAlignment="1">
      <alignment horizontal="right"/>
    </xf>
    <xf numFmtId="0" fontId="95" fillId="0" borderId="38" xfId="24282" applyFont="1" applyFill="1" applyBorder="1"/>
    <xf numFmtId="2" fontId="96" fillId="0" borderId="0" xfId="24282" applyNumberFormat="1" applyFont="1" applyFill="1"/>
    <xf numFmtId="43" fontId="96" fillId="0" borderId="0" xfId="11027" applyFont="1" applyFill="1"/>
    <xf numFmtId="165" fontId="96" fillId="0" borderId="0" xfId="24282" applyNumberFormat="1" applyFont="1" applyFill="1"/>
    <xf numFmtId="0" fontId="96" fillId="0" borderId="38" xfId="24282" applyFont="1" applyFill="1" applyBorder="1" applyAlignment="1">
      <alignment wrapText="1"/>
    </xf>
    <xf numFmtId="0" fontId="95" fillId="0" borderId="0" xfId="24282" applyFont="1" applyFill="1" applyBorder="1" applyAlignment="1">
      <alignment horizontal="right"/>
    </xf>
    <xf numFmtId="4" fontId="96" fillId="0" borderId="0" xfId="24282" applyNumberFormat="1" applyFont="1" applyFill="1"/>
    <xf numFmtId="0" fontId="96" fillId="0" borderId="42" xfId="24282" applyFont="1" applyFill="1" applyBorder="1"/>
    <xf numFmtId="0" fontId="96" fillId="0" borderId="1" xfId="24282" applyFont="1" applyFill="1" applyBorder="1" applyAlignment="1">
      <alignment horizontal="right"/>
    </xf>
    <xf numFmtId="181" fontId="96" fillId="0" borderId="1" xfId="24282" applyNumberFormat="1" applyFont="1" applyFill="1" applyBorder="1"/>
    <xf numFmtId="37" fontId="96" fillId="0" borderId="1" xfId="24282" applyNumberFormat="1" applyFont="1" applyFill="1" applyBorder="1"/>
    <xf numFmtId="0" fontId="96" fillId="0" borderId="1" xfId="24282" applyFont="1" applyFill="1" applyBorder="1"/>
    <xf numFmtId="37" fontId="96" fillId="0" borderId="1" xfId="24282" applyNumberFormat="1" applyFont="1" applyFill="1" applyBorder="1" applyAlignment="1">
      <alignment horizontal="right"/>
    </xf>
    <xf numFmtId="178" fontId="96" fillId="0" borderId="39" xfId="24282" applyNumberFormat="1" applyFont="1" applyFill="1" applyBorder="1"/>
    <xf numFmtId="0" fontId="96" fillId="0" borderId="0" xfId="24282" applyFont="1" applyFill="1" applyAlignment="1">
      <alignment horizontal="center"/>
    </xf>
    <xf numFmtId="0" fontId="96" fillId="0" borderId="0" xfId="24282" applyFont="1" applyFill="1" applyAlignment="1">
      <alignment horizontal="right"/>
    </xf>
    <xf numFmtId="181" fontId="96" fillId="0" borderId="0" xfId="24282" applyNumberFormat="1" applyFont="1" applyFill="1"/>
    <xf numFmtId="37" fontId="96" fillId="0" borderId="0" xfId="24282" applyNumberFormat="1" applyFont="1" applyFill="1"/>
    <xf numFmtId="0" fontId="95" fillId="0" borderId="0" xfId="24282" applyFont="1" applyFill="1" applyAlignment="1">
      <alignment horizontal="right"/>
    </xf>
    <xf numFmtId="37" fontId="96" fillId="0" borderId="2" xfId="24282" applyNumberFormat="1" applyFont="1" applyFill="1" applyBorder="1"/>
    <xf numFmtId="37" fontId="96" fillId="0" borderId="2" xfId="24282" applyNumberFormat="1" applyFont="1" applyFill="1" applyBorder="1" applyAlignment="1">
      <alignment horizontal="right"/>
    </xf>
    <xf numFmtId="178" fontId="96" fillId="0" borderId="0" xfId="24282" applyNumberFormat="1" applyFont="1" applyFill="1"/>
    <xf numFmtId="37" fontId="96" fillId="0" borderId="0" xfId="24282" applyNumberFormat="1" applyFont="1" applyFill="1" applyAlignment="1">
      <alignment horizontal="right"/>
    </xf>
    <xf numFmtId="0" fontId="96" fillId="0" borderId="0" xfId="24282" applyFont="1" applyFill="1" applyAlignment="1"/>
    <xf numFmtId="0" fontId="97" fillId="0" borderId="0" xfId="24282" applyFont="1" applyFill="1" applyBorder="1" applyAlignment="1">
      <alignment horizontal="right"/>
    </xf>
    <xf numFmtId="178" fontId="97" fillId="0" borderId="31" xfId="24282" applyNumberFormat="1" applyFont="1" applyFill="1" applyBorder="1" applyAlignment="1">
      <alignment horizontal="center"/>
    </xf>
    <xf numFmtId="37" fontId="96" fillId="0" borderId="0" xfId="24282" applyNumberFormat="1" applyFont="1" applyFill="1" applyAlignment="1">
      <alignment horizontal="center"/>
    </xf>
    <xf numFmtId="0" fontId="97" fillId="0" borderId="0" xfId="24282" applyFont="1" applyFill="1" applyAlignment="1">
      <alignment horizontal="left"/>
    </xf>
    <xf numFmtId="0" fontId="97" fillId="0" borderId="0" xfId="24282" applyFont="1" applyFill="1"/>
    <xf numFmtId="37" fontId="97" fillId="0" borderId="0" xfId="24282" applyNumberFormat="1" applyFont="1" applyFill="1" applyAlignment="1">
      <alignment horizontal="center"/>
    </xf>
    <xf numFmtId="37" fontId="97" fillId="0" borderId="0" xfId="24282" applyNumberFormat="1" applyFont="1" applyFill="1" applyAlignment="1">
      <alignment horizontal="right"/>
    </xf>
    <xf numFmtId="0" fontId="97" fillId="0" borderId="0" xfId="24282" applyFont="1" applyFill="1" applyAlignment="1">
      <alignment horizontal="center"/>
    </xf>
    <xf numFmtId="0" fontId="96" fillId="0" borderId="0" xfId="24282" applyFont="1" applyFill="1" applyAlignment="1">
      <alignment horizontal="left"/>
    </xf>
    <xf numFmtId="179" fontId="96" fillId="0" borderId="0" xfId="24282" applyNumberFormat="1" applyFont="1" applyFill="1" applyAlignment="1">
      <alignment horizontal="center"/>
    </xf>
    <xf numFmtId="179" fontId="96" fillId="0" borderId="0" xfId="24282" applyNumberFormat="1" applyFont="1" applyFill="1" applyAlignment="1">
      <alignment horizontal="right"/>
    </xf>
    <xf numFmtId="168" fontId="96" fillId="0" borderId="0" xfId="24282" applyNumberFormat="1" applyFont="1" applyFill="1" applyAlignment="1">
      <alignment horizontal="center"/>
    </xf>
    <xf numFmtId="168" fontId="96" fillId="0" borderId="0" xfId="24282" applyNumberFormat="1" applyFont="1" applyFill="1" applyAlignment="1">
      <alignment horizontal="right"/>
    </xf>
    <xf numFmtId="37" fontId="96" fillId="0" borderId="34" xfId="24282" applyNumberFormat="1" applyFont="1" applyFill="1" applyBorder="1"/>
    <xf numFmtId="168" fontId="96" fillId="0" borderId="0" xfId="24282" applyNumberFormat="1" applyFont="1" applyFill="1"/>
    <xf numFmtId="0" fontId="96" fillId="0" borderId="0" xfId="24282" applyFont="1" applyFill="1" applyAlignment="1">
      <alignment wrapText="1"/>
    </xf>
    <xf numFmtId="0" fontId="96" fillId="0" borderId="0" xfId="24282" applyFont="1" applyAlignment="1">
      <alignment wrapText="1"/>
    </xf>
    <xf numFmtId="0" fontId="96" fillId="0" borderId="0" xfId="24282" applyFont="1" applyAlignment="1">
      <alignment horizontal="right" wrapText="1"/>
    </xf>
    <xf numFmtId="0" fontId="96" fillId="0" borderId="0" xfId="24282" applyFont="1" applyFill="1" applyAlignment="1">
      <alignment horizontal="left" indent="12"/>
    </xf>
    <xf numFmtId="37" fontId="96" fillId="0" borderId="0" xfId="24282" applyNumberFormat="1" applyFont="1" applyFill="1" applyAlignment="1">
      <alignment horizontal="left" indent="14"/>
    </xf>
    <xf numFmtId="0" fontId="96" fillId="0" borderId="0" xfId="24282" applyFont="1" applyFill="1" applyAlignment="1">
      <alignment horizontal="left" indent="14"/>
    </xf>
    <xf numFmtId="0" fontId="96" fillId="0" borderId="0" xfId="24282" applyFont="1"/>
    <xf numFmtId="10" fontId="69" fillId="0" borderId="45" xfId="45409" applyNumberFormat="1" applyFont="1" applyFill="1" applyBorder="1" applyAlignment="1">
      <alignment horizontal="center"/>
    </xf>
    <xf numFmtId="5" fontId="90" fillId="0" borderId="38" xfId="1" applyNumberFormat="1" applyFont="1" applyFill="1" applyBorder="1" applyAlignment="1">
      <alignment horizontal="center"/>
    </xf>
    <xf numFmtId="5" fontId="90" fillId="55" borderId="31" xfId="1" applyNumberFormat="1" applyFont="1" applyFill="1" applyBorder="1" applyAlignment="1">
      <alignment horizontal="center"/>
    </xf>
    <xf numFmtId="5" fontId="90" fillId="0" borderId="36" xfId="1" applyNumberFormat="1" applyFont="1" applyFill="1" applyBorder="1" applyAlignment="1">
      <alignment horizontal="center"/>
    </xf>
    <xf numFmtId="5" fontId="90" fillId="55" borderId="37" xfId="1" applyNumberFormat="1" applyFont="1" applyFill="1" applyBorder="1" applyAlignment="1">
      <alignment horizontal="center"/>
    </xf>
    <xf numFmtId="10" fontId="78" fillId="0" borderId="5" xfId="3" applyNumberFormat="1" applyFont="1" applyFill="1" applyBorder="1" applyAlignment="1">
      <alignment horizontal="center"/>
    </xf>
    <xf numFmtId="10" fontId="78" fillId="0" borderId="4" xfId="3" applyNumberFormat="1" applyFont="1" applyFill="1" applyBorder="1" applyAlignment="1">
      <alignment horizontal="center"/>
    </xf>
    <xf numFmtId="5" fontId="78" fillId="0" borderId="5" xfId="1" applyNumberFormat="1" applyFont="1" applyFill="1" applyBorder="1"/>
    <xf numFmtId="10" fontId="78" fillId="0" borderId="3" xfId="3" applyNumberFormat="1" applyFont="1" applyFill="1" applyBorder="1" applyAlignment="1">
      <alignment horizontal="center"/>
    </xf>
    <xf numFmtId="10" fontId="75" fillId="0" borderId="3" xfId="0" applyNumberFormat="1" applyFont="1" applyFill="1" applyBorder="1" applyAlignment="1">
      <alignment horizontal="center"/>
    </xf>
    <xf numFmtId="165" fontId="78" fillId="0" borderId="4" xfId="1" applyNumberFormat="1" applyFont="1" applyFill="1" applyBorder="1"/>
    <xf numFmtId="165" fontId="78" fillId="0" borderId="5" xfId="1" applyNumberFormat="1" applyFont="1" applyFill="1" applyBorder="1"/>
    <xf numFmtId="10" fontId="75" fillId="0" borderId="3" xfId="3" applyNumberFormat="1" applyFont="1" applyFill="1" applyBorder="1" applyAlignment="1">
      <alignment horizontal="center"/>
    </xf>
    <xf numFmtId="166" fontId="78" fillId="0" borderId="4" xfId="2" applyNumberFormat="1" applyFont="1" applyFill="1" applyBorder="1"/>
    <xf numFmtId="177" fontId="78" fillId="0" borderId="4" xfId="1" applyNumberFormat="1" applyFont="1" applyFill="1" applyBorder="1"/>
    <xf numFmtId="5" fontId="78" fillId="0" borderId="4" xfId="1" applyNumberFormat="1" applyFont="1" applyFill="1" applyBorder="1"/>
    <xf numFmtId="166" fontId="78" fillId="0" borderId="3" xfId="2" applyNumberFormat="1" applyFont="1" applyFill="1" applyBorder="1"/>
    <xf numFmtId="10" fontId="78" fillId="0" borderId="7" xfId="3" applyNumberFormat="1" applyFont="1" applyFill="1" applyBorder="1" applyAlignment="1">
      <alignment horizontal="center"/>
    </xf>
    <xf numFmtId="5" fontId="78" fillId="0" borderId="7" xfId="1" applyNumberFormat="1" applyFont="1" applyFill="1" applyBorder="1"/>
    <xf numFmtId="10" fontId="78" fillId="0" borderId="6" xfId="3" applyNumberFormat="1" applyFont="1" applyFill="1" applyBorder="1" applyAlignment="1">
      <alignment horizontal="center"/>
    </xf>
    <xf numFmtId="165" fontId="78" fillId="0" borderId="0" xfId="1" applyNumberFormat="1" applyFont="1" applyFill="1" applyBorder="1"/>
    <xf numFmtId="10" fontId="75" fillId="0" borderId="6" xfId="0" applyNumberFormat="1" applyFont="1" applyFill="1" applyBorder="1" applyAlignment="1">
      <alignment horizontal="center"/>
    </xf>
    <xf numFmtId="165" fontId="78" fillId="0" borderId="7" xfId="1" applyNumberFormat="1" applyFont="1" applyFill="1" applyBorder="1"/>
    <xf numFmtId="10" fontId="75" fillId="0" borderId="6" xfId="3" applyNumberFormat="1" applyFont="1" applyFill="1" applyBorder="1" applyAlignment="1">
      <alignment horizontal="center"/>
    </xf>
    <xf numFmtId="166" fontId="78" fillId="0" borderId="0" xfId="2" applyNumberFormat="1" applyFont="1" applyFill="1" applyBorder="1"/>
    <xf numFmtId="176" fontId="78" fillId="0" borderId="0" xfId="1" applyNumberFormat="1" applyFont="1" applyFill="1" applyBorder="1"/>
    <xf numFmtId="166" fontId="78" fillId="0" borderId="6" xfId="2" applyNumberFormat="1" applyFont="1" applyFill="1" applyBorder="1"/>
    <xf numFmtId="10" fontId="78" fillId="0" borderId="13" xfId="3" applyNumberFormat="1" applyFont="1" applyFill="1" applyBorder="1" applyAlignment="1">
      <alignment horizontal="center"/>
    </xf>
    <xf numFmtId="10" fontId="78" fillId="0" borderId="12" xfId="3" applyNumberFormat="1" applyFont="1" applyFill="1" applyBorder="1" applyAlignment="1">
      <alignment horizontal="center"/>
    </xf>
    <xf numFmtId="5" fontId="78" fillId="0" borderId="13" xfId="1" applyNumberFormat="1" applyFont="1" applyFill="1" applyBorder="1"/>
    <xf numFmtId="10" fontId="78" fillId="0" borderId="11" xfId="3" applyNumberFormat="1" applyFont="1" applyFill="1" applyBorder="1" applyAlignment="1">
      <alignment horizontal="center"/>
    </xf>
    <xf numFmtId="165" fontId="78" fillId="0" borderId="12" xfId="1" applyNumberFormat="1" applyFont="1" applyFill="1" applyBorder="1"/>
    <xf numFmtId="10" fontId="75" fillId="0" borderId="11" xfId="0" applyNumberFormat="1" applyFont="1" applyFill="1" applyBorder="1" applyAlignment="1">
      <alignment horizontal="center"/>
    </xf>
    <xf numFmtId="165" fontId="78" fillId="0" borderId="13" xfId="1" applyNumberFormat="1" applyFont="1" applyFill="1" applyBorder="1"/>
    <xf numFmtId="10" fontId="75" fillId="0" borderId="11" xfId="3" applyNumberFormat="1" applyFont="1" applyFill="1" applyBorder="1" applyAlignment="1">
      <alignment horizontal="center"/>
    </xf>
    <xf numFmtId="166" fontId="78" fillId="0" borderId="12" xfId="2" applyNumberFormat="1" applyFont="1" applyFill="1" applyBorder="1"/>
    <xf numFmtId="176" fontId="78" fillId="0" borderId="12" xfId="1" applyNumberFormat="1" applyFont="1" applyFill="1" applyBorder="1"/>
    <xf numFmtId="166" fontId="78" fillId="0" borderId="11" xfId="2" applyNumberFormat="1" applyFont="1" applyFill="1" applyBorder="1"/>
    <xf numFmtId="167" fontId="75" fillId="0" borderId="5" xfId="0" applyNumberFormat="1" applyFont="1" applyFill="1" applyBorder="1" applyAlignment="1">
      <alignment horizontal="center"/>
    </xf>
    <xf numFmtId="10" fontId="88" fillId="53" borderId="0" xfId="45409" applyNumberFormat="1" applyFont="1" applyFill="1"/>
    <xf numFmtId="10" fontId="67" fillId="53" borderId="0" xfId="45409" applyNumberFormat="1" applyFont="1" applyFill="1"/>
    <xf numFmtId="42" fontId="78" fillId="53" borderId="4" xfId="1" applyNumberFormat="1" applyFont="1" applyFill="1" applyBorder="1"/>
    <xf numFmtId="165" fontId="78" fillId="53" borderId="0" xfId="1" applyNumberFormat="1" applyFont="1" applyFill="1" applyBorder="1"/>
    <xf numFmtId="165" fontId="78" fillId="53" borderId="12" xfId="1" applyNumberFormat="1" applyFont="1" applyFill="1" applyBorder="1"/>
    <xf numFmtId="0" fontId="0" fillId="0" borderId="0" xfId="0" applyAlignment="1">
      <alignment horizontal="center"/>
    </xf>
    <xf numFmtId="6" fontId="0" fillId="0" borderId="0" xfId="0" applyNumberFormat="1"/>
    <xf numFmtId="166" fontId="78" fillId="0" borderId="5" xfId="2" applyNumberFormat="1" applyFont="1" applyFill="1" applyBorder="1"/>
    <xf numFmtId="166" fontId="78" fillId="0" borderId="7" xfId="2" applyNumberFormat="1" applyFont="1" applyFill="1" applyBorder="1"/>
    <xf numFmtId="166" fontId="78" fillId="0" borderId="13" xfId="2" applyNumberFormat="1" applyFont="1" applyFill="1" applyBorder="1"/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10" fontId="69" fillId="0" borderId="0" xfId="45409" applyNumberFormat="1" applyFont="1" applyFill="1" applyBorder="1" applyAlignment="1">
      <alignment horizontal="center"/>
    </xf>
    <xf numFmtId="37" fontId="70" fillId="0" borderId="3" xfId="57515" applyFont="1" applyBorder="1"/>
    <xf numFmtId="37" fontId="70" fillId="0" borderId="4" xfId="57515" applyFont="1" applyBorder="1"/>
    <xf numFmtId="43" fontId="72" fillId="0" borderId="4" xfId="11027" applyFont="1" applyBorder="1" applyAlignment="1">
      <alignment horizontal="center"/>
    </xf>
    <xf numFmtId="43" fontId="72" fillId="0" borderId="5" xfId="11027" applyFont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166" fontId="0" fillId="0" borderId="0" xfId="0" applyNumberFormat="1"/>
    <xf numFmtId="5" fontId="90" fillId="0" borderId="0" xfId="0" applyNumberFormat="1" applyFont="1" applyFill="1" applyAlignment="1">
      <alignment horizontal="center"/>
    </xf>
    <xf numFmtId="165" fontId="0" fillId="0" borderId="0" xfId="0" applyNumberFormat="1"/>
    <xf numFmtId="177" fontId="0" fillId="0" borderId="0" xfId="0" applyNumberFormat="1"/>
    <xf numFmtId="1" fontId="0" fillId="0" borderId="0" xfId="0" applyNumberFormat="1"/>
    <xf numFmtId="177" fontId="75" fillId="0" borderId="1" xfId="2" applyNumberFormat="1" applyFont="1" applyFill="1" applyBorder="1"/>
    <xf numFmtId="177" fontId="75" fillId="0" borderId="8" xfId="2" applyNumberFormat="1" applyFont="1" applyFill="1" applyBorder="1"/>
    <xf numFmtId="176" fontId="75" fillId="0" borderId="1" xfId="1" applyNumberFormat="1" applyFont="1" applyFill="1" applyBorder="1"/>
    <xf numFmtId="37" fontId="70" fillId="0" borderId="0" xfId="57515" applyFont="1" applyFill="1" applyBorder="1" applyAlignment="1">
      <alignment horizontal="center"/>
    </xf>
    <xf numFmtId="37" fontId="70" fillId="0" borderId="34" xfId="57515" applyFont="1" applyFill="1" applyBorder="1"/>
    <xf numFmtId="37" fontId="70" fillId="0" borderId="12" xfId="57515" applyFont="1" applyFill="1" applyBorder="1"/>
    <xf numFmtId="166" fontId="75" fillId="0" borderId="1" xfId="0" applyNumberFormat="1" applyFont="1" applyFill="1" applyBorder="1"/>
    <xf numFmtId="0" fontId="96" fillId="0" borderId="1" xfId="24282" applyFont="1" applyFill="1" applyBorder="1" applyAlignment="1">
      <alignment horizontal="center"/>
    </xf>
    <xf numFmtId="177" fontId="75" fillId="0" borderId="1" xfId="1" applyNumberFormat="1" applyFont="1" applyFill="1" applyBorder="1"/>
    <xf numFmtId="5" fontId="90" fillId="55" borderId="39" xfId="1" applyNumberFormat="1" applyFont="1" applyFill="1" applyBorder="1" applyAlignment="1">
      <alignment horizontal="center"/>
    </xf>
    <xf numFmtId="5" fontId="90" fillId="55" borderId="54" xfId="0" applyNumberFormat="1" applyFont="1" applyFill="1" applyBorder="1" applyAlignment="1">
      <alignment horizontal="center"/>
    </xf>
    <xf numFmtId="5" fontId="90" fillId="0" borderId="42" xfId="1" applyNumberFormat="1" applyFont="1" applyFill="1" applyBorder="1" applyAlignment="1">
      <alignment horizontal="center"/>
    </xf>
    <xf numFmtId="42" fontId="75" fillId="0" borderId="10" xfId="2" applyNumberFormat="1" applyFont="1" applyFill="1" applyBorder="1"/>
    <xf numFmtId="177" fontId="0" fillId="0" borderId="1" xfId="0" applyNumberFormat="1" applyFill="1" applyBorder="1"/>
    <xf numFmtId="176" fontId="4" fillId="0" borderId="1" xfId="5" applyNumberFormat="1" applyFont="1" applyFill="1" applyBorder="1"/>
    <xf numFmtId="177" fontId="0" fillId="0" borderId="8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8" fillId="0" borderId="0" xfId="0" quotePrefix="1" applyFont="1" applyFill="1" applyAlignment="1">
      <alignment horizontal="center" vertical="center"/>
    </xf>
    <xf numFmtId="17" fontId="78" fillId="0" borderId="0" xfId="0" applyNumberFormat="1" applyFont="1" applyAlignment="1">
      <alignment horizontal="center" vertic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10" fontId="78" fillId="0" borderId="0" xfId="3" applyNumberFormat="1" applyFont="1" applyFill="1" applyAlignment="1">
      <alignment horizontal="center" vertical="center"/>
    </xf>
    <xf numFmtId="183" fontId="78" fillId="0" borderId="0" xfId="0" applyNumberFormat="1" applyFont="1" applyFill="1" applyAlignment="1">
      <alignment horizontal="center" vertical="center"/>
    </xf>
    <xf numFmtId="166" fontId="78" fillId="0" borderId="0" xfId="2" applyNumberFormat="1" applyFont="1" applyFill="1" applyAlignment="1">
      <alignment horizontal="center" vertical="center"/>
    </xf>
    <xf numFmtId="166" fontId="78" fillId="0" borderId="0" xfId="2" applyNumberFormat="1" applyFont="1" applyFill="1" applyBorder="1" applyAlignment="1">
      <alignment horizontal="center" vertical="center"/>
    </xf>
    <xf numFmtId="17" fontId="85" fillId="0" borderId="3" xfId="0" quotePrefix="1" applyNumberFormat="1" applyFont="1" applyBorder="1" applyAlignment="1">
      <alignment horizontal="center" vertical="center"/>
    </xf>
    <xf numFmtId="17" fontId="85" fillId="0" borderId="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0" fontId="81" fillId="0" borderId="48" xfId="0" applyFont="1" applyFill="1" applyBorder="1" applyAlignment="1">
      <alignment horizontal="center"/>
    </xf>
    <xf numFmtId="37" fontId="71" fillId="0" borderId="46" xfId="57515" applyFont="1" applyFill="1" applyBorder="1" applyAlignment="1">
      <alignment horizontal="center"/>
    </xf>
    <xf numFmtId="37" fontId="71" fillId="0" borderId="47" xfId="57515" applyFont="1" applyFill="1" applyBorder="1" applyAlignment="1">
      <alignment horizontal="center"/>
    </xf>
    <xf numFmtId="37" fontId="71" fillId="0" borderId="48" xfId="57515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6" xfId="57515" quotePrefix="1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8" xfId="57515" applyFont="1" applyBorder="1" applyAlignment="1">
      <alignment horizontal="center"/>
    </xf>
    <xf numFmtId="37" fontId="71" fillId="0" borderId="46" xfId="57515" quotePrefix="1" applyFont="1" applyFill="1" applyBorder="1" applyAlignment="1">
      <alignment horizontal="center"/>
    </xf>
    <xf numFmtId="0" fontId="94" fillId="0" borderId="36" xfId="0" applyFont="1" applyFill="1" applyBorder="1" applyAlignment="1">
      <alignment horizontal="center"/>
    </xf>
    <xf numFmtId="0" fontId="94" fillId="0" borderId="2" xfId="0" applyFont="1" applyFill="1" applyBorder="1" applyAlignment="1">
      <alignment horizontal="center"/>
    </xf>
    <xf numFmtId="0" fontId="94" fillId="0" borderId="37" xfId="0" applyFont="1" applyFill="1" applyBorder="1" applyAlignment="1">
      <alignment horizontal="center"/>
    </xf>
    <xf numFmtId="0" fontId="96" fillId="0" borderId="1" xfId="0" applyFont="1" applyFill="1" applyBorder="1" applyAlignment="1">
      <alignment horizontal="center"/>
    </xf>
    <xf numFmtId="0" fontId="96" fillId="0" borderId="0" xfId="0" applyFont="1" applyFill="1" applyAlignment="1">
      <alignment horizontal="left" wrapText="1"/>
    </xf>
    <xf numFmtId="0" fontId="94" fillId="0" borderId="36" xfId="24282" applyFont="1" applyFill="1" applyBorder="1" applyAlignment="1">
      <alignment horizontal="center"/>
    </xf>
    <xf numFmtId="0" fontId="94" fillId="0" borderId="2" xfId="24282" applyFont="1" applyFill="1" applyBorder="1" applyAlignment="1">
      <alignment horizontal="center"/>
    </xf>
    <xf numFmtId="0" fontId="94" fillId="0" borderId="37" xfId="24282" applyFont="1" applyFill="1" applyBorder="1" applyAlignment="1">
      <alignment horizontal="center"/>
    </xf>
    <xf numFmtId="0" fontId="96" fillId="0" borderId="1" xfId="24282" applyFont="1" applyFill="1" applyBorder="1" applyAlignment="1">
      <alignment horizontal="center"/>
    </xf>
    <xf numFmtId="0" fontId="96" fillId="0" borderId="0" xfId="24282" applyFont="1" applyFill="1" applyAlignment="1">
      <alignment horizontal="left" wrapText="1"/>
    </xf>
    <xf numFmtId="0" fontId="95" fillId="0" borderId="2" xfId="24282" applyFont="1" applyFill="1" applyBorder="1" applyAlignment="1">
      <alignment horizontal="center"/>
    </xf>
    <xf numFmtId="0" fontId="95" fillId="0" borderId="37" xfId="24282" applyFont="1" applyFill="1" applyBorder="1" applyAlignment="1">
      <alignment horizontal="center"/>
    </xf>
    <xf numFmtId="0" fontId="82" fillId="0" borderId="46" xfId="5" quotePrefix="1" applyFont="1" applyFill="1" applyBorder="1" applyAlignment="1">
      <alignment horizontal="center"/>
    </xf>
    <xf numFmtId="0" fontId="82" fillId="0" borderId="47" xfId="5" quotePrefix="1" applyFont="1" applyFill="1" applyBorder="1" applyAlignment="1">
      <alignment horizontal="center"/>
    </xf>
    <xf numFmtId="0" fontId="82" fillId="0" borderId="48" xfId="5" quotePrefix="1" applyFont="1" applyFill="1" applyBorder="1" applyAlignment="1">
      <alignment horizontal="center"/>
    </xf>
    <xf numFmtId="0" fontId="82" fillId="0" borderId="47" xfId="5" applyFont="1" applyFill="1" applyBorder="1" applyAlignment="1">
      <alignment horizontal="center"/>
    </xf>
    <xf numFmtId="0" fontId="82" fillId="0" borderId="48" xfId="5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5" fillId="0" borderId="48" xfId="5" quotePrefix="1" applyFont="1" applyFill="1" applyBorder="1" applyAlignment="1">
      <alignment horizontal="center"/>
    </xf>
    <xf numFmtId="0" fontId="84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 wrapText="1"/>
    </xf>
    <xf numFmtId="0" fontId="90" fillId="0" borderId="0" xfId="0" applyFont="1" applyFill="1" applyAlignment="1">
      <alignment horizontal="left" wrapText="1"/>
    </xf>
    <xf numFmtId="0" fontId="84" fillId="0" borderId="0" xfId="0" quotePrefix="1" applyFont="1" applyFill="1" applyAlignment="1">
      <alignment horizontal="left" wrapText="1"/>
    </xf>
    <xf numFmtId="0" fontId="90" fillId="0" borderId="50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55" borderId="50" xfId="0" applyFont="1" applyFill="1" applyBorder="1" applyAlignment="1">
      <alignment horizontal="center" vertical="center" wrapText="1"/>
    </xf>
    <xf numFmtId="0" fontId="90" fillId="55" borderId="53" xfId="0" applyFont="1" applyFill="1" applyBorder="1" applyAlignment="1">
      <alignment horizontal="center" vertical="center" wrapText="1"/>
    </xf>
    <xf numFmtId="0" fontId="90" fillId="0" borderId="50" xfId="0" quotePrefix="1" applyFont="1" applyFill="1" applyBorder="1" applyAlignment="1">
      <alignment horizontal="center" wrapText="1"/>
    </xf>
    <xf numFmtId="0" fontId="90" fillId="0" borderId="55" xfId="0" applyFont="1" applyFill="1" applyBorder="1" applyAlignment="1">
      <alignment horizontal="center" wrapText="1"/>
    </xf>
    <xf numFmtId="0" fontId="90" fillId="0" borderId="50" xfId="0" quotePrefix="1" applyFont="1" applyFill="1" applyBorder="1" applyAlignment="1">
      <alignment horizontal="center" vertical="center" wrapText="1"/>
    </xf>
    <xf numFmtId="0" fontId="90" fillId="0" borderId="55" xfId="0" applyFont="1" applyFill="1" applyBorder="1" applyAlignment="1">
      <alignment horizontal="center" vertical="center" wrapText="1"/>
    </xf>
    <xf numFmtId="0" fontId="90" fillId="55" borderId="50" xfId="0" quotePrefix="1" applyFont="1" applyFill="1" applyBorder="1" applyAlignment="1">
      <alignment horizontal="center" vertical="center" wrapText="1"/>
    </xf>
    <xf numFmtId="0" fontId="90" fillId="55" borderId="55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55" borderId="51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40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90" fillId="0" borderId="51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1" xfId="0" applyFont="1" applyFill="1" applyBorder="1" applyAlignment="1">
      <alignment horizontal="center" vertical="center" wrapText="1"/>
    </xf>
    <xf numFmtId="0" fontId="90" fillId="55" borderId="52" xfId="0" applyFont="1" applyFill="1" applyBorder="1" applyAlignment="1">
      <alignment horizontal="center" vertical="center" wrapText="1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AE45"/>
  <sheetViews>
    <sheetView zoomScaleNormal="100" workbookViewId="0">
      <selection activeCell="J26" sqref="J26"/>
    </sheetView>
  </sheetViews>
  <sheetFormatPr defaultRowHeight="12.75" x14ac:dyDescent="0.2"/>
  <cols>
    <col min="1" max="1" width="41.6640625" bestFit="1" customWidth="1"/>
    <col min="2" max="2" width="15.83203125" style="231" customWidth="1"/>
    <col min="3" max="3" width="18.83203125" style="231" customWidth="1"/>
    <col min="4" max="4" width="26.83203125" customWidth="1"/>
    <col min="5" max="5" width="14.1640625" bestFit="1" customWidth="1"/>
    <col min="6" max="6" width="21.1640625" bestFit="1" customWidth="1"/>
    <col min="7" max="7" width="14.1640625" bestFit="1" customWidth="1"/>
    <col min="8" max="8" width="16.83203125" bestFit="1" customWidth="1"/>
    <col min="9" max="9" width="2.83203125" customWidth="1"/>
    <col min="10" max="10" width="16.6640625" bestFit="1" customWidth="1"/>
    <col min="11" max="11" width="19.1640625" customWidth="1"/>
    <col min="12" max="12" width="16" bestFit="1" customWidth="1"/>
    <col min="13" max="13" width="4.83203125" style="215" customWidth="1"/>
    <col min="14" max="14" width="16.6640625" bestFit="1" customWidth="1"/>
    <col min="15" max="15" width="18" bestFit="1" customWidth="1"/>
    <col min="16" max="16" width="19.1640625" bestFit="1" customWidth="1"/>
    <col min="17" max="17" width="18" bestFit="1" customWidth="1"/>
    <col min="18" max="18" width="18" customWidth="1"/>
    <col min="19" max="20" width="15.83203125" bestFit="1" customWidth="1"/>
    <col min="21" max="21" width="20.6640625" bestFit="1" customWidth="1"/>
    <col min="22" max="23" width="17.6640625" bestFit="1" customWidth="1"/>
    <col min="24" max="24" width="3.5" customWidth="1"/>
    <col min="25" max="26" width="15.83203125" customWidth="1"/>
    <col min="27" max="27" width="17.6640625" bestFit="1" customWidth="1"/>
    <col min="28" max="28" width="15.83203125" customWidth="1"/>
    <col min="30" max="30" width="21.83203125" customWidth="1"/>
    <col min="31" max="31" width="27.5" customWidth="1"/>
  </cols>
  <sheetData>
    <row r="2" spans="1:23" x14ac:dyDescent="0.2">
      <c r="A2" s="198" t="s">
        <v>144</v>
      </c>
      <c r="B2" s="624" t="s">
        <v>160</v>
      </c>
      <c r="C2" s="624"/>
      <c r="D2" s="184"/>
      <c r="W2" s="259" t="s">
        <v>29</v>
      </c>
    </row>
    <row r="3" spans="1:23" x14ac:dyDescent="0.2">
      <c r="A3" s="198" t="s">
        <v>145</v>
      </c>
      <c r="B3" s="625" t="s">
        <v>138</v>
      </c>
      <c r="C3" s="625"/>
      <c r="D3" s="185"/>
      <c r="W3" s="259" t="s">
        <v>160</v>
      </c>
    </row>
    <row r="4" spans="1:23" x14ac:dyDescent="0.2">
      <c r="A4" s="198" t="s">
        <v>146</v>
      </c>
      <c r="B4" s="625" t="s">
        <v>77</v>
      </c>
      <c r="C4" s="625"/>
      <c r="D4" s="185"/>
    </row>
    <row r="5" spans="1:23" x14ac:dyDescent="0.2">
      <c r="A5" s="199"/>
    </row>
    <row r="6" spans="1:23" x14ac:dyDescent="0.2">
      <c r="A6" s="198" t="s">
        <v>143</v>
      </c>
      <c r="B6" s="626">
        <v>42856</v>
      </c>
      <c r="C6" s="626"/>
      <c r="D6" s="186"/>
    </row>
    <row r="7" spans="1:23" x14ac:dyDescent="0.2">
      <c r="A7" s="199"/>
    </row>
    <row r="8" spans="1:23" x14ac:dyDescent="0.2">
      <c r="A8" s="198" t="s">
        <v>142</v>
      </c>
      <c r="B8" s="632">
        <v>1682500765</v>
      </c>
      <c r="C8" s="632"/>
    </row>
    <row r="9" spans="1:23" x14ac:dyDescent="0.2">
      <c r="A9" s="198" t="s">
        <v>147</v>
      </c>
      <c r="B9" s="632">
        <v>-1161823</v>
      </c>
      <c r="C9" s="632"/>
      <c r="D9" s="197"/>
    </row>
    <row r="10" spans="1:23" x14ac:dyDescent="0.2">
      <c r="A10" s="198" t="s">
        <v>251</v>
      </c>
      <c r="B10" s="632">
        <v>12234040</v>
      </c>
      <c r="C10" s="632"/>
      <c r="D10" s="197"/>
    </row>
    <row r="11" spans="1:23" x14ac:dyDescent="0.2">
      <c r="A11" s="338" t="s">
        <v>252</v>
      </c>
      <c r="B11" s="633">
        <v>-945201978</v>
      </c>
      <c r="C11" s="633"/>
      <c r="D11" s="194"/>
      <c r="E11" s="217"/>
    </row>
    <row r="12" spans="1:23" x14ac:dyDescent="0.2">
      <c r="A12" s="338" t="s">
        <v>253</v>
      </c>
      <c r="B12" s="633">
        <v>-4685749</v>
      </c>
      <c r="C12" s="633"/>
      <c r="D12" s="194"/>
      <c r="E12" s="217"/>
    </row>
    <row r="13" spans="1:23" x14ac:dyDescent="0.2">
      <c r="A13" s="338" t="s">
        <v>254</v>
      </c>
      <c r="B13" s="633">
        <v>20656410</v>
      </c>
      <c r="C13" s="633"/>
      <c r="D13" s="194"/>
      <c r="E13" s="217"/>
    </row>
    <row r="14" spans="1:23" x14ac:dyDescent="0.2">
      <c r="A14" s="200" t="s">
        <v>227</v>
      </c>
      <c r="B14" s="630">
        <v>0.82379999999999998</v>
      </c>
      <c r="C14" s="630"/>
    </row>
    <row r="15" spans="1:23" x14ac:dyDescent="0.2">
      <c r="A15" s="198" t="s">
        <v>148</v>
      </c>
      <c r="B15" s="631">
        <v>9.7000000000000003E-2</v>
      </c>
      <c r="C15" s="631"/>
    </row>
    <row r="16" spans="1:23" x14ac:dyDescent="0.2">
      <c r="A16" s="198" t="s">
        <v>149</v>
      </c>
      <c r="B16" s="631">
        <v>9.7000000000000003E-2</v>
      </c>
      <c r="C16" s="631"/>
    </row>
    <row r="17" spans="1:31" x14ac:dyDescent="0.2">
      <c r="B17" s="231">
        <v>2</v>
      </c>
      <c r="C17" s="231">
        <v>3</v>
      </c>
      <c r="D17" s="231">
        <v>4</v>
      </c>
      <c r="E17" s="231">
        <v>5</v>
      </c>
      <c r="F17" s="231">
        <v>6</v>
      </c>
      <c r="G17" s="231">
        <v>7</v>
      </c>
      <c r="H17" s="231">
        <v>8</v>
      </c>
      <c r="I17" s="231">
        <v>9</v>
      </c>
      <c r="J17" s="231">
        <v>10</v>
      </c>
      <c r="K17" s="231">
        <v>11</v>
      </c>
      <c r="L17" s="231">
        <v>12</v>
      </c>
      <c r="M17" s="231">
        <v>13</v>
      </c>
      <c r="N17" s="231">
        <v>14</v>
      </c>
      <c r="O17" s="231">
        <v>15</v>
      </c>
      <c r="P17" s="231">
        <v>16</v>
      </c>
      <c r="Q17" s="231">
        <v>17</v>
      </c>
      <c r="R17" s="231">
        <v>18</v>
      </c>
      <c r="S17" s="231">
        <v>19</v>
      </c>
      <c r="T17" s="231">
        <v>20</v>
      </c>
      <c r="U17" s="231">
        <v>21</v>
      </c>
      <c r="V17" s="231">
        <v>22</v>
      </c>
      <c r="W17" s="231">
        <v>23</v>
      </c>
      <c r="X17" s="231">
        <v>24</v>
      </c>
      <c r="Y17" s="231">
        <v>25</v>
      </c>
      <c r="Z17" s="231">
        <v>26</v>
      </c>
      <c r="AA17" s="231">
        <v>27</v>
      </c>
      <c r="AB17" s="231">
        <v>28</v>
      </c>
    </row>
    <row r="18" spans="1:31" ht="13.5" thickBot="1" x14ac:dyDescent="0.25"/>
    <row r="19" spans="1:31" ht="16.5" thickBot="1" x14ac:dyDescent="0.3">
      <c r="A19" s="184"/>
      <c r="B19" s="232"/>
      <c r="C19" s="233"/>
      <c r="D19" s="226"/>
      <c r="E19" s="627" t="s">
        <v>151</v>
      </c>
      <c r="F19" s="628"/>
      <c r="G19" s="628"/>
      <c r="H19" s="629"/>
      <c r="I19" s="247"/>
      <c r="J19" s="627" t="s">
        <v>152</v>
      </c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9"/>
      <c r="X19" s="314"/>
      <c r="Y19" s="621" t="s">
        <v>191</v>
      </c>
      <c r="Z19" s="622"/>
      <c r="AA19" s="622"/>
      <c r="AB19" s="623"/>
    </row>
    <row r="20" spans="1:31" ht="13.5" thickBot="1" x14ac:dyDescent="0.25">
      <c r="A20" s="184"/>
      <c r="B20" s="248"/>
      <c r="C20" s="240"/>
      <c r="D20" s="227"/>
      <c r="E20" s="639" t="s">
        <v>139</v>
      </c>
      <c r="F20" s="640"/>
      <c r="G20" s="639" t="s">
        <v>140</v>
      </c>
      <c r="H20" s="640"/>
      <c r="I20" s="246"/>
      <c r="J20" s="636" t="s">
        <v>139</v>
      </c>
      <c r="K20" s="637"/>
      <c r="L20" s="638"/>
      <c r="M20" s="256"/>
      <c r="N20" s="636" t="s">
        <v>140</v>
      </c>
      <c r="O20" s="637"/>
      <c r="P20" s="638"/>
      <c r="Q20" s="370"/>
      <c r="R20" s="370"/>
      <c r="S20" s="370"/>
      <c r="T20" s="370"/>
      <c r="U20" s="370"/>
      <c r="V20" s="370"/>
      <c r="W20" s="371"/>
      <c r="X20" s="314"/>
      <c r="Y20" s="358"/>
      <c r="Z20" s="359"/>
      <c r="AA20" s="359"/>
      <c r="AB20" s="360"/>
    </row>
    <row r="21" spans="1:31" s="231" customFormat="1" ht="55.5" customHeight="1" x14ac:dyDescent="0.2">
      <c r="A21" s="230"/>
      <c r="B21" s="244" t="s">
        <v>0</v>
      </c>
      <c r="C21" s="245" t="s">
        <v>1</v>
      </c>
      <c r="D21" s="249" t="s">
        <v>156</v>
      </c>
      <c r="E21" s="250" t="s">
        <v>2</v>
      </c>
      <c r="F21" s="251" t="s">
        <v>3</v>
      </c>
      <c r="G21" s="250" t="s">
        <v>2</v>
      </c>
      <c r="H21" s="251" t="s">
        <v>3</v>
      </c>
      <c r="I21" s="252"/>
      <c r="J21" s="253" t="s">
        <v>7</v>
      </c>
      <c r="K21" s="254" t="s">
        <v>150</v>
      </c>
      <c r="L21" s="251" t="s">
        <v>20</v>
      </c>
      <c r="M21" s="252"/>
      <c r="N21" s="253" t="s">
        <v>7</v>
      </c>
      <c r="O21" s="254" t="s">
        <v>150</v>
      </c>
      <c r="P21" s="251" t="s">
        <v>20</v>
      </c>
      <c r="Q21" s="255" t="s">
        <v>37</v>
      </c>
      <c r="R21" s="180" t="s">
        <v>318</v>
      </c>
      <c r="S21" s="254" t="s">
        <v>32</v>
      </c>
      <c r="T21" s="255" t="s">
        <v>33</v>
      </c>
      <c r="U21" s="254" t="s">
        <v>17</v>
      </c>
      <c r="V21" s="254" t="s">
        <v>34</v>
      </c>
      <c r="W21" s="251" t="s">
        <v>35</v>
      </c>
      <c r="X21" s="315"/>
      <c r="Y21" s="356" t="s">
        <v>192</v>
      </c>
      <c r="Z21" s="357" t="s">
        <v>193</v>
      </c>
      <c r="AA21" s="354" t="s">
        <v>194</v>
      </c>
      <c r="AB21" s="355" t="s">
        <v>195</v>
      </c>
    </row>
    <row r="22" spans="1:31" ht="27" customHeight="1" thickBot="1" x14ac:dyDescent="0.25">
      <c r="A22" s="185"/>
      <c r="B22" s="237"/>
      <c r="C22" s="238"/>
      <c r="D22" s="242" t="s">
        <v>21</v>
      </c>
      <c r="E22" s="241" t="s">
        <v>21</v>
      </c>
      <c r="F22" s="242" t="s">
        <v>21</v>
      </c>
      <c r="G22" s="241" t="s">
        <v>21</v>
      </c>
      <c r="H22" s="242" t="s">
        <v>21</v>
      </c>
      <c r="I22" s="193"/>
      <c r="J22" s="192"/>
      <c r="K22" s="239" t="s">
        <v>13</v>
      </c>
      <c r="L22" s="223" t="s">
        <v>13</v>
      </c>
      <c r="M22" s="193"/>
      <c r="N22" s="192"/>
      <c r="O22" s="239" t="s">
        <v>13</v>
      </c>
      <c r="P22" s="223" t="s">
        <v>13</v>
      </c>
      <c r="Q22" s="243"/>
      <c r="R22" s="243"/>
      <c r="S22" s="222" t="s">
        <v>28</v>
      </c>
      <c r="T22" s="222" t="s">
        <v>28</v>
      </c>
      <c r="U22" s="222" t="s">
        <v>28</v>
      </c>
      <c r="V22" s="222" t="s">
        <v>196</v>
      </c>
      <c r="W22" s="367" t="s">
        <v>196</v>
      </c>
      <c r="X22" s="314"/>
      <c r="Y22" s="352"/>
      <c r="Z22" s="353"/>
      <c r="AA22" s="368" t="s">
        <v>196</v>
      </c>
      <c r="AB22" s="369" t="s">
        <v>196</v>
      </c>
      <c r="AD22" s="581" t="s">
        <v>322</v>
      </c>
      <c r="AE22" s="581" t="s">
        <v>323</v>
      </c>
    </row>
    <row r="23" spans="1:31" ht="12.75" customHeight="1" x14ac:dyDescent="0.2">
      <c r="A23" s="634" t="s">
        <v>141</v>
      </c>
      <c r="B23" s="234">
        <f>B6</f>
        <v>42856</v>
      </c>
      <c r="C23" s="228">
        <f t="shared" ref="C23:C28" si="0">EDATE(B23,-2)</f>
        <v>42795</v>
      </c>
      <c r="D23" s="542">
        <v>0.90949999999999998</v>
      </c>
      <c r="E23" s="543">
        <v>0.1038</v>
      </c>
      <c r="F23" s="544">
        <v>922749314</v>
      </c>
      <c r="G23" s="545">
        <v>0.10199999999999999</v>
      </c>
      <c r="H23" s="544">
        <v>17978669</v>
      </c>
      <c r="I23" s="578"/>
      <c r="J23" s="546">
        <f>'Q1 p.3 - ROR (Mar-May)'!T29</f>
        <v>0.1045</v>
      </c>
      <c r="K23" s="547">
        <v>922749314</v>
      </c>
      <c r="L23" s="548">
        <f>2710653+47994-65</f>
        <v>2758582</v>
      </c>
      <c r="M23" s="578"/>
      <c r="N23" s="549">
        <f>'Q1 p.3 - ROR (Mar-May)'!T44</f>
        <v>0.1027</v>
      </c>
      <c r="O23" s="550">
        <v>17978669</v>
      </c>
      <c r="P23" s="583">
        <v>121620.57839710001</v>
      </c>
      <c r="Q23" s="551">
        <v>783756</v>
      </c>
      <c r="R23" s="551">
        <v>0</v>
      </c>
      <c r="S23" s="543">
        <v>6.4000000000000001E-2</v>
      </c>
      <c r="T23" s="543">
        <v>9.4600000000000004E-2</v>
      </c>
      <c r="U23" s="552">
        <v>5322001</v>
      </c>
      <c r="V23" s="552">
        <v>1847536.2599999998</v>
      </c>
      <c r="W23" s="544">
        <v>3098703.69</v>
      </c>
      <c r="X23" s="576"/>
      <c r="Y23" s="553">
        <v>35719085</v>
      </c>
      <c r="Z23" s="550">
        <v>33747411</v>
      </c>
      <c r="AA23" s="547">
        <v>28862166.150000006</v>
      </c>
      <c r="AB23" s="548">
        <v>32461710.449999999</v>
      </c>
      <c r="AD23" s="582">
        <f>Y23+Z23</f>
        <v>69466496</v>
      </c>
      <c r="AE23" s="582">
        <f>AA23+AB23</f>
        <v>61323876.600000009</v>
      </c>
    </row>
    <row r="24" spans="1:31" ht="12.75" customHeight="1" x14ac:dyDescent="0.2">
      <c r="A24" s="635"/>
      <c r="B24" s="235">
        <f>EDATE(B23,1)</f>
        <v>42887</v>
      </c>
      <c r="C24" s="228">
        <f t="shared" si="0"/>
        <v>42826</v>
      </c>
      <c r="D24" s="554">
        <v>0.98070000000000002</v>
      </c>
      <c r="E24" s="138">
        <v>0.1038</v>
      </c>
      <c r="F24" s="555">
        <v>924116539</v>
      </c>
      <c r="G24" s="556">
        <v>0.10199999999999999</v>
      </c>
      <c r="H24" s="555">
        <v>19871981</v>
      </c>
      <c r="I24" s="579"/>
      <c r="J24" s="558">
        <f>J23</f>
        <v>0.1045</v>
      </c>
      <c r="K24" s="557">
        <f>924116539</f>
        <v>924116539</v>
      </c>
      <c r="L24" s="559">
        <f>2790911+71625-0</f>
        <v>2862536</v>
      </c>
      <c r="M24" s="579"/>
      <c r="N24" s="560">
        <f>N23</f>
        <v>0.1027</v>
      </c>
      <c r="O24" s="561">
        <v>20027451</v>
      </c>
      <c r="P24" s="584">
        <v>155855.35506376816</v>
      </c>
      <c r="Q24" s="562">
        <v>0</v>
      </c>
      <c r="R24" s="562">
        <v>0</v>
      </c>
      <c r="S24" s="138">
        <v>6.6799999999999998E-2</v>
      </c>
      <c r="T24" s="138">
        <v>9.8500000000000004E-2</v>
      </c>
      <c r="U24" s="557">
        <v>5256538</v>
      </c>
      <c r="V24" s="557">
        <v>2744662.1100000003</v>
      </c>
      <c r="W24" s="559">
        <v>3748518.38</v>
      </c>
      <c r="X24" s="577"/>
      <c r="Y24" s="563">
        <v>35776616</v>
      </c>
      <c r="Z24" s="561">
        <v>33694544</v>
      </c>
      <c r="AA24" s="557">
        <v>41121122.089999996</v>
      </c>
      <c r="AB24" s="559">
        <v>38119520.180000015</v>
      </c>
      <c r="AD24" s="582">
        <f t="shared" ref="AD24:AD28" si="1">Y24+Z24</f>
        <v>69471160</v>
      </c>
      <c r="AE24" s="582">
        <f t="shared" ref="AE24:AE28" si="2">AA24+AB24</f>
        <v>79240642.270000011</v>
      </c>
    </row>
    <row r="25" spans="1:31" ht="12.75" customHeight="1" x14ac:dyDescent="0.2">
      <c r="A25" s="635"/>
      <c r="B25" s="235">
        <f t="shared" ref="B25:B28" si="3">EDATE(B24,1)*1</f>
        <v>42917</v>
      </c>
      <c r="C25" s="228">
        <f t="shared" si="0"/>
        <v>42856</v>
      </c>
      <c r="D25" s="554">
        <v>0.96109999999999995</v>
      </c>
      <c r="E25" s="138">
        <v>0.1038</v>
      </c>
      <c r="F25" s="555">
        <v>924917547</v>
      </c>
      <c r="G25" s="556">
        <v>0.10199999999999999</v>
      </c>
      <c r="H25" s="555">
        <v>20284431</v>
      </c>
      <c r="I25" s="579"/>
      <c r="J25" s="558">
        <f>J24</f>
        <v>0.1045</v>
      </c>
      <c r="K25" s="557">
        <v>924917547</v>
      </c>
      <c r="L25" s="559">
        <f>2647560+42033-0</f>
        <v>2689593</v>
      </c>
      <c r="M25" s="579"/>
      <c r="N25" s="560">
        <f>N24</f>
        <v>0.1027</v>
      </c>
      <c r="O25" s="561">
        <v>20284431</v>
      </c>
      <c r="P25" s="584">
        <v>239405.63478790608</v>
      </c>
      <c r="Q25" s="562">
        <v>0</v>
      </c>
      <c r="R25" s="562">
        <v>2050</v>
      </c>
      <c r="S25" s="138">
        <v>6.0400000000000002E-2</v>
      </c>
      <c r="T25" s="138">
        <v>8.8999999999999996E-2</v>
      </c>
      <c r="U25" s="557">
        <v>5501392</v>
      </c>
      <c r="V25" s="557">
        <v>2972428.5899999971</v>
      </c>
      <c r="W25" s="559">
        <v>3426178.7799999993</v>
      </c>
      <c r="X25" s="577"/>
      <c r="Y25" s="563">
        <v>35923851</v>
      </c>
      <c r="Z25" s="561">
        <v>33697050</v>
      </c>
      <c r="AA25" s="557">
        <v>49205637.840000018</v>
      </c>
      <c r="AB25" s="559">
        <v>37843307.509999998</v>
      </c>
      <c r="AD25" s="582">
        <f t="shared" si="1"/>
        <v>69620901</v>
      </c>
      <c r="AE25" s="582">
        <f t="shared" si="2"/>
        <v>87048945.350000024</v>
      </c>
    </row>
    <row r="26" spans="1:31" ht="12.75" customHeight="1" x14ac:dyDescent="0.2">
      <c r="A26" s="224" t="s">
        <v>269</v>
      </c>
      <c r="B26" s="235">
        <f t="shared" si="3"/>
        <v>42948</v>
      </c>
      <c r="C26" s="228">
        <f t="shared" si="0"/>
        <v>42887</v>
      </c>
      <c r="D26" s="554">
        <v>0.98680000000000001</v>
      </c>
      <c r="E26" s="138">
        <v>0.1031</v>
      </c>
      <c r="F26" s="555">
        <v>924920951</v>
      </c>
      <c r="G26" s="556">
        <v>0.1031</v>
      </c>
      <c r="H26" s="555">
        <v>26433185</v>
      </c>
      <c r="I26" s="579"/>
      <c r="J26" s="558">
        <f>'Q1 p.4 - ROR (Jun-Aug)'!T29</f>
        <v>0.1022</v>
      </c>
      <c r="K26" s="557">
        <v>924920951</v>
      </c>
      <c r="L26" s="559">
        <f>2752387+72294-0</f>
        <v>2824681</v>
      </c>
      <c r="M26" s="579"/>
      <c r="N26" s="560">
        <f>'Q1 p.4 - ROR (Jun-Aug)'!T44</f>
        <v>0.1022</v>
      </c>
      <c r="O26" s="561">
        <v>26433185</v>
      </c>
      <c r="P26" s="584">
        <v>358969.6263796016</v>
      </c>
      <c r="Q26" s="562">
        <v>-848911</v>
      </c>
      <c r="R26" s="562">
        <v>0</v>
      </c>
      <c r="S26" s="138">
        <v>3.9699999999999999E-2</v>
      </c>
      <c r="T26" s="138">
        <v>5.8599999999999999E-2</v>
      </c>
      <c r="U26" s="557">
        <v>6935977</v>
      </c>
      <c r="V26" s="557">
        <v>1898461.9499999995</v>
      </c>
      <c r="W26" s="559">
        <v>2560542.1199999996</v>
      </c>
      <c r="X26" s="577"/>
      <c r="Y26" s="563">
        <v>36113733</v>
      </c>
      <c r="Z26" s="561">
        <v>33929338</v>
      </c>
      <c r="AA26" s="557">
        <v>47784041.780000001</v>
      </c>
      <c r="AB26" s="559">
        <v>40450243.290000007</v>
      </c>
      <c r="AD26" s="582">
        <f t="shared" si="1"/>
        <v>70043071</v>
      </c>
      <c r="AE26" s="582">
        <f t="shared" si="2"/>
        <v>88234285.070000008</v>
      </c>
    </row>
    <row r="27" spans="1:31" ht="12.75" customHeight="1" x14ac:dyDescent="0.2">
      <c r="A27" s="219"/>
      <c r="B27" s="235">
        <f t="shared" si="3"/>
        <v>42979</v>
      </c>
      <c r="C27" s="228">
        <f t="shared" si="0"/>
        <v>42917</v>
      </c>
      <c r="D27" s="554">
        <v>0.99419999999999997</v>
      </c>
      <c r="E27" s="138">
        <v>0.1031</v>
      </c>
      <c r="F27" s="555">
        <v>940303993</v>
      </c>
      <c r="G27" s="556">
        <v>0.1031</v>
      </c>
      <c r="H27" s="555">
        <v>39953969</v>
      </c>
      <c r="I27" s="579"/>
      <c r="J27" s="558">
        <f>J26</f>
        <v>0.1022</v>
      </c>
      <c r="K27" s="557">
        <v>940391195</v>
      </c>
      <c r="L27" s="559">
        <f>2915699+36907-0</f>
        <v>2952606</v>
      </c>
      <c r="M27" s="579"/>
      <c r="N27" s="560">
        <f t="shared" ref="N27:N28" si="4">N26</f>
        <v>0.1022</v>
      </c>
      <c r="O27" s="561">
        <v>40249818</v>
      </c>
      <c r="P27" s="584">
        <v>301770.53000000003</v>
      </c>
      <c r="Q27" s="562">
        <v>-848911</v>
      </c>
      <c r="R27" s="562">
        <v>0</v>
      </c>
      <c r="S27" s="138">
        <v>3.95E-2</v>
      </c>
      <c r="T27" s="138">
        <v>5.8099999999999999E-2</v>
      </c>
      <c r="U27" s="557">
        <v>7361650</v>
      </c>
      <c r="V27" s="557">
        <v>1542137.5799999987</v>
      </c>
      <c r="W27" s="559">
        <v>2213735.2699999996</v>
      </c>
      <c r="X27" s="577"/>
      <c r="Y27" s="563">
        <v>36204065</v>
      </c>
      <c r="Z27" s="561">
        <v>33882155</v>
      </c>
      <c r="AA27" s="557">
        <v>39044619.169999994</v>
      </c>
      <c r="AB27" s="559">
        <v>38109097.890000001</v>
      </c>
      <c r="AD27" s="582">
        <f t="shared" si="1"/>
        <v>70086220</v>
      </c>
      <c r="AE27" s="582">
        <f t="shared" si="2"/>
        <v>77153717.060000002</v>
      </c>
    </row>
    <row r="28" spans="1:31" ht="13.5" customHeight="1" thickBot="1" x14ac:dyDescent="0.25">
      <c r="A28" s="220"/>
      <c r="B28" s="236">
        <f t="shared" si="3"/>
        <v>43009</v>
      </c>
      <c r="C28" s="229">
        <f t="shared" si="0"/>
        <v>42948</v>
      </c>
      <c r="D28" s="564">
        <v>0.99419999999999997</v>
      </c>
      <c r="E28" s="565">
        <v>0.1031</v>
      </c>
      <c r="F28" s="566">
        <v>937655883</v>
      </c>
      <c r="G28" s="567">
        <v>0.1031</v>
      </c>
      <c r="H28" s="566">
        <v>51447165</v>
      </c>
      <c r="I28" s="580"/>
      <c r="J28" s="569">
        <f>J27</f>
        <v>0.1022</v>
      </c>
      <c r="K28" s="568">
        <v>937831407</v>
      </c>
      <c r="L28" s="570">
        <f>2907540+107792-0</f>
        <v>3015332</v>
      </c>
      <c r="M28" s="580"/>
      <c r="N28" s="571">
        <f t="shared" si="4"/>
        <v>0.1022</v>
      </c>
      <c r="O28" s="572">
        <v>51743674</v>
      </c>
      <c r="P28" s="585">
        <v>339209.93</v>
      </c>
      <c r="Q28" s="573">
        <v>0</v>
      </c>
      <c r="R28" s="573">
        <v>0</v>
      </c>
      <c r="S28" s="565">
        <v>5.1299999999999998E-2</v>
      </c>
      <c r="T28" s="565">
        <v>7.5200000000000003E-2</v>
      </c>
      <c r="U28" s="568">
        <v>7382404</v>
      </c>
      <c r="V28" s="568">
        <v>1731245.8499999992</v>
      </c>
      <c r="W28" s="570">
        <v>2663540.5000000005</v>
      </c>
      <c r="X28" s="577"/>
      <c r="Y28" s="574">
        <v>35960007</v>
      </c>
      <c r="Z28" s="572">
        <v>33995944</v>
      </c>
      <c r="AA28" s="568">
        <v>33744570.75999999</v>
      </c>
      <c r="AB28" s="570">
        <v>36533152.200000003</v>
      </c>
      <c r="AD28" s="582">
        <f t="shared" si="1"/>
        <v>69955951</v>
      </c>
      <c r="AE28" s="582">
        <f t="shared" si="2"/>
        <v>70277722.959999993</v>
      </c>
    </row>
    <row r="29" spans="1:31" x14ac:dyDescent="0.2">
      <c r="M29" s="216"/>
      <c r="O29" s="215"/>
    </row>
    <row r="30" spans="1:31" x14ac:dyDescent="0.2">
      <c r="A30" s="221"/>
      <c r="D30" s="257"/>
      <c r="E30" s="257"/>
      <c r="M30"/>
      <c r="O30" s="260"/>
      <c r="P30" s="260"/>
      <c r="Q30" s="257"/>
      <c r="R30" s="257"/>
      <c r="S30" s="257"/>
      <c r="T30" s="257"/>
      <c r="U30" s="257"/>
      <c r="V30" s="257"/>
      <c r="W30" s="257"/>
    </row>
    <row r="31" spans="1:31" x14ac:dyDescent="0.2">
      <c r="A31" s="221"/>
      <c r="M31"/>
    </row>
    <row r="32" spans="1:31" x14ac:dyDescent="0.2">
      <c r="A32" s="221"/>
      <c r="M32"/>
    </row>
    <row r="33" spans="1:13" x14ac:dyDescent="0.2">
      <c r="A33" s="221"/>
      <c r="M33"/>
    </row>
    <row r="34" spans="1:13" x14ac:dyDescent="0.2">
      <c r="M34"/>
    </row>
    <row r="35" spans="1:13" x14ac:dyDescent="0.2">
      <c r="M35"/>
    </row>
    <row r="36" spans="1:13" x14ac:dyDescent="0.2">
      <c r="M36"/>
    </row>
    <row r="37" spans="1:13" x14ac:dyDescent="0.2">
      <c r="M37"/>
    </row>
    <row r="38" spans="1:13" x14ac:dyDescent="0.2">
      <c r="M38"/>
    </row>
    <row r="39" spans="1:13" x14ac:dyDescent="0.2">
      <c r="M39"/>
    </row>
    <row r="40" spans="1:13" x14ac:dyDescent="0.2">
      <c r="M40"/>
    </row>
    <row r="41" spans="1:13" x14ac:dyDescent="0.2">
      <c r="M41"/>
    </row>
    <row r="42" spans="1:13" x14ac:dyDescent="0.2">
      <c r="M42"/>
    </row>
    <row r="43" spans="1:13" x14ac:dyDescent="0.2">
      <c r="M43"/>
    </row>
    <row r="44" spans="1:13" x14ac:dyDescent="0.2">
      <c r="M44"/>
    </row>
    <row r="45" spans="1:13" x14ac:dyDescent="0.2">
      <c r="M45"/>
    </row>
  </sheetData>
  <mergeCells count="21">
    <mergeCell ref="A23:A25"/>
    <mergeCell ref="J19:W19"/>
    <mergeCell ref="J20:L20"/>
    <mergeCell ref="E20:F20"/>
    <mergeCell ref="G20:H20"/>
    <mergeCell ref="N20:P20"/>
    <mergeCell ref="Y19:AB19"/>
    <mergeCell ref="B2:C2"/>
    <mergeCell ref="B3:C3"/>
    <mergeCell ref="B4:C4"/>
    <mergeCell ref="B6:C6"/>
    <mergeCell ref="E19:H19"/>
    <mergeCell ref="B14:C14"/>
    <mergeCell ref="B15:C15"/>
    <mergeCell ref="B16:C16"/>
    <mergeCell ref="B8:C8"/>
    <mergeCell ref="B11:C11"/>
    <mergeCell ref="B10:C10"/>
    <mergeCell ref="B9:C9"/>
    <mergeCell ref="B12:C12"/>
    <mergeCell ref="B13:C13"/>
  </mergeCells>
  <dataValidations disablePrompts="1" count="1">
    <dataValidation type="list" allowBlank="1" showInputMessage="1" showErrorMessage="1" sqref="B2:C2">
      <formula1>$W$2:$W$3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D63"/>
  <sheetViews>
    <sheetView zoomScaleNormal="100" workbookViewId="0">
      <selection activeCell="F37" sqref="F37"/>
    </sheetView>
  </sheetViews>
  <sheetFormatPr defaultRowHeight="12.75" x14ac:dyDescent="0.2"/>
  <cols>
    <col min="1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53" t="str">
        <f>'Input Tab'!B2</f>
        <v>Louisville Gas &amp; Electric Company</v>
      </c>
      <c r="B1" s="3"/>
      <c r="I1" s="1" t="str">
        <f>'Q2 p.1 - Retail E(m)'!H1</f>
        <v>Revised Attachment to Response to Question No. 2</v>
      </c>
    </row>
    <row r="2" spans="1:27" ht="12.75" customHeight="1" x14ac:dyDescent="0.3">
      <c r="A2" s="53" t="s">
        <v>38</v>
      </c>
      <c r="B2" s="3"/>
      <c r="I2" s="1" t="s">
        <v>155</v>
      </c>
    </row>
    <row r="3" spans="1:27" ht="12.75" customHeight="1" x14ac:dyDescent="0.3">
      <c r="A3" s="54" t="s">
        <v>339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664" t="s">
        <v>81</v>
      </c>
      <c r="B5" s="665"/>
      <c r="C5" s="665"/>
      <c r="D5" s="665"/>
      <c r="E5" s="665"/>
      <c r="F5" s="665"/>
      <c r="G5" s="665"/>
      <c r="H5" s="665"/>
      <c r="I5" s="666"/>
      <c r="K5"/>
      <c r="U5" s="4"/>
    </row>
    <row r="6" spans="1:27" s="5" customFormat="1" x14ac:dyDescent="0.2">
      <c r="A6" s="595">
        <v>-1</v>
      </c>
      <c r="B6" s="165">
        <f t="shared" ref="B6:I6" si="0">+A6-1</f>
        <v>-2</v>
      </c>
      <c r="C6" s="165">
        <f t="shared" si="0"/>
        <v>-3</v>
      </c>
      <c r="D6" s="165">
        <f t="shared" si="0"/>
        <v>-4</v>
      </c>
      <c r="E6" s="165">
        <f t="shared" si="0"/>
        <v>-5</v>
      </c>
      <c r="F6" s="165">
        <f t="shared" si="0"/>
        <v>-6</v>
      </c>
      <c r="G6" s="165">
        <f t="shared" si="0"/>
        <v>-7</v>
      </c>
      <c r="H6" s="165">
        <f t="shared" si="0"/>
        <v>-8</v>
      </c>
      <c r="I6" s="166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596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39</v>
      </c>
      <c r="H7" s="158" t="s">
        <v>40</v>
      </c>
      <c r="I7" s="159" t="s">
        <v>41</v>
      </c>
      <c r="K7"/>
      <c r="U7" s="7"/>
      <c r="V7" s="7"/>
      <c r="W7" s="7"/>
    </row>
    <row r="8" spans="1:27" x14ac:dyDescent="0.2">
      <c r="A8" s="122"/>
      <c r="B8" s="8"/>
      <c r="C8" s="9"/>
      <c r="D8" s="9"/>
      <c r="E8" s="135" t="s">
        <v>9</v>
      </c>
      <c r="F8" s="8"/>
      <c r="G8" s="9" t="s">
        <v>10</v>
      </c>
      <c r="H8" s="8"/>
      <c r="I8" s="128" t="s">
        <v>6</v>
      </c>
      <c r="K8"/>
      <c r="U8" s="7"/>
      <c r="V8" s="7"/>
      <c r="W8" s="7"/>
    </row>
    <row r="9" spans="1:27" x14ac:dyDescent="0.2">
      <c r="A9" s="122"/>
      <c r="B9" s="8"/>
      <c r="C9" s="9"/>
      <c r="D9" s="9"/>
      <c r="E9" s="135"/>
      <c r="F9" s="8"/>
      <c r="G9" s="9"/>
      <c r="H9" s="8"/>
      <c r="I9" s="128"/>
      <c r="K9"/>
      <c r="U9" s="7"/>
      <c r="V9" s="7"/>
      <c r="W9" s="7"/>
    </row>
    <row r="10" spans="1:27" x14ac:dyDescent="0.2">
      <c r="A10" s="597">
        <f>'Q1 p.1 - Rate Base True-up Adj'!A9</f>
        <v>42856</v>
      </c>
      <c r="B10" s="118">
        <f>'Q1 p.1 - Rate Base True-up Adj'!B9</f>
        <v>42795</v>
      </c>
      <c r="C10" s="11">
        <f>'Q1 p.1 - Rate Base True-up Adj'!C9</f>
        <v>0.1038</v>
      </c>
      <c r="D10" s="12">
        <f>'Q1 p.2 - Rate of Return Adj'!D9</f>
        <v>0.1045</v>
      </c>
      <c r="E10" s="11">
        <f t="shared" ref="E10:E15" si="1">D10-C10</f>
        <v>6.999999999999923E-4</v>
      </c>
      <c r="F10" s="56">
        <f>'Q1 p.1 - Rate Base True-up Adj'!E9</f>
        <v>922749314</v>
      </c>
      <c r="G10" s="56">
        <f t="shared" ref="G10:G15" si="2">(E10*F10)/12</f>
        <v>53827.043316666073</v>
      </c>
      <c r="H10" s="11">
        <f>'Q1 p.1 - Rate Base True-up Adj'!H9</f>
        <v>0.90949999999999998</v>
      </c>
      <c r="I10" s="126">
        <f t="shared" ref="I10:I15" si="3">+G10*H10</f>
        <v>48955.695896507794</v>
      </c>
      <c r="K10"/>
      <c r="U10" s="14"/>
      <c r="V10" s="14"/>
      <c r="W10" s="7"/>
    </row>
    <row r="11" spans="1:27" x14ac:dyDescent="0.2">
      <c r="A11" s="597">
        <f>'Q1 p.1 - Rate Base True-up Adj'!A10</f>
        <v>42887</v>
      </c>
      <c r="B11" s="118">
        <f>'Q1 p.1 - Rate Base True-up Adj'!B10</f>
        <v>42826</v>
      </c>
      <c r="C11" s="11">
        <f>'Q1 p.1 - Rate Base True-up Adj'!C10</f>
        <v>0.1038</v>
      </c>
      <c r="D11" s="12">
        <f>'Q1 p.2 - Rate of Return Adj'!D10</f>
        <v>0.1045</v>
      </c>
      <c r="E11" s="11">
        <f t="shared" si="1"/>
        <v>6.999999999999923E-4</v>
      </c>
      <c r="F11" s="57">
        <f>'Q1 p.1 - Rate Base True-up Adj'!E10</f>
        <v>924116539</v>
      </c>
      <c r="G11" s="57">
        <f t="shared" si="2"/>
        <v>53906.79810833274</v>
      </c>
      <c r="H11" s="11">
        <f>'Q1 p.1 - Rate Base True-up Adj'!H10</f>
        <v>0.98070000000000002</v>
      </c>
      <c r="I11" s="160">
        <f t="shared" si="3"/>
        <v>52866.396904841917</v>
      </c>
      <c r="K11"/>
      <c r="U11" s="14"/>
      <c r="V11" s="14"/>
      <c r="W11" s="7"/>
    </row>
    <row r="12" spans="1:27" x14ac:dyDescent="0.2">
      <c r="A12" s="597">
        <f>'Q1 p.1 - Rate Base True-up Adj'!A11</f>
        <v>42917</v>
      </c>
      <c r="B12" s="118">
        <f>'Q1 p.1 - Rate Base True-up Adj'!B11</f>
        <v>42856</v>
      </c>
      <c r="C12" s="11">
        <f>'Q1 p.1 - Rate Base True-up Adj'!C11</f>
        <v>0.1038</v>
      </c>
      <c r="D12" s="12">
        <f>'Q1 p.2 - Rate of Return Adj'!D11</f>
        <v>0.1045</v>
      </c>
      <c r="E12" s="11">
        <f t="shared" si="1"/>
        <v>6.999999999999923E-4</v>
      </c>
      <c r="F12" s="57">
        <f>'Q1 p.1 - Rate Base True-up Adj'!E11</f>
        <v>924917547</v>
      </c>
      <c r="G12" s="57">
        <f t="shared" si="2"/>
        <v>53953.52357499941</v>
      </c>
      <c r="H12" s="11">
        <f>'Q1 p.1 - Rate Base True-up Adj'!H11</f>
        <v>0.96109999999999995</v>
      </c>
      <c r="I12" s="160">
        <f t="shared" si="3"/>
        <v>51854.731507931931</v>
      </c>
      <c r="K12"/>
      <c r="U12" s="14"/>
      <c r="V12" s="14"/>
      <c r="W12" s="7"/>
    </row>
    <row r="13" spans="1:27" x14ac:dyDescent="0.2">
      <c r="A13" s="597">
        <f>'Q1 p.1 - Rate Base True-up Adj'!A12</f>
        <v>42948</v>
      </c>
      <c r="B13" s="118">
        <f>'Q1 p.1 - Rate Base True-up Adj'!B12</f>
        <v>42887</v>
      </c>
      <c r="C13" s="11">
        <f>'Q1 p.1 - Rate Base True-up Adj'!C12</f>
        <v>0.1031</v>
      </c>
      <c r="D13" s="12">
        <f>'Q1 p.2 - Rate of Return Adj'!D12</f>
        <v>0.1022</v>
      </c>
      <c r="E13" s="11">
        <f t="shared" si="1"/>
        <v>-8.9999999999999802E-4</v>
      </c>
      <c r="F13" s="57">
        <f>'Q1 p.1 - Rate Base True-up Adj'!E12</f>
        <v>924920951</v>
      </c>
      <c r="G13" s="57">
        <f t="shared" si="2"/>
        <v>-69369.071324999852</v>
      </c>
      <c r="H13" s="11">
        <f>'Q1 p.1 - Rate Base True-up Adj'!H12</f>
        <v>0.98680000000000001</v>
      </c>
      <c r="I13" s="160">
        <f t="shared" si="3"/>
        <v>-68453.399583509861</v>
      </c>
      <c r="K13"/>
      <c r="U13" s="14"/>
      <c r="V13" s="14"/>
      <c r="W13" s="7"/>
      <c r="X13" s="16"/>
      <c r="Y13" s="17"/>
      <c r="AA13" s="18"/>
    </row>
    <row r="14" spans="1:27" x14ac:dyDescent="0.2">
      <c r="A14" s="597">
        <f>'Q1 p.1 - Rate Base True-up Adj'!A13</f>
        <v>42979</v>
      </c>
      <c r="B14" s="118">
        <f>'Q1 p.1 - Rate Base True-up Adj'!B13</f>
        <v>42917</v>
      </c>
      <c r="C14" s="11">
        <f>'Q1 p.1 - Rate Base True-up Adj'!C13</f>
        <v>0.1031</v>
      </c>
      <c r="D14" s="12">
        <f>'Q1 p.2 - Rate of Return Adj'!D13</f>
        <v>0.1022</v>
      </c>
      <c r="E14" s="11">
        <f t="shared" si="1"/>
        <v>-8.9999999999999802E-4</v>
      </c>
      <c r="F14" s="57">
        <f>'Q1 p.1 - Rate Base True-up Adj'!E13</f>
        <v>940391195</v>
      </c>
      <c r="G14" s="57">
        <f t="shared" si="2"/>
        <v>-70529.339624999848</v>
      </c>
      <c r="H14" s="11">
        <f>'Q1 p.1 - Rate Base True-up Adj'!H13</f>
        <v>0.99419999999999997</v>
      </c>
      <c r="I14" s="160">
        <f t="shared" si="3"/>
        <v>-70120.269455174843</v>
      </c>
      <c r="K14"/>
      <c r="U14" s="14"/>
      <c r="V14" s="14"/>
      <c r="W14" s="7"/>
      <c r="X14" s="16"/>
      <c r="Y14" s="17"/>
      <c r="AA14" s="18"/>
    </row>
    <row r="15" spans="1:27" x14ac:dyDescent="0.2">
      <c r="A15" s="597">
        <f>'Q1 p.1 - Rate Base True-up Adj'!A14</f>
        <v>43009</v>
      </c>
      <c r="B15" s="118">
        <f>'Q1 p.1 - Rate Base True-up Adj'!B14</f>
        <v>42948</v>
      </c>
      <c r="C15" s="11">
        <f>'Q1 p.1 - Rate Base True-up Adj'!C14</f>
        <v>0.1031</v>
      </c>
      <c r="D15" s="12">
        <f>'Q1 p.2 - Rate of Return Adj'!D14</f>
        <v>0.1022</v>
      </c>
      <c r="E15" s="11">
        <f t="shared" si="1"/>
        <v>-8.9999999999999802E-4</v>
      </c>
      <c r="F15" s="57">
        <f>'Q1 p.1 - Rate Base True-up Adj'!E14</f>
        <v>937831407</v>
      </c>
      <c r="G15" s="58">
        <f t="shared" si="2"/>
        <v>-70337.355524999846</v>
      </c>
      <c r="H15" s="11">
        <f>'Q1 p.1 - Rate Base True-up Adj'!H14</f>
        <v>0.99419999999999997</v>
      </c>
      <c r="I15" s="161">
        <f t="shared" si="3"/>
        <v>-69929.39886295484</v>
      </c>
      <c r="K15"/>
      <c r="U15" s="14"/>
      <c r="V15" s="14"/>
      <c r="W15" s="7"/>
      <c r="X15" s="16"/>
      <c r="Z15" s="18"/>
    </row>
    <row r="16" spans="1:27" x14ac:dyDescent="0.2">
      <c r="A16" s="598"/>
      <c r="B16" s="10"/>
      <c r="C16" s="8"/>
      <c r="D16" s="8"/>
      <c r="E16" s="8"/>
      <c r="F16" s="8"/>
      <c r="G16" s="56">
        <f>SUM(G10:G15)</f>
        <v>-48548.40147500133</v>
      </c>
      <c r="H16" s="8"/>
      <c r="I16" s="126">
        <f>SUM(I10:I15)</f>
        <v>-54826.243592357918</v>
      </c>
      <c r="K16"/>
      <c r="U16" s="7"/>
      <c r="V16" s="7"/>
      <c r="W16" s="7"/>
      <c r="Z16" s="18"/>
      <c r="AA16" s="18"/>
    </row>
    <row r="17" spans="1:27" ht="13.5" thickBot="1" x14ac:dyDescent="0.25">
      <c r="A17" s="599"/>
      <c r="B17" s="162"/>
      <c r="C17" s="130"/>
      <c r="D17" s="130"/>
      <c r="E17" s="130"/>
      <c r="F17" s="130"/>
      <c r="G17" s="163"/>
      <c r="H17" s="130"/>
      <c r="I17" s="164"/>
      <c r="K17"/>
      <c r="U17" s="7"/>
      <c r="V17" s="7"/>
      <c r="W17" s="7"/>
      <c r="Z17" s="18"/>
      <c r="AA17" s="18"/>
    </row>
    <row r="18" spans="1:27" ht="13.5" thickBot="1" x14ac:dyDescent="0.25">
      <c r="A18" s="10"/>
      <c r="B18" s="10"/>
      <c r="G18" s="56"/>
      <c r="I18" s="56"/>
      <c r="K18"/>
      <c r="U18" s="7"/>
      <c r="V18" s="7"/>
      <c r="W18" s="7"/>
      <c r="Z18" s="18"/>
      <c r="AA18" s="18"/>
    </row>
    <row r="19" spans="1:27" ht="13.5" thickBot="1" x14ac:dyDescent="0.25">
      <c r="A19" s="664" t="s">
        <v>82</v>
      </c>
      <c r="B19" s="667"/>
      <c r="C19" s="667"/>
      <c r="D19" s="667"/>
      <c r="E19" s="667"/>
      <c r="F19" s="667"/>
      <c r="G19" s="667"/>
      <c r="H19" s="667"/>
      <c r="I19" s="668"/>
      <c r="K19"/>
      <c r="U19" s="7"/>
      <c r="V19" s="7"/>
      <c r="W19" s="7"/>
      <c r="Z19" s="18"/>
      <c r="AA19" s="18"/>
    </row>
    <row r="20" spans="1:27" x14ac:dyDescent="0.2">
      <c r="A20" s="595">
        <v>-1</v>
      </c>
      <c r="B20" s="165">
        <f t="shared" ref="B20" si="4">+A20-1</f>
        <v>-2</v>
      </c>
      <c r="C20" s="165">
        <f t="shared" ref="C20" si="5">+B20-1</f>
        <v>-3</v>
      </c>
      <c r="D20" s="165">
        <f t="shared" ref="D20" si="6">+C20-1</f>
        <v>-4</v>
      </c>
      <c r="E20" s="165">
        <f t="shared" ref="E20" si="7">+D20-1</f>
        <v>-5</v>
      </c>
      <c r="F20" s="165">
        <f t="shared" ref="F20" si="8">+E20-1</f>
        <v>-6</v>
      </c>
      <c r="G20" s="165">
        <f t="shared" ref="G20" si="9">+F20-1</f>
        <v>-7</v>
      </c>
      <c r="H20" s="165">
        <f t="shared" ref="H20" si="10">+G20-1</f>
        <v>-8</v>
      </c>
      <c r="I20" s="166">
        <f t="shared" ref="I20" si="11">+H20-1</f>
        <v>-9</v>
      </c>
      <c r="K20"/>
      <c r="U20" s="7"/>
      <c r="V20" s="7"/>
      <c r="W20" s="7"/>
      <c r="Z20" s="18"/>
      <c r="AA20" s="18"/>
    </row>
    <row r="21" spans="1:27" ht="38.25" x14ac:dyDescent="0.2">
      <c r="A21" s="596" t="s">
        <v>0</v>
      </c>
      <c r="B21" s="20" t="s">
        <v>1</v>
      </c>
      <c r="C21" s="20" t="s">
        <v>2</v>
      </c>
      <c r="D21" s="20" t="s">
        <v>7</v>
      </c>
      <c r="E21" s="20" t="s">
        <v>8</v>
      </c>
      <c r="F21" s="20" t="s">
        <v>14</v>
      </c>
      <c r="G21" s="20" t="s">
        <v>39</v>
      </c>
      <c r="H21" s="158" t="s">
        <v>40</v>
      </c>
      <c r="I21" s="159" t="s">
        <v>41</v>
      </c>
      <c r="K21"/>
      <c r="U21" s="7"/>
      <c r="V21" s="7"/>
      <c r="W21" s="7"/>
      <c r="Z21" s="18"/>
      <c r="AA21" s="18"/>
    </row>
    <row r="22" spans="1:27" x14ac:dyDescent="0.2">
      <c r="A22" s="122"/>
      <c r="B22" s="8"/>
      <c r="C22" s="9"/>
      <c r="D22" s="9"/>
      <c r="E22" s="135" t="s">
        <v>9</v>
      </c>
      <c r="F22" s="8"/>
      <c r="G22" s="9" t="s">
        <v>10</v>
      </c>
      <c r="H22" s="8"/>
      <c r="I22" s="128" t="s">
        <v>6</v>
      </c>
      <c r="K22"/>
      <c r="U22" s="7"/>
      <c r="V22" s="7"/>
      <c r="W22" s="7"/>
      <c r="Z22" s="18"/>
      <c r="AA22" s="18"/>
    </row>
    <row r="23" spans="1:27" x14ac:dyDescent="0.2">
      <c r="A23" s="122"/>
      <c r="B23" s="8"/>
      <c r="C23" s="9"/>
      <c r="D23" s="9"/>
      <c r="E23" s="135"/>
      <c r="F23" s="8"/>
      <c r="G23" s="9"/>
      <c r="H23" s="8"/>
      <c r="I23" s="128"/>
      <c r="K23"/>
      <c r="U23" s="7"/>
      <c r="V23" s="7"/>
      <c r="W23" s="7"/>
      <c r="Z23" s="18"/>
      <c r="AA23" s="18"/>
    </row>
    <row r="24" spans="1:27" x14ac:dyDescent="0.2">
      <c r="A24" s="597">
        <f>'Q1 p.1 - Rate Base True-up Adj'!A22</f>
        <v>42856</v>
      </c>
      <c r="B24" s="118">
        <f>'Q1 p.1 - Rate Base True-up Adj'!B22</f>
        <v>42795</v>
      </c>
      <c r="C24" s="11">
        <f>'Q1 p.1 - Rate Base True-up Adj'!C22</f>
        <v>0.10199999999999999</v>
      </c>
      <c r="D24" s="12">
        <f>'Q1 p.2 - Rate of Return Adj'!D22</f>
        <v>0.1027</v>
      </c>
      <c r="E24" s="11">
        <f t="shared" ref="E24:E29" si="12">D24-C24</f>
        <v>7.0000000000000617E-4</v>
      </c>
      <c r="F24" s="56">
        <f>'Q1 p.1 - Rate Base True-up Adj'!E22</f>
        <v>17978669</v>
      </c>
      <c r="G24" s="56">
        <f t="shared" ref="G24:G27" si="13">(E24*F24)/12</f>
        <v>1048.7556916666761</v>
      </c>
      <c r="H24" s="11">
        <f>'Q1 p.1 - Rate Base True-up Adj'!H22</f>
        <v>0.90949999999999998</v>
      </c>
      <c r="I24" s="126">
        <f t="shared" ref="I24:I29" si="14">+G24*H24</f>
        <v>953.84330157084185</v>
      </c>
      <c r="K24"/>
      <c r="U24" s="7"/>
      <c r="V24" s="7"/>
      <c r="W24" s="7"/>
      <c r="Z24" s="18"/>
      <c r="AA24" s="18"/>
    </row>
    <row r="25" spans="1:27" x14ac:dyDescent="0.2">
      <c r="A25" s="597">
        <f>'Q1 p.1 - Rate Base True-up Adj'!A23</f>
        <v>42887</v>
      </c>
      <c r="B25" s="118">
        <f>'Q1 p.1 - Rate Base True-up Adj'!B23</f>
        <v>42826</v>
      </c>
      <c r="C25" s="11">
        <f>'Q1 p.1 - Rate Base True-up Adj'!C23</f>
        <v>0.10199999999999999</v>
      </c>
      <c r="D25" s="12">
        <f>'Q1 p.2 - Rate of Return Adj'!D23</f>
        <v>0.1027</v>
      </c>
      <c r="E25" s="11">
        <f t="shared" si="12"/>
        <v>7.0000000000000617E-4</v>
      </c>
      <c r="F25" s="56">
        <f>'Q1 p.1 - Rate Base True-up Adj'!E23</f>
        <v>20027451</v>
      </c>
      <c r="G25" s="57">
        <f t="shared" si="13"/>
        <v>1168.2679750000104</v>
      </c>
      <c r="H25" s="11">
        <f>'Q1 p.1 - Rate Base True-up Adj'!H23</f>
        <v>0.98070000000000002</v>
      </c>
      <c r="I25" s="160">
        <f t="shared" si="14"/>
        <v>1145.7204030825103</v>
      </c>
      <c r="K25"/>
      <c r="U25" s="7"/>
      <c r="V25" s="7"/>
      <c r="W25" s="7"/>
      <c r="Z25" s="18"/>
      <c r="AA25" s="18"/>
    </row>
    <row r="26" spans="1:27" x14ac:dyDescent="0.2">
      <c r="A26" s="597">
        <f>'Q1 p.1 - Rate Base True-up Adj'!A24</f>
        <v>42917</v>
      </c>
      <c r="B26" s="118">
        <f>'Q1 p.1 - Rate Base True-up Adj'!B24</f>
        <v>42856</v>
      </c>
      <c r="C26" s="11">
        <f>'Q1 p.1 - Rate Base True-up Adj'!C24</f>
        <v>0.10199999999999999</v>
      </c>
      <c r="D26" s="12">
        <f>'Q1 p.2 - Rate of Return Adj'!D24</f>
        <v>0.1027</v>
      </c>
      <c r="E26" s="11">
        <f t="shared" si="12"/>
        <v>7.0000000000000617E-4</v>
      </c>
      <c r="F26" s="56">
        <f>'Q1 p.1 - Rate Base True-up Adj'!E24</f>
        <v>20284431</v>
      </c>
      <c r="G26" s="57">
        <f t="shared" si="13"/>
        <v>1183.2584750000103</v>
      </c>
      <c r="H26" s="11">
        <f>'Q1 p.1 - Rate Base True-up Adj'!H24</f>
        <v>0.96109999999999995</v>
      </c>
      <c r="I26" s="160">
        <f t="shared" si="14"/>
        <v>1137.2297203225098</v>
      </c>
      <c r="K26"/>
      <c r="U26" s="7"/>
      <c r="V26" s="7"/>
      <c r="W26" s="7"/>
      <c r="Z26" s="18"/>
      <c r="AA26" s="18"/>
    </row>
    <row r="27" spans="1:27" x14ac:dyDescent="0.2">
      <c r="A27" s="597">
        <f>'Q1 p.1 - Rate Base True-up Adj'!A25</f>
        <v>42948</v>
      </c>
      <c r="B27" s="118">
        <f>'Q1 p.1 - Rate Base True-up Adj'!B25</f>
        <v>42887</v>
      </c>
      <c r="C27" s="11">
        <f>'Q1 p.1 - Rate Base True-up Adj'!C25</f>
        <v>0.1031</v>
      </c>
      <c r="D27" s="12">
        <f>'Q1 p.2 - Rate of Return Adj'!D25</f>
        <v>0.1022</v>
      </c>
      <c r="E27" s="11">
        <f t="shared" si="12"/>
        <v>-8.9999999999999802E-4</v>
      </c>
      <c r="F27" s="56">
        <f>'Q1 p.1 - Rate Base True-up Adj'!E25</f>
        <v>26433185</v>
      </c>
      <c r="G27" s="57">
        <f t="shared" si="13"/>
        <v>-1982.4888749999957</v>
      </c>
      <c r="H27" s="11">
        <f>'Q1 p.1 - Rate Base True-up Adj'!H25</f>
        <v>0.98680000000000001</v>
      </c>
      <c r="I27" s="160">
        <f t="shared" si="14"/>
        <v>-1956.3200218499958</v>
      </c>
      <c r="K27"/>
      <c r="U27" s="7"/>
      <c r="V27" s="7"/>
      <c r="W27" s="7"/>
      <c r="Z27" s="18"/>
      <c r="AA27" s="18"/>
    </row>
    <row r="28" spans="1:27" x14ac:dyDescent="0.2">
      <c r="A28" s="597">
        <f>'Q1 p.1 - Rate Base True-up Adj'!A26</f>
        <v>42979</v>
      </c>
      <c r="B28" s="118">
        <f>'Q1 p.1 - Rate Base True-up Adj'!B26</f>
        <v>42917</v>
      </c>
      <c r="C28" s="11">
        <f>'Q1 p.1 - Rate Base True-up Adj'!C26</f>
        <v>0.1031</v>
      </c>
      <c r="D28" s="12">
        <f>'Q1 p.2 - Rate of Return Adj'!D26</f>
        <v>0.1022</v>
      </c>
      <c r="E28" s="11">
        <f t="shared" si="12"/>
        <v>-8.9999999999999802E-4</v>
      </c>
      <c r="F28" s="56">
        <f>'Q1 p.1 - Rate Base True-up Adj'!E26</f>
        <v>40249818</v>
      </c>
      <c r="G28" s="57">
        <f>ROUND((E28*F28)/12,0)</f>
        <v>-3019</v>
      </c>
      <c r="H28" s="11">
        <f>'Q1 p.1 - Rate Base True-up Adj'!H26</f>
        <v>0.99419999999999997</v>
      </c>
      <c r="I28" s="160">
        <f t="shared" si="14"/>
        <v>-3001.4897999999998</v>
      </c>
      <c r="K28"/>
      <c r="U28" s="7"/>
      <c r="V28" s="7"/>
      <c r="W28" s="7"/>
      <c r="Z28" s="18"/>
      <c r="AA28" s="18"/>
    </row>
    <row r="29" spans="1:27" x14ac:dyDescent="0.2">
      <c r="A29" s="597">
        <f>'Q1 p.1 - Rate Base True-up Adj'!A27</f>
        <v>43009</v>
      </c>
      <c r="B29" s="118">
        <f>'Q1 p.1 - Rate Base True-up Adj'!B27</f>
        <v>42948</v>
      </c>
      <c r="C29" s="11">
        <f>'Q1 p.1 - Rate Base True-up Adj'!C27</f>
        <v>0.1031</v>
      </c>
      <c r="D29" s="12">
        <f>'Q1 p.2 - Rate of Return Adj'!D27</f>
        <v>0.1022</v>
      </c>
      <c r="E29" s="11">
        <f t="shared" si="12"/>
        <v>-8.9999999999999802E-4</v>
      </c>
      <c r="F29" s="56">
        <f>'Q1 p.1 - Rate Base True-up Adj'!E27</f>
        <v>51743674</v>
      </c>
      <c r="G29" s="58">
        <f>ROUND((E29*F29)/12,0)</f>
        <v>-3881</v>
      </c>
      <c r="H29" s="11">
        <f>'Q1 p.1 - Rate Base True-up Adj'!H27</f>
        <v>0.99419999999999997</v>
      </c>
      <c r="I29" s="161">
        <f t="shared" si="14"/>
        <v>-3858.4901999999997</v>
      </c>
      <c r="K29"/>
      <c r="U29" s="7"/>
      <c r="V29" s="7"/>
      <c r="W29" s="7"/>
      <c r="Z29" s="18"/>
      <c r="AA29" s="18"/>
    </row>
    <row r="30" spans="1:27" x14ac:dyDescent="0.2">
      <c r="A30" s="598"/>
      <c r="B30" s="10"/>
      <c r="C30" s="8"/>
      <c r="D30" s="8"/>
      <c r="E30" s="8"/>
      <c r="F30" s="8"/>
      <c r="G30" s="56">
        <f>SUM(G24:G29)</f>
        <v>-5482.2067333332989</v>
      </c>
      <c r="H30" s="8"/>
      <c r="I30" s="126">
        <f>SUM(I24:I29)</f>
        <v>-5579.5065968741337</v>
      </c>
      <c r="K30"/>
      <c r="U30" s="7"/>
      <c r="V30" s="7"/>
      <c r="W30" s="7"/>
      <c r="Z30" s="18"/>
      <c r="AA30" s="18"/>
    </row>
    <row r="31" spans="1:27" ht="13.5" thickBot="1" x14ac:dyDescent="0.25">
      <c r="A31" s="129"/>
      <c r="B31" s="130"/>
      <c r="C31" s="130"/>
      <c r="D31" s="130"/>
      <c r="E31" s="130"/>
      <c r="F31" s="130"/>
      <c r="G31" s="130"/>
      <c r="H31" s="130"/>
      <c r="I31" s="132"/>
      <c r="K31"/>
      <c r="U31" s="7"/>
      <c r="V31" s="7"/>
      <c r="W31" s="7"/>
    </row>
    <row r="32" spans="1:27" ht="13.5" thickBot="1" x14ac:dyDescent="0.25">
      <c r="K32"/>
      <c r="U32" s="7"/>
      <c r="V32" s="7"/>
      <c r="W32" s="7"/>
    </row>
    <row r="33" spans="2:30" s="5" customFormat="1" ht="13.5" thickBot="1" x14ac:dyDescent="0.25">
      <c r="B33" s="664" t="s">
        <v>42</v>
      </c>
      <c r="C33" s="665"/>
      <c r="D33" s="665"/>
      <c r="E33" s="665"/>
      <c r="F33" s="665"/>
      <c r="G33" s="666"/>
      <c r="H33" s="6"/>
      <c r="I33" s="1"/>
      <c r="J33" s="19"/>
      <c r="K33"/>
      <c r="L33"/>
      <c r="M33"/>
      <c r="N33"/>
      <c r="O33"/>
      <c r="P33"/>
      <c r="Q33"/>
      <c r="R33"/>
      <c r="S33"/>
      <c r="T33"/>
      <c r="U33" s="19"/>
      <c r="V33" s="9"/>
      <c r="W33" s="9"/>
    </row>
    <row r="34" spans="2:30" x14ac:dyDescent="0.2">
      <c r="B34" s="167">
        <v>-1</v>
      </c>
      <c r="C34" s="156">
        <f t="shared" ref="C34:G34" si="15">+B34-1</f>
        <v>-2</v>
      </c>
      <c r="D34" s="156">
        <f t="shared" si="15"/>
        <v>-3</v>
      </c>
      <c r="E34" s="156">
        <f t="shared" si="15"/>
        <v>-4</v>
      </c>
      <c r="F34" s="156">
        <f t="shared" si="15"/>
        <v>-5</v>
      </c>
      <c r="G34" s="157">
        <f t="shared" si="15"/>
        <v>-6</v>
      </c>
      <c r="L34" s="4"/>
      <c r="M34" s="4"/>
      <c r="U34" s="7"/>
    </row>
    <row r="35" spans="2:30" ht="51" x14ac:dyDescent="0.2">
      <c r="B35" s="168" t="s">
        <v>43</v>
      </c>
      <c r="C35" s="158" t="s">
        <v>44</v>
      </c>
      <c r="D35" s="20" t="s">
        <v>18</v>
      </c>
      <c r="E35" s="158" t="s">
        <v>133</v>
      </c>
      <c r="F35" s="158" t="s">
        <v>134</v>
      </c>
      <c r="G35" s="169" t="s">
        <v>45</v>
      </c>
      <c r="H35" s="5"/>
      <c r="I35" s="59"/>
      <c r="J35" s="7"/>
      <c r="K35"/>
      <c r="U35" s="7"/>
    </row>
    <row r="36" spans="2:30" x14ac:dyDescent="0.2">
      <c r="B36" s="127"/>
      <c r="C36" s="9"/>
      <c r="D36" s="135" t="s">
        <v>46</v>
      </c>
      <c r="E36" s="9"/>
      <c r="F36" s="8"/>
      <c r="G36" s="128"/>
      <c r="H36" s="5"/>
      <c r="I36" s="7"/>
      <c r="J36" s="7"/>
      <c r="K36"/>
      <c r="U36" s="7"/>
    </row>
    <row r="37" spans="2:30" x14ac:dyDescent="0.2">
      <c r="B37" s="170"/>
      <c r="C37" s="9"/>
      <c r="D37" s="9"/>
      <c r="E37" s="8"/>
      <c r="F37" s="8"/>
      <c r="G37" s="124"/>
      <c r="H37" s="55"/>
      <c r="I37" s="21"/>
      <c r="J37" s="19"/>
      <c r="K37"/>
      <c r="U37" s="7"/>
    </row>
    <row r="38" spans="2:30" x14ac:dyDescent="0.2">
      <c r="B38" s="171">
        <f t="shared" ref="B38:C43" si="16">+A10</f>
        <v>42856</v>
      </c>
      <c r="C38" s="119">
        <f t="shared" si="16"/>
        <v>42795</v>
      </c>
      <c r="D38" s="56">
        <f>'Q2 p.2 - Detailed Over-Under'!L10</f>
        <v>-583388</v>
      </c>
      <c r="E38" s="56">
        <f t="shared" ref="E38:E43" si="17">-I10</f>
        <v>-48955.695896507794</v>
      </c>
      <c r="F38" s="172">
        <f t="shared" ref="F38:F43" si="18">-I24</f>
        <v>-953.84330157084185</v>
      </c>
      <c r="G38" s="126">
        <f>D38-E38-F38</f>
        <v>-533478.46080192132</v>
      </c>
      <c r="H38" s="5"/>
      <c r="I38" s="13"/>
      <c r="J38" s="19"/>
      <c r="K38"/>
      <c r="U38" s="7"/>
    </row>
    <row r="39" spans="2:30" x14ac:dyDescent="0.2">
      <c r="B39" s="171">
        <f t="shared" si="16"/>
        <v>42887</v>
      </c>
      <c r="C39" s="119">
        <f t="shared" si="16"/>
        <v>42826</v>
      </c>
      <c r="D39" s="56">
        <f>'Q2 p.2 - Detailed Over-Under'!L11</f>
        <v>731349</v>
      </c>
      <c r="E39" s="173">
        <f t="shared" si="17"/>
        <v>-52866.396904841917</v>
      </c>
      <c r="F39" s="172">
        <f t="shared" si="18"/>
        <v>-1145.7204030825103</v>
      </c>
      <c r="G39" s="126">
        <f t="shared" ref="G39:G43" si="19">D39-E39-F39</f>
        <v>785361.11730792443</v>
      </c>
      <c r="H39" s="5"/>
      <c r="I39" s="13"/>
      <c r="J39" s="19"/>
      <c r="K39"/>
      <c r="U39" s="7"/>
    </row>
    <row r="40" spans="2:30" x14ac:dyDescent="0.2">
      <c r="B40" s="171">
        <f t="shared" si="16"/>
        <v>42917</v>
      </c>
      <c r="C40" s="119">
        <f t="shared" si="16"/>
        <v>42856</v>
      </c>
      <c r="D40" s="56">
        <f>'Q2 p.2 - Detailed Over-Under'!L12</f>
        <v>1174870</v>
      </c>
      <c r="E40" s="173">
        <f t="shared" si="17"/>
        <v>-51854.731507931931</v>
      </c>
      <c r="F40" s="172">
        <f t="shared" si="18"/>
        <v>-1137.2297203225098</v>
      </c>
      <c r="G40" s="126">
        <f t="shared" si="19"/>
        <v>1227861.9612282543</v>
      </c>
      <c r="H40" s="5"/>
      <c r="I40" s="13"/>
      <c r="J40" s="19"/>
      <c r="K40"/>
      <c r="U40" s="7"/>
    </row>
    <row r="41" spans="2:30" x14ac:dyDescent="0.2">
      <c r="B41" s="171">
        <f t="shared" si="16"/>
        <v>42948</v>
      </c>
      <c r="C41" s="119">
        <f t="shared" si="16"/>
        <v>42887</v>
      </c>
      <c r="D41" s="56">
        <f>'Q2 p.2 - Detailed Over-Under'!L13</f>
        <v>1106851</v>
      </c>
      <c r="E41" s="173">
        <f t="shared" si="17"/>
        <v>68453.399583509861</v>
      </c>
      <c r="F41" s="172">
        <f t="shared" si="18"/>
        <v>1956.3200218499958</v>
      </c>
      <c r="G41" s="126">
        <f t="shared" si="19"/>
        <v>1036441.2803946402</v>
      </c>
      <c r="H41" s="5"/>
      <c r="I41" s="13"/>
      <c r="J41" s="19"/>
      <c r="K41"/>
      <c r="U41" s="7"/>
    </row>
    <row r="42" spans="2:30" x14ac:dyDescent="0.2">
      <c r="B42" s="171">
        <f t="shared" si="16"/>
        <v>42979</v>
      </c>
      <c r="C42" s="119">
        <f t="shared" si="16"/>
        <v>42917</v>
      </c>
      <c r="D42" s="56">
        <f>'Q2 p.2 - Detailed Over-Under'!L14</f>
        <v>427581</v>
      </c>
      <c r="E42" s="173">
        <f t="shared" si="17"/>
        <v>70120.269455174843</v>
      </c>
      <c r="F42" s="172">
        <f t="shared" si="18"/>
        <v>3001.4897999999998</v>
      </c>
      <c r="G42" s="126">
        <f t="shared" si="19"/>
        <v>354459.24074482516</v>
      </c>
      <c r="H42" s="5"/>
      <c r="I42" s="13"/>
      <c r="J42" s="19"/>
      <c r="K42"/>
      <c r="U42" s="7"/>
    </row>
    <row r="43" spans="2:30" x14ac:dyDescent="0.2">
      <c r="B43" s="174">
        <f t="shared" si="16"/>
        <v>43009</v>
      </c>
      <c r="C43" s="120">
        <f t="shared" si="16"/>
        <v>42948</v>
      </c>
      <c r="D43" s="618">
        <f>'Q2 p.2 - Detailed Over-Under'!L15</f>
        <v>63105</v>
      </c>
      <c r="E43" s="619">
        <f t="shared" si="17"/>
        <v>69929.39886295484</v>
      </c>
      <c r="F43" s="121">
        <f t="shared" si="18"/>
        <v>3858.4901999999997</v>
      </c>
      <c r="G43" s="620">
        <f t="shared" si="19"/>
        <v>-10682.88906295484</v>
      </c>
      <c r="H43" s="5"/>
      <c r="I43" s="13"/>
      <c r="J43" s="19"/>
      <c r="K43"/>
      <c r="U43" s="7"/>
    </row>
    <row r="44" spans="2:30" x14ac:dyDescent="0.2">
      <c r="B44" s="122" t="s">
        <v>76</v>
      </c>
      <c r="C44" s="8"/>
      <c r="D44" s="56">
        <f>SUM(D38:D43)</f>
        <v>2920368</v>
      </c>
      <c r="E44" s="56">
        <f>SUM(E38:E43)</f>
        <v>54826.243592357918</v>
      </c>
      <c r="F44" s="56">
        <f>SUM(F38:F43)</f>
        <v>5579.5065968741337</v>
      </c>
      <c r="G44" s="126">
        <f>SUM(G38:G43)</f>
        <v>2859962.2498107674</v>
      </c>
      <c r="H44" s="16"/>
      <c r="I44" s="7"/>
      <c r="J44" s="15"/>
      <c r="K44"/>
      <c r="U44" s="4"/>
      <c r="W44" s="18"/>
      <c r="X44" s="18"/>
      <c r="Y44" s="18"/>
      <c r="AA44" s="23"/>
      <c r="AB44" s="18"/>
      <c r="AC44" s="24"/>
      <c r="AD44" s="16"/>
    </row>
    <row r="45" spans="2:30" ht="13.5" thickBot="1" x14ac:dyDescent="0.25">
      <c r="B45" s="129"/>
      <c r="C45" s="130"/>
      <c r="D45" s="130"/>
      <c r="E45" s="130"/>
      <c r="F45" s="130"/>
      <c r="G45" s="132"/>
      <c r="H45" s="16"/>
      <c r="I45" s="7"/>
      <c r="J45" s="15"/>
      <c r="K45"/>
      <c r="U45" s="4"/>
      <c r="W45" s="18"/>
      <c r="X45" s="18"/>
      <c r="Y45" s="18"/>
      <c r="AA45" s="23"/>
      <c r="AB45" s="18"/>
      <c r="AC45" s="24"/>
      <c r="AD45" s="16"/>
    </row>
    <row r="46" spans="2:30" ht="13.5" thickBot="1" x14ac:dyDescent="0.25">
      <c r="K46"/>
      <c r="U46" s="4"/>
    </row>
    <row r="47" spans="2:30" ht="13.5" thickBot="1" x14ac:dyDescent="0.25">
      <c r="B47" s="669" t="s">
        <v>47</v>
      </c>
      <c r="C47" s="670"/>
      <c r="D47" s="670"/>
      <c r="E47" s="670"/>
      <c r="F47" s="670"/>
      <c r="G47" s="671"/>
      <c r="K47"/>
      <c r="U47" s="4"/>
    </row>
    <row r="48" spans="2:30" x14ac:dyDescent="0.2">
      <c r="B48" s="122"/>
      <c r="C48" s="8"/>
      <c r="D48" s="123"/>
      <c r="E48" s="8"/>
      <c r="F48" s="8"/>
      <c r="G48" s="124"/>
      <c r="I48" s="8"/>
      <c r="K48"/>
      <c r="U48" s="4"/>
    </row>
    <row r="49" spans="2:21" x14ac:dyDescent="0.2">
      <c r="B49" s="122"/>
      <c r="C49" s="8"/>
      <c r="D49" s="125" t="s">
        <v>48</v>
      </c>
      <c r="E49" s="8"/>
      <c r="F49" s="56">
        <f>D44</f>
        <v>2920368</v>
      </c>
      <c r="G49" s="124"/>
      <c r="I49" s="8"/>
      <c r="K49"/>
      <c r="U49" s="4"/>
    </row>
    <row r="50" spans="2:21" x14ac:dyDescent="0.2">
      <c r="B50" s="122"/>
      <c r="C50" s="8"/>
      <c r="D50" s="8"/>
      <c r="E50" s="8"/>
      <c r="F50" s="8"/>
      <c r="G50" s="124"/>
      <c r="I50" s="22"/>
      <c r="K50"/>
      <c r="U50" s="4"/>
    </row>
    <row r="51" spans="2:21" x14ac:dyDescent="0.2">
      <c r="B51" s="122"/>
      <c r="C51" s="9"/>
      <c r="D51" s="125" t="s">
        <v>135</v>
      </c>
      <c r="E51" s="56">
        <f>E44</f>
        <v>54826.243592357918</v>
      </c>
      <c r="F51" s="8"/>
      <c r="G51" s="124"/>
      <c r="I51" s="8"/>
      <c r="K51"/>
      <c r="U51" s="4"/>
    </row>
    <row r="52" spans="2:21" x14ac:dyDescent="0.2">
      <c r="B52" s="122"/>
      <c r="C52" s="9"/>
      <c r="D52" s="125" t="s">
        <v>136</v>
      </c>
      <c r="E52" s="56">
        <f>F44</f>
        <v>5579.5065968741337</v>
      </c>
      <c r="F52" s="8"/>
      <c r="G52" s="124"/>
      <c r="I52" s="8"/>
      <c r="K52"/>
      <c r="U52" s="4"/>
    </row>
    <row r="53" spans="2:21" x14ac:dyDescent="0.2">
      <c r="B53" s="122"/>
      <c r="C53" s="9"/>
      <c r="D53" s="25" t="s">
        <v>45</v>
      </c>
      <c r="E53" s="618">
        <f>G44</f>
        <v>2859962.2498107674</v>
      </c>
      <c r="F53" s="8"/>
      <c r="G53" s="124"/>
      <c r="I53" s="8"/>
      <c r="K53"/>
      <c r="U53" s="4"/>
    </row>
    <row r="54" spans="2:21" x14ac:dyDescent="0.2">
      <c r="B54" s="122"/>
      <c r="C54" s="8"/>
      <c r="D54" s="25"/>
      <c r="E54" s="22"/>
      <c r="F54" s="9"/>
      <c r="G54" s="124"/>
      <c r="I54" s="8"/>
      <c r="K54"/>
      <c r="U54" s="4"/>
    </row>
    <row r="55" spans="2:21" x14ac:dyDescent="0.2">
      <c r="B55" s="122"/>
      <c r="C55" s="8"/>
      <c r="D55" s="25" t="s">
        <v>49</v>
      </c>
      <c r="E55" s="8"/>
      <c r="F55" s="56">
        <f>SUM(E51:E53)</f>
        <v>2920367.9999999995</v>
      </c>
      <c r="G55" s="124"/>
      <c r="I55" s="8"/>
      <c r="K55"/>
      <c r="U55" s="4"/>
    </row>
    <row r="56" spans="2:21" x14ac:dyDescent="0.2">
      <c r="B56" s="122"/>
      <c r="C56" s="8"/>
      <c r="D56" s="25"/>
      <c r="E56" s="22"/>
      <c r="F56" s="8"/>
      <c r="G56" s="124"/>
      <c r="K56"/>
      <c r="U56" s="4"/>
    </row>
    <row r="57" spans="2:21" x14ac:dyDescent="0.2">
      <c r="B57" s="122"/>
      <c r="C57" s="8"/>
      <c r="D57" s="25" t="s">
        <v>50</v>
      </c>
      <c r="E57" s="8"/>
      <c r="F57" s="56">
        <f>+F49-F55</f>
        <v>0</v>
      </c>
      <c r="G57" s="124"/>
      <c r="K57"/>
      <c r="U57" s="4"/>
    </row>
    <row r="58" spans="2:21" ht="13.5" thickBot="1" x14ac:dyDescent="0.25">
      <c r="B58" s="129"/>
      <c r="C58" s="130"/>
      <c r="D58" s="130"/>
      <c r="E58" s="131"/>
      <c r="F58" s="130"/>
      <c r="G58" s="132"/>
      <c r="K58"/>
      <c r="U58" s="4"/>
    </row>
    <row r="59" spans="2:21" x14ac:dyDescent="0.2">
      <c r="K59"/>
      <c r="U59" s="4"/>
    </row>
    <row r="60" spans="2:21" x14ac:dyDescent="0.2">
      <c r="C60" s="8"/>
      <c r="D60" s="8"/>
      <c r="E60" s="26"/>
      <c r="F60" s="8"/>
      <c r="G60" s="8"/>
      <c r="K60"/>
      <c r="U60" s="4"/>
    </row>
    <row r="61" spans="2:21" x14ac:dyDescent="0.2">
      <c r="D61" s="8"/>
      <c r="E61" s="8"/>
      <c r="F61" s="26"/>
      <c r="G61" s="8"/>
      <c r="H61" s="8"/>
    </row>
    <row r="62" spans="2:21" x14ac:dyDescent="0.2">
      <c r="D62" s="8"/>
      <c r="E62" s="8"/>
      <c r="F62" s="26"/>
      <c r="G62" s="8"/>
      <c r="H62" s="8"/>
    </row>
    <row r="63" spans="2:21" x14ac:dyDescent="0.2">
      <c r="D63" s="8"/>
      <c r="E63" s="8"/>
      <c r="F63" s="26"/>
      <c r="G63" s="8"/>
      <c r="H63" s="8"/>
    </row>
  </sheetData>
  <mergeCells count="4">
    <mergeCell ref="A5:I5"/>
    <mergeCell ref="A19:I19"/>
    <mergeCell ref="B33:G33"/>
    <mergeCell ref="B47:G47"/>
  </mergeCells>
  <pageMargins left="1" right="0.75" top="1" bottom="0.55000000000000004" header="0.5" footer="0.5"/>
  <pageSetup scale="6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S47"/>
  <sheetViews>
    <sheetView zoomScaleNormal="100" workbookViewId="0">
      <selection activeCell="K23" sqref="K23"/>
    </sheetView>
  </sheetViews>
  <sheetFormatPr defaultRowHeight="15" x14ac:dyDescent="0.25"/>
  <cols>
    <col min="1" max="2" width="13.6640625" style="263" customWidth="1"/>
    <col min="3" max="3" width="19.5" style="263" customWidth="1"/>
    <col min="4" max="4" width="24.1640625" style="263" customWidth="1"/>
    <col min="5" max="8" width="19.5" style="263" customWidth="1"/>
    <col min="9" max="9" width="9.33203125" style="263"/>
    <col min="10" max="10" width="12.83203125" style="263" customWidth="1"/>
    <col min="11" max="11" width="19.83203125" style="263" bestFit="1" customWidth="1"/>
    <col min="12" max="12" width="15.83203125" style="263" customWidth="1"/>
    <col min="13" max="13" width="13" style="263" bestFit="1" customWidth="1"/>
    <col min="14" max="14" width="9.33203125" style="263"/>
    <col min="15" max="15" width="19.83203125" style="263" bestFit="1" customWidth="1"/>
    <col min="16" max="16" width="14.33203125" style="263" bestFit="1" customWidth="1"/>
    <col min="17" max="17" width="13" style="263" bestFit="1" customWidth="1"/>
    <col min="18" max="16384" width="9.33203125" style="263"/>
  </cols>
  <sheetData>
    <row r="1" spans="1:19" ht="12.75" customHeight="1" x14ac:dyDescent="0.3">
      <c r="A1" s="53" t="str">
        <f>'Input Tab'!B2</f>
        <v>Louisville Gas &amp; Electric Company</v>
      </c>
      <c r="B1" s="3"/>
      <c r="C1" s="4"/>
      <c r="D1" s="4"/>
      <c r="E1" s="4"/>
      <c r="F1" s="4"/>
      <c r="G1" s="4"/>
      <c r="H1" s="1" t="str">
        <f>'Q2 p.1 - Retail E(m)'!H1</f>
        <v>Revised Attachment to Response to Question No. 2</v>
      </c>
    </row>
    <row r="2" spans="1:19" ht="12.75" customHeight="1" x14ac:dyDescent="0.3">
      <c r="A2" s="53" t="s">
        <v>317</v>
      </c>
      <c r="B2" s="3"/>
      <c r="C2" s="4"/>
      <c r="D2" s="4"/>
      <c r="E2" s="4"/>
      <c r="F2" s="4"/>
      <c r="G2" s="4"/>
      <c r="H2" s="1" t="s">
        <v>316</v>
      </c>
    </row>
    <row r="3" spans="1:19" ht="12.75" customHeight="1" x14ac:dyDescent="0.3">
      <c r="A3" s="54"/>
      <c r="B3" s="3"/>
      <c r="C3" s="4"/>
      <c r="D3" s="4"/>
      <c r="E3" s="4"/>
      <c r="F3" s="4"/>
      <c r="G3" s="4"/>
      <c r="H3" s="2" t="str">
        <f>'Q2 p.1 - Retail E(m)'!H3</f>
        <v>Rahn</v>
      </c>
      <c r="K3"/>
      <c r="L3"/>
      <c r="M3"/>
      <c r="N3"/>
      <c r="O3"/>
      <c r="P3"/>
      <c r="Q3"/>
      <c r="R3"/>
      <c r="S3"/>
    </row>
    <row r="4" spans="1:19" x14ac:dyDescent="0.25">
      <c r="K4"/>
      <c r="L4"/>
      <c r="M4"/>
      <c r="N4"/>
      <c r="O4"/>
      <c r="P4"/>
      <c r="Q4"/>
      <c r="R4"/>
      <c r="S4"/>
    </row>
    <row r="5" spans="1:19" x14ac:dyDescent="0.25">
      <c r="A5" s="261"/>
      <c r="B5" s="261"/>
      <c r="C5" s="262"/>
      <c r="D5" s="262"/>
      <c r="E5" s="262"/>
      <c r="F5" s="262"/>
      <c r="G5" s="262"/>
      <c r="H5" s="262"/>
      <c r="K5"/>
      <c r="L5"/>
      <c r="M5"/>
      <c r="N5"/>
      <c r="O5"/>
      <c r="P5"/>
      <c r="Q5"/>
      <c r="R5"/>
      <c r="S5"/>
    </row>
    <row r="6" spans="1:19" ht="18" x14ac:dyDescent="0.25">
      <c r="A6" s="676" t="s">
        <v>1</v>
      </c>
      <c r="B6" s="678" t="s">
        <v>0</v>
      </c>
      <c r="C6" s="686" t="s">
        <v>161</v>
      </c>
      <c r="D6" s="687"/>
      <c r="E6" s="688" t="s">
        <v>162</v>
      </c>
      <c r="F6" s="689"/>
      <c r="G6" s="690" t="s">
        <v>163</v>
      </c>
      <c r="H6" s="691"/>
      <c r="K6"/>
      <c r="L6"/>
      <c r="M6"/>
      <c r="N6"/>
      <c r="O6"/>
      <c r="P6"/>
      <c r="Q6"/>
      <c r="R6"/>
      <c r="S6"/>
    </row>
    <row r="7" spans="1:19" x14ac:dyDescent="0.25">
      <c r="A7" s="677"/>
      <c r="B7" s="679"/>
      <c r="C7" s="264" t="s">
        <v>164</v>
      </c>
      <c r="D7" s="264" t="s">
        <v>165</v>
      </c>
      <c r="E7" s="265" t="s">
        <v>164</v>
      </c>
      <c r="F7" s="265" t="s">
        <v>165</v>
      </c>
      <c r="G7" s="266" t="s">
        <v>164</v>
      </c>
      <c r="H7" s="264" t="s">
        <v>165</v>
      </c>
      <c r="J7"/>
      <c r="K7"/>
      <c r="L7"/>
      <c r="M7"/>
      <c r="N7"/>
      <c r="O7"/>
      <c r="P7"/>
      <c r="Q7"/>
      <c r="R7"/>
      <c r="S7"/>
    </row>
    <row r="8" spans="1:19" x14ac:dyDescent="0.25">
      <c r="A8" s="683"/>
      <c r="B8" s="679"/>
      <c r="C8" s="267" t="s">
        <v>166</v>
      </c>
      <c r="D8" s="264" t="s">
        <v>167</v>
      </c>
      <c r="E8" s="265" t="s">
        <v>168</v>
      </c>
      <c r="F8" s="268" t="s">
        <v>169</v>
      </c>
      <c r="G8" s="264" t="s">
        <v>170</v>
      </c>
      <c r="H8" s="269" t="s">
        <v>171</v>
      </c>
      <c r="J8"/>
      <c r="K8"/>
      <c r="L8"/>
      <c r="M8"/>
      <c r="N8"/>
      <c r="O8"/>
      <c r="P8"/>
      <c r="Q8"/>
      <c r="R8"/>
      <c r="S8"/>
    </row>
    <row r="9" spans="1:19" x14ac:dyDescent="0.25">
      <c r="A9" s="311">
        <f>'Input Tab'!C23</f>
        <v>42795</v>
      </c>
      <c r="B9" s="271">
        <f>EDATE(A9,2)</f>
        <v>42856</v>
      </c>
      <c r="C9" s="287">
        <f>'Input Tab'!Y23</f>
        <v>35719085</v>
      </c>
      <c r="D9" s="287">
        <f>'Input Tab'!Z23</f>
        <v>33747411</v>
      </c>
      <c r="E9" s="361">
        <f>'Input Tab'!AA23</f>
        <v>28862166.150000006</v>
      </c>
      <c r="F9" s="362">
        <f>'Input Tab'!AB23</f>
        <v>32461710.449999999</v>
      </c>
      <c r="G9" s="272">
        <f>ROUND('Input Tab'!S23,4)</f>
        <v>6.4000000000000001E-2</v>
      </c>
      <c r="H9" s="272">
        <f>ROUND('Input Tab'!T23,4)</f>
        <v>9.4600000000000004E-2</v>
      </c>
      <c r="J9"/>
      <c r="K9"/>
      <c r="L9"/>
      <c r="M9"/>
      <c r="N9"/>
      <c r="O9"/>
      <c r="P9"/>
      <c r="Q9"/>
      <c r="R9"/>
      <c r="S9"/>
    </row>
    <row r="10" spans="1:19" x14ac:dyDescent="0.25">
      <c r="A10" s="312">
        <f>'Input Tab'!C24</f>
        <v>42826</v>
      </c>
      <c r="B10" s="273">
        <f t="shared" ref="B10:B14" si="0">EDATE(A10,2)</f>
        <v>42887</v>
      </c>
      <c r="C10" s="292">
        <f>'Input Tab'!Y24</f>
        <v>35776616</v>
      </c>
      <c r="D10" s="292">
        <f>'Input Tab'!Z24</f>
        <v>33694544</v>
      </c>
      <c r="E10" s="363">
        <f>'Input Tab'!AA24</f>
        <v>41121122.089999996</v>
      </c>
      <c r="F10" s="364">
        <f>'Input Tab'!AB24</f>
        <v>38119520.180000015</v>
      </c>
      <c r="G10" s="274">
        <f>ROUND('Input Tab'!S24,4)</f>
        <v>6.6799999999999998E-2</v>
      </c>
      <c r="H10" s="274">
        <f>ROUND('Input Tab'!T24,4)</f>
        <v>9.8500000000000004E-2</v>
      </c>
      <c r="J10"/>
      <c r="K10"/>
      <c r="L10"/>
      <c r="M10"/>
      <c r="N10"/>
      <c r="O10"/>
      <c r="P10"/>
      <c r="Q10"/>
      <c r="R10"/>
      <c r="S10"/>
    </row>
    <row r="11" spans="1:19" x14ac:dyDescent="0.25">
      <c r="A11" s="312">
        <f>'Input Tab'!C25</f>
        <v>42856</v>
      </c>
      <c r="B11" s="273">
        <f t="shared" si="0"/>
        <v>42917</v>
      </c>
      <c r="C11" s="292">
        <f>'Input Tab'!Y25</f>
        <v>35923851</v>
      </c>
      <c r="D11" s="292">
        <f>'Input Tab'!Z25</f>
        <v>33697050</v>
      </c>
      <c r="E11" s="363">
        <f>'Input Tab'!AA25</f>
        <v>49205637.840000018</v>
      </c>
      <c r="F11" s="364">
        <f>'Input Tab'!AB25</f>
        <v>37843307.509999998</v>
      </c>
      <c r="G11" s="274">
        <f>ROUND('Input Tab'!S25,4)</f>
        <v>6.0400000000000002E-2</v>
      </c>
      <c r="H11" s="274">
        <f>ROUND('Input Tab'!T25,4)</f>
        <v>8.8999999999999996E-2</v>
      </c>
      <c r="J11"/>
      <c r="K11"/>
      <c r="L11"/>
      <c r="M11"/>
      <c r="N11"/>
      <c r="O11"/>
      <c r="P11"/>
      <c r="Q11"/>
      <c r="R11"/>
      <c r="S11"/>
    </row>
    <row r="12" spans="1:19" x14ac:dyDescent="0.25">
      <c r="A12" s="312">
        <f>'Input Tab'!C26</f>
        <v>42887</v>
      </c>
      <c r="B12" s="273">
        <f t="shared" si="0"/>
        <v>42948</v>
      </c>
      <c r="C12" s="292">
        <f>'Input Tab'!Y26</f>
        <v>36113733</v>
      </c>
      <c r="D12" s="292">
        <f>'Input Tab'!Z26</f>
        <v>33929338</v>
      </c>
      <c r="E12" s="363">
        <f>'Input Tab'!AA26</f>
        <v>47784041.780000001</v>
      </c>
      <c r="F12" s="364">
        <f>'Input Tab'!AB26</f>
        <v>40450243.290000007</v>
      </c>
      <c r="G12" s="274">
        <f>ROUND('Input Tab'!S26,4)</f>
        <v>3.9699999999999999E-2</v>
      </c>
      <c r="H12" s="274">
        <f>ROUND('Input Tab'!T26,4)</f>
        <v>5.8599999999999999E-2</v>
      </c>
      <c r="J12"/>
      <c r="K12"/>
      <c r="L12"/>
      <c r="M12"/>
      <c r="N12"/>
      <c r="O12"/>
      <c r="P12"/>
      <c r="Q12"/>
      <c r="R12"/>
      <c r="S12"/>
    </row>
    <row r="13" spans="1:19" x14ac:dyDescent="0.25">
      <c r="A13" s="312">
        <f>'Input Tab'!C27</f>
        <v>42917</v>
      </c>
      <c r="B13" s="273">
        <f t="shared" si="0"/>
        <v>42979</v>
      </c>
      <c r="C13" s="292">
        <f>'Input Tab'!Y27</f>
        <v>36204065</v>
      </c>
      <c r="D13" s="292">
        <f>'Input Tab'!Z27</f>
        <v>33882155</v>
      </c>
      <c r="E13" s="363">
        <f>'Input Tab'!AA27</f>
        <v>39044619.169999994</v>
      </c>
      <c r="F13" s="364">
        <f>'Input Tab'!AB27</f>
        <v>38109097.890000001</v>
      </c>
      <c r="G13" s="274">
        <f>ROUND('Input Tab'!S27,4)</f>
        <v>3.95E-2</v>
      </c>
      <c r="H13" s="274">
        <f>ROUND('Input Tab'!T27,4)</f>
        <v>5.8099999999999999E-2</v>
      </c>
      <c r="J13"/>
      <c r="K13"/>
      <c r="L13"/>
      <c r="M13"/>
      <c r="N13"/>
      <c r="O13"/>
      <c r="P13"/>
      <c r="Q13"/>
      <c r="R13"/>
      <c r="S13"/>
    </row>
    <row r="14" spans="1:19" x14ac:dyDescent="0.25">
      <c r="A14" s="313">
        <f>'Input Tab'!C28</f>
        <v>42948</v>
      </c>
      <c r="B14" s="277">
        <f t="shared" si="0"/>
        <v>43009</v>
      </c>
      <c r="C14" s="296">
        <f>'Input Tab'!Y28</f>
        <v>35960007</v>
      </c>
      <c r="D14" s="296">
        <f>'Input Tab'!Z28</f>
        <v>33995944</v>
      </c>
      <c r="E14" s="365">
        <f>'Input Tab'!AA28</f>
        <v>33744570.75999999</v>
      </c>
      <c r="F14" s="366">
        <f>'Input Tab'!AB28</f>
        <v>36533152.200000003</v>
      </c>
      <c r="G14" s="278">
        <f>ROUND('Input Tab'!S28,4)</f>
        <v>5.1299999999999998E-2</v>
      </c>
      <c r="H14" s="278">
        <f>ROUND('Input Tab'!T28,4)</f>
        <v>7.5200000000000003E-2</v>
      </c>
      <c r="J14"/>
      <c r="K14"/>
      <c r="L14"/>
      <c r="M14"/>
      <c r="N14"/>
      <c r="O14"/>
      <c r="P14"/>
      <c r="Q14"/>
      <c r="R14"/>
      <c r="S14"/>
    </row>
    <row r="15" spans="1:19" x14ac:dyDescent="0.25">
      <c r="A15" s="261"/>
      <c r="B15" s="261"/>
      <c r="C15" s="279"/>
      <c r="D15" s="279"/>
      <c r="E15" s="279"/>
      <c r="F15" s="279"/>
      <c r="G15" s="279"/>
      <c r="H15" s="279"/>
      <c r="J15"/>
      <c r="K15"/>
      <c r="L15"/>
      <c r="M15"/>
      <c r="N15"/>
      <c r="O15"/>
      <c r="P15"/>
      <c r="Q15"/>
      <c r="R15"/>
      <c r="S15"/>
    </row>
    <row r="16" spans="1:19" x14ac:dyDescent="0.25">
      <c r="A16" s="261"/>
      <c r="B16" s="261"/>
      <c r="C16" s="262"/>
      <c r="D16" s="262"/>
      <c r="E16" s="262"/>
      <c r="F16" s="262"/>
      <c r="G16" s="262"/>
      <c r="H16" s="262"/>
      <c r="J16"/>
      <c r="K16"/>
      <c r="L16"/>
      <c r="M16"/>
      <c r="N16"/>
      <c r="O16"/>
      <c r="P16"/>
      <c r="Q16"/>
      <c r="R16"/>
      <c r="S16"/>
    </row>
    <row r="17" spans="1:19" x14ac:dyDescent="0.25">
      <c r="A17" s="676" t="s">
        <v>1</v>
      </c>
      <c r="B17" s="678" t="s">
        <v>0</v>
      </c>
      <c r="C17" s="692" t="s">
        <v>172</v>
      </c>
      <c r="D17" s="693"/>
      <c r="E17" s="694" t="s">
        <v>173</v>
      </c>
      <c r="F17" s="695"/>
      <c r="G17" s="690" t="s">
        <v>174</v>
      </c>
      <c r="H17" s="691"/>
      <c r="K17"/>
      <c r="L17"/>
      <c r="M17"/>
      <c r="N17"/>
      <c r="O17"/>
      <c r="P17"/>
      <c r="Q17"/>
      <c r="R17"/>
      <c r="S17"/>
    </row>
    <row r="18" spans="1:19" x14ac:dyDescent="0.25">
      <c r="A18" s="677"/>
      <c r="B18" s="679"/>
      <c r="C18" s="280" t="s">
        <v>175</v>
      </c>
      <c r="D18" s="281" t="s">
        <v>176</v>
      </c>
      <c r="E18" s="282" t="s">
        <v>177</v>
      </c>
      <c r="F18" s="283" t="s">
        <v>178</v>
      </c>
      <c r="G18" s="284" t="s">
        <v>179</v>
      </c>
      <c r="H18" s="285" t="s">
        <v>180</v>
      </c>
      <c r="K18"/>
      <c r="L18"/>
      <c r="M18"/>
      <c r="N18"/>
      <c r="O18"/>
      <c r="P18"/>
      <c r="Q18"/>
      <c r="R18"/>
      <c r="S18"/>
    </row>
    <row r="19" spans="1:19" x14ac:dyDescent="0.25">
      <c r="A19" s="677"/>
      <c r="B19" s="679"/>
      <c r="C19" s="264" t="s">
        <v>164</v>
      </c>
      <c r="D19" s="264" t="s">
        <v>165</v>
      </c>
      <c r="E19" s="265" t="s">
        <v>164</v>
      </c>
      <c r="F19" s="265" t="s">
        <v>165</v>
      </c>
      <c r="G19" s="266" t="s">
        <v>164</v>
      </c>
      <c r="H19" s="264" t="s">
        <v>165</v>
      </c>
      <c r="K19"/>
      <c r="L19"/>
      <c r="M19"/>
      <c r="N19"/>
      <c r="O19"/>
      <c r="P19"/>
      <c r="Q19"/>
      <c r="R19"/>
      <c r="S19"/>
    </row>
    <row r="20" spans="1:19" x14ac:dyDescent="0.25">
      <c r="A20" s="270">
        <f>A9</f>
        <v>42795</v>
      </c>
      <c r="B20" s="271">
        <f>B9</f>
        <v>42856</v>
      </c>
      <c r="C20" s="286">
        <f t="shared" ref="C20:D25" si="1">C9*G9</f>
        <v>2286021.44</v>
      </c>
      <c r="D20" s="287">
        <f t="shared" si="1"/>
        <v>3192505.0806</v>
      </c>
      <c r="E20" s="288">
        <f>E9*G9</f>
        <v>1847178.6336000005</v>
      </c>
      <c r="F20" s="289">
        <f t="shared" ref="E20:F25" si="2">F9*H9</f>
        <v>3070877.8085699999</v>
      </c>
      <c r="G20" s="290">
        <f>E20-C20</f>
        <v>-438842.80639999942</v>
      </c>
      <c r="H20" s="291">
        <f>F20-D20</f>
        <v>-121627.27203000011</v>
      </c>
      <c r="K20"/>
      <c r="L20"/>
      <c r="M20"/>
      <c r="N20"/>
      <c r="O20"/>
      <c r="P20"/>
      <c r="Q20"/>
      <c r="R20"/>
      <c r="S20"/>
    </row>
    <row r="21" spans="1:19" x14ac:dyDescent="0.25">
      <c r="A21" s="275">
        <f t="shared" ref="A21:B25" si="3">A10</f>
        <v>42826</v>
      </c>
      <c r="B21" s="273">
        <f t="shared" si="3"/>
        <v>42887</v>
      </c>
      <c r="C21" s="286">
        <f t="shared" si="1"/>
        <v>2389877.9487999999</v>
      </c>
      <c r="D21" s="292">
        <f t="shared" si="1"/>
        <v>3318912.5840000003</v>
      </c>
      <c r="E21" s="288">
        <f t="shared" si="2"/>
        <v>2746890.9556119996</v>
      </c>
      <c r="F21" s="293">
        <f t="shared" si="2"/>
        <v>3754772.7377300016</v>
      </c>
      <c r="G21" s="290">
        <f t="shared" ref="G21:H25" si="4">E21-C21</f>
        <v>357013.00681199972</v>
      </c>
      <c r="H21" s="294">
        <f t="shared" si="4"/>
        <v>435860.1537300013</v>
      </c>
      <c r="K21"/>
      <c r="L21"/>
      <c r="M21"/>
      <c r="N21"/>
      <c r="O21"/>
      <c r="P21"/>
      <c r="Q21"/>
      <c r="R21"/>
      <c r="S21"/>
    </row>
    <row r="22" spans="1:19" x14ac:dyDescent="0.25">
      <c r="A22" s="275">
        <f t="shared" si="3"/>
        <v>42856</v>
      </c>
      <c r="B22" s="273">
        <f t="shared" si="3"/>
        <v>42917</v>
      </c>
      <c r="C22" s="286">
        <f t="shared" si="1"/>
        <v>2169800.6003999999</v>
      </c>
      <c r="D22" s="292">
        <f t="shared" si="1"/>
        <v>2999037.4499999997</v>
      </c>
      <c r="E22" s="288">
        <f t="shared" si="2"/>
        <v>2972020.5255360012</v>
      </c>
      <c r="F22" s="293">
        <f t="shared" si="2"/>
        <v>3368054.3683899995</v>
      </c>
      <c r="G22" s="290">
        <f t="shared" si="4"/>
        <v>802219.92513600131</v>
      </c>
      <c r="H22" s="294">
        <f t="shared" si="4"/>
        <v>369016.91838999977</v>
      </c>
      <c r="K22"/>
      <c r="L22"/>
      <c r="M22"/>
      <c r="N22"/>
      <c r="O22"/>
      <c r="P22"/>
      <c r="Q22"/>
      <c r="R22"/>
      <c r="S22"/>
    </row>
    <row r="23" spans="1:19" x14ac:dyDescent="0.25">
      <c r="A23" s="275">
        <f t="shared" si="3"/>
        <v>42887</v>
      </c>
      <c r="B23" s="273">
        <f t="shared" si="3"/>
        <v>42948</v>
      </c>
      <c r="C23" s="286">
        <f t="shared" si="1"/>
        <v>1433715.2001</v>
      </c>
      <c r="D23" s="292">
        <f t="shared" si="1"/>
        <v>1988259.2068</v>
      </c>
      <c r="E23" s="288">
        <f t="shared" si="2"/>
        <v>1897026.458666</v>
      </c>
      <c r="F23" s="293">
        <f t="shared" si="2"/>
        <v>2370384.2567940005</v>
      </c>
      <c r="G23" s="290">
        <f t="shared" si="4"/>
        <v>463311.25856600003</v>
      </c>
      <c r="H23" s="294">
        <f t="shared" si="4"/>
        <v>382125.04999400047</v>
      </c>
      <c r="K23"/>
      <c r="L23"/>
      <c r="M23"/>
      <c r="N23"/>
      <c r="O23"/>
      <c r="P23"/>
      <c r="Q23"/>
      <c r="R23"/>
      <c r="S23"/>
    </row>
    <row r="24" spans="1:19" x14ac:dyDescent="0.25">
      <c r="A24" s="275">
        <f t="shared" si="3"/>
        <v>42917</v>
      </c>
      <c r="B24" s="273">
        <f t="shared" si="3"/>
        <v>42979</v>
      </c>
      <c r="C24" s="286">
        <f t="shared" si="1"/>
        <v>1430060.5675000001</v>
      </c>
      <c r="D24" s="292">
        <f t="shared" si="1"/>
        <v>1968553.2054999999</v>
      </c>
      <c r="E24" s="288">
        <f t="shared" si="2"/>
        <v>1542262.4572149997</v>
      </c>
      <c r="F24" s="293">
        <f t="shared" si="2"/>
        <v>2214138.5874089999</v>
      </c>
      <c r="G24" s="290">
        <f t="shared" si="4"/>
        <v>112201.88971499959</v>
      </c>
      <c r="H24" s="294">
        <f t="shared" si="4"/>
        <v>245585.38190899999</v>
      </c>
      <c r="K24"/>
      <c r="L24"/>
      <c r="M24"/>
      <c r="N24"/>
      <c r="O24"/>
      <c r="P24"/>
      <c r="Q24"/>
      <c r="R24"/>
      <c r="S24"/>
    </row>
    <row r="25" spans="1:19" x14ac:dyDescent="0.25">
      <c r="A25" s="276">
        <f t="shared" si="3"/>
        <v>42948</v>
      </c>
      <c r="B25" s="277">
        <f t="shared" si="3"/>
        <v>43009</v>
      </c>
      <c r="C25" s="295">
        <f t="shared" si="1"/>
        <v>1844748.3591</v>
      </c>
      <c r="D25" s="296">
        <f t="shared" si="1"/>
        <v>2556494.9887999999</v>
      </c>
      <c r="E25" s="297">
        <f t="shared" si="2"/>
        <v>1731096.4799879994</v>
      </c>
      <c r="F25" s="298">
        <f t="shared" si="2"/>
        <v>2747293.0454400005</v>
      </c>
      <c r="G25" s="299">
        <f t="shared" si="4"/>
        <v>-113651.87911200058</v>
      </c>
      <c r="H25" s="300">
        <f t="shared" si="4"/>
        <v>190798.05664000055</v>
      </c>
      <c r="K25"/>
      <c r="L25"/>
      <c r="M25"/>
      <c r="N25"/>
      <c r="O25"/>
      <c r="P25"/>
      <c r="Q25"/>
      <c r="R25"/>
      <c r="S25"/>
    </row>
    <row r="26" spans="1:19" x14ac:dyDescent="0.25">
      <c r="A26" s="261"/>
      <c r="B26" s="261"/>
      <c r="C26" s="301"/>
      <c r="D26" s="301"/>
      <c r="E26" s="301"/>
      <c r="F26" s="301"/>
      <c r="G26" s="302">
        <f>SUM(G20:G25)</f>
        <v>1182251.3947170007</v>
      </c>
      <c r="H26" s="303">
        <f>SUM(H20:H25)</f>
        <v>1501758.288633002</v>
      </c>
      <c r="K26"/>
      <c r="L26"/>
      <c r="M26"/>
      <c r="N26"/>
      <c r="O26"/>
      <c r="P26"/>
      <c r="Q26"/>
      <c r="R26"/>
      <c r="S26"/>
    </row>
    <row r="27" spans="1:19" x14ac:dyDescent="0.25">
      <c r="A27" s="261"/>
      <c r="B27" s="261"/>
      <c r="C27" s="279"/>
      <c r="D27" s="279"/>
      <c r="E27" s="279"/>
      <c r="F27" s="279"/>
      <c r="G27" s="279"/>
      <c r="H27" s="279"/>
      <c r="K27"/>
      <c r="L27"/>
      <c r="M27"/>
      <c r="N27"/>
      <c r="O27"/>
      <c r="P27"/>
      <c r="Q27"/>
      <c r="R27"/>
      <c r="S27"/>
    </row>
    <row r="28" spans="1:19" x14ac:dyDescent="0.25">
      <c r="A28" s="261"/>
      <c r="B28" s="261"/>
      <c r="C28" s="279"/>
      <c r="D28" s="279"/>
      <c r="E28" s="279"/>
      <c r="F28" s="279"/>
      <c r="G28" s="279"/>
      <c r="H28" s="279"/>
      <c r="K28"/>
      <c r="L28"/>
      <c r="M28"/>
      <c r="N28"/>
      <c r="O28"/>
      <c r="P28"/>
      <c r="Q28"/>
      <c r="R28"/>
      <c r="S28"/>
    </row>
    <row r="29" spans="1:19" x14ac:dyDescent="0.25">
      <c r="A29" s="676" t="s">
        <v>1</v>
      </c>
      <c r="B29" s="678" t="s">
        <v>0</v>
      </c>
      <c r="C29" s="676" t="s">
        <v>181</v>
      </c>
      <c r="D29" s="680" t="s">
        <v>182</v>
      </c>
      <c r="E29" s="682" t="s">
        <v>183</v>
      </c>
      <c r="F29" s="684" t="s">
        <v>184</v>
      </c>
      <c r="G29" s="304"/>
      <c r="H29" s="279"/>
      <c r="K29"/>
      <c r="L29"/>
      <c r="M29"/>
      <c r="N29"/>
      <c r="O29"/>
      <c r="P29"/>
      <c r="Q29"/>
      <c r="R29"/>
      <c r="S29"/>
    </row>
    <row r="30" spans="1:19" x14ac:dyDescent="0.25">
      <c r="A30" s="677"/>
      <c r="B30" s="679"/>
      <c r="C30" s="677"/>
      <c r="D30" s="681"/>
      <c r="E30" s="683"/>
      <c r="F30" s="685"/>
      <c r="G30" s="304"/>
      <c r="H30" s="279"/>
      <c r="K30"/>
      <c r="L30"/>
      <c r="M30"/>
      <c r="N30"/>
      <c r="O30"/>
      <c r="P30"/>
      <c r="Q30"/>
      <c r="R30"/>
      <c r="S30"/>
    </row>
    <row r="31" spans="1:19" x14ac:dyDescent="0.25">
      <c r="A31" s="677"/>
      <c r="B31" s="679"/>
      <c r="C31" s="264" t="s">
        <v>185</v>
      </c>
      <c r="D31" s="305" t="s">
        <v>186</v>
      </c>
      <c r="E31" s="305" t="s">
        <v>187</v>
      </c>
      <c r="F31" s="306" t="s">
        <v>188</v>
      </c>
      <c r="G31" s="304"/>
      <c r="H31" s="279"/>
      <c r="K31"/>
      <c r="L31"/>
      <c r="M31"/>
      <c r="N31"/>
      <c r="O31"/>
      <c r="P31"/>
      <c r="Q31"/>
      <c r="R31"/>
      <c r="S31"/>
    </row>
    <row r="32" spans="1:19" x14ac:dyDescent="0.25">
      <c r="A32" s="270">
        <f>A9</f>
        <v>42795</v>
      </c>
      <c r="B32" s="271">
        <f>B9</f>
        <v>42856</v>
      </c>
      <c r="C32" s="307">
        <f>G20+H20</f>
        <v>-560470.07842999953</v>
      </c>
      <c r="D32" s="540">
        <f>F32-C32-E32</f>
        <v>-72827.921570000472</v>
      </c>
      <c r="E32" s="291">
        <f>'Q1 p.2 - Rate of Return Adj'!I9+'Q1 p.2 - Rate of Return Adj'!I22</f>
        <v>49910</v>
      </c>
      <c r="F32" s="541">
        <f>'Q2 p.2 - Detailed Over-Under'!L10</f>
        <v>-583388</v>
      </c>
      <c r="G32" s="304"/>
      <c r="H32" s="279"/>
      <c r="K32"/>
      <c r="L32"/>
      <c r="M32"/>
      <c r="N32"/>
      <c r="O32"/>
      <c r="P32"/>
      <c r="Q32"/>
      <c r="R32"/>
      <c r="S32"/>
    </row>
    <row r="33" spans="1:19" x14ac:dyDescent="0.25">
      <c r="A33" s="275">
        <f>A10</f>
        <v>42826</v>
      </c>
      <c r="B33" s="273">
        <f>B10</f>
        <v>42887</v>
      </c>
      <c r="C33" s="308">
        <f t="shared" ref="C33:C37" si="5">G21+H21</f>
        <v>792873.16054200102</v>
      </c>
      <c r="D33" s="538">
        <f t="shared" ref="D33:D37" si="6">F33-C33-E33</f>
        <v>-115537.16054200102</v>
      </c>
      <c r="E33" s="294">
        <f>'Q1 p.2 - Rate of Return Adj'!I10+'Q1 p.2 - Rate of Return Adj'!I23</f>
        <v>54013</v>
      </c>
      <c r="F33" s="539">
        <f>'Q2 p.2 - Detailed Over-Under'!L11</f>
        <v>731349</v>
      </c>
      <c r="G33" s="304"/>
      <c r="H33" s="279"/>
      <c r="K33"/>
      <c r="L33"/>
      <c r="M33"/>
      <c r="N33"/>
      <c r="O33"/>
      <c r="P33"/>
      <c r="Q33"/>
      <c r="R33"/>
      <c r="S33"/>
    </row>
    <row r="34" spans="1:19" x14ac:dyDescent="0.25">
      <c r="A34" s="275">
        <f t="shared" ref="A34:B37" si="7">A11</f>
        <v>42856</v>
      </c>
      <c r="B34" s="273">
        <f t="shared" si="7"/>
        <v>42917</v>
      </c>
      <c r="C34" s="308">
        <f t="shared" si="5"/>
        <v>1171236.8435260011</v>
      </c>
      <c r="D34" s="538">
        <f t="shared" si="6"/>
        <v>-49358.843526001088</v>
      </c>
      <c r="E34" s="294">
        <f>'Q1 p.2 - Rate of Return Adj'!I11+'Q1 p.2 - Rate of Return Adj'!I24</f>
        <v>52992</v>
      </c>
      <c r="F34" s="539">
        <f>'Q2 p.2 - Detailed Over-Under'!L12</f>
        <v>1174870</v>
      </c>
      <c r="G34" s="304"/>
      <c r="H34" s="279"/>
      <c r="K34"/>
      <c r="L34"/>
      <c r="M34"/>
      <c r="N34"/>
      <c r="O34"/>
      <c r="P34"/>
      <c r="Q34"/>
      <c r="R34"/>
      <c r="S34"/>
    </row>
    <row r="35" spans="1:19" x14ac:dyDescent="0.25">
      <c r="A35" s="275">
        <f t="shared" si="7"/>
        <v>42887</v>
      </c>
      <c r="B35" s="273">
        <f t="shared" si="7"/>
        <v>42948</v>
      </c>
      <c r="C35" s="308">
        <f t="shared" si="5"/>
        <v>845436.3085600005</v>
      </c>
      <c r="D35" s="538">
        <f t="shared" si="6"/>
        <v>331823.6914399995</v>
      </c>
      <c r="E35" s="294">
        <f>'Q1 p.2 - Rate of Return Adj'!I12+'Q1 p.2 - Rate of Return Adj'!I25</f>
        <v>-70409</v>
      </c>
      <c r="F35" s="539">
        <f>'Q2 p.2 - Detailed Over-Under'!L13</f>
        <v>1106851</v>
      </c>
      <c r="G35" s="304"/>
      <c r="H35" s="279"/>
      <c r="K35"/>
      <c r="L35"/>
      <c r="M35"/>
      <c r="N35"/>
      <c r="O35"/>
      <c r="P35"/>
      <c r="Q35"/>
      <c r="R35"/>
      <c r="S35"/>
    </row>
    <row r="36" spans="1:19" x14ac:dyDescent="0.25">
      <c r="A36" s="275">
        <f t="shared" si="7"/>
        <v>42917</v>
      </c>
      <c r="B36" s="273">
        <f t="shared" si="7"/>
        <v>42979</v>
      </c>
      <c r="C36" s="308">
        <f t="shared" si="5"/>
        <v>357787.27162399958</v>
      </c>
      <c r="D36" s="538">
        <f t="shared" si="6"/>
        <v>142914.72837600042</v>
      </c>
      <c r="E36" s="294">
        <f>'Q1 p.2 - Rate of Return Adj'!I13+'Q1 p.2 - Rate of Return Adj'!I26</f>
        <v>-73121</v>
      </c>
      <c r="F36" s="539">
        <f>'Q2 p.2 - Detailed Over-Under'!L14</f>
        <v>427581</v>
      </c>
      <c r="G36" s="304"/>
      <c r="H36" s="279"/>
      <c r="K36"/>
      <c r="L36"/>
      <c r="M36"/>
      <c r="N36"/>
      <c r="O36"/>
      <c r="P36"/>
      <c r="Q36"/>
      <c r="R36"/>
      <c r="S36"/>
    </row>
    <row r="37" spans="1:19" x14ac:dyDescent="0.25">
      <c r="A37" s="276">
        <f t="shared" si="7"/>
        <v>42948</v>
      </c>
      <c r="B37" s="277">
        <f t="shared" si="7"/>
        <v>43009</v>
      </c>
      <c r="C37" s="309">
        <f t="shared" si="5"/>
        <v>77146.177527999971</v>
      </c>
      <c r="D37" s="616">
        <f t="shared" si="6"/>
        <v>59745.822472000029</v>
      </c>
      <c r="E37" s="300">
        <f>'Q1 p.2 - Rate of Return Adj'!I14+'Q1 p.2 - Rate of Return Adj'!I27</f>
        <v>-73787</v>
      </c>
      <c r="F37" s="614">
        <f>'Q2 p.2 - Detailed Over-Under'!L15</f>
        <v>63105</v>
      </c>
      <c r="G37" s="304"/>
      <c r="H37" s="279"/>
      <c r="K37"/>
      <c r="L37"/>
      <c r="M37"/>
      <c r="N37"/>
      <c r="O37"/>
      <c r="P37"/>
      <c r="Q37"/>
      <c r="R37"/>
      <c r="S37"/>
    </row>
    <row r="38" spans="1:19" x14ac:dyDescent="0.25">
      <c r="A38" s="261"/>
      <c r="B38" s="261"/>
      <c r="C38" s="303">
        <f>G26+H26</f>
        <v>2684009.6833500024</v>
      </c>
      <c r="D38" s="303">
        <f>SUM(D32:D37)</f>
        <v>296760.31664999737</v>
      </c>
      <c r="E38" s="302">
        <f>SUM(E32:E37)</f>
        <v>-60402</v>
      </c>
      <c r="F38" s="615">
        <f>SUM(F32:F37)</f>
        <v>2920368</v>
      </c>
      <c r="G38" s="304"/>
      <c r="H38" s="601"/>
      <c r="K38"/>
      <c r="L38"/>
      <c r="M38"/>
      <c r="N38"/>
      <c r="O38"/>
      <c r="P38"/>
      <c r="Q38"/>
      <c r="R38"/>
      <c r="S38"/>
    </row>
    <row r="39" spans="1:19" x14ac:dyDescent="0.25">
      <c r="C39" s="310"/>
      <c r="D39" s="261"/>
      <c r="E39" s="261"/>
      <c r="K39"/>
      <c r="L39"/>
      <c r="M39"/>
      <c r="N39"/>
      <c r="O39"/>
      <c r="P39"/>
      <c r="Q39"/>
      <c r="R39"/>
      <c r="S39"/>
    </row>
    <row r="41" spans="1:19" x14ac:dyDescent="0.25">
      <c r="A41" s="263" t="s">
        <v>189</v>
      </c>
    </row>
    <row r="42" spans="1:19" x14ac:dyDescent="0.25">
      <c r="A42" s="672" t="s">
        <v>332</v>
      </c>
      <c r="B42" s="672"/>
      <c r="C42" s="672"/>
      <c r="D42" s="672"/>
      <c r="E42" s="672"/>
      <c r="F42" s="672"/>
      <c r="G42" s="672"/>
      <c r="H42" s="672"/>
    </row>
    <row r="43" spans="1:19" x14ac:dyDescent="0.25">
      <c r="A43" s="261" t="s">
        <v>190</v>
      </c>
      <c r="B43" s="261"/>
      <c r="C43" s="261"/>
      <c r="D43" s="261"/>
      <c r="E43" s="261"/>
      <c r="F43" s="261"/>
      <c r="G43" s="261"/>
      <c r="H43" s="261"/>
    </row>
    <row r="44" spans="1:19" x14ac:dyDescent="0.25">
      <c r="A44" s="673" t="s">
        <v>330</v>
      </c>
      <c r="B44" s="674"/>
      <c r="C44" s="674"/>
      <c r="D44" s="674"/>
      <c r="E44" s="674"/>
      <c r="F44" s="674"/>
      <c r="G44" s="674"/>
      <c r="H44" s="674"/>
    </row>
    <row r="45" spans="1:19" ht="30" customHeight="1" x14ac:dyDescent="0.25">
      <c r="A45" s="675" t="s">
        <v>331</v>
      </c>
      <c r="B45" s="675"/>
      <c r="C45" s="675"/>
      <c r="D45" s="675"/>
      <c r="E45" s="675"/>
      <c r="F45" s="675"/>
      <c r="G45" s="675"/>
      <c r="H45" s="675"/>
    </row>
    <row r="46" spans="1:19" x14ac:dyDescent="0.25">
      <c r="A46" s="672" t="s">
        <v>333</v>
      </c>
      <c r="B46" s="672"/>
      <c r="C46" s="672"/>
      <c r="D46" s="672"/>
      <c r="E46" s="672"/>
      <c r="F46" s="672"/>
      <c r="G46" s="672"/>
      <c r="H46" s="672"/>
    </row>
    <row r="47" spans="1:19" x14ac:dyDescent="0.25">
      <c r="A47" s="310" t="s">
        <v>334</v>
      </c>
    </row>
  </sheetData>
  <mergeCells count="20">
    <mergeCell ref="A17:A19"/>
    <mergeCell ref="B17:B19"/>
    <mergeCell ref="C17:D17"/>
    <mergeCell ref="E17:F17"/>
    <mergeCell ref="G17:H17"/>
    <mergeCell ref="A6:A8"/>
    <mergeCell ref="B6:B8"/>
    <mergeCell ref="C6:D6"/>
    <mergeCell ref="E6:F6"/>
    <mergeCell ref="G6:H6"/>
    <mergeCell ref="A46:H46"/>
    <mergeCell ref="A42:H42"/>
    <mergeCell ref="A44:H44"/>
    <mergeCell ref="A45:H45"/>
    <mergeCell ref="A29:A31"/>
    <mergeCell ref="B29:B31"/>
    <mergeCell ref="C29:C30"/>
    <mergeCell ref="D29:D30"/>
    <mergeCell ref="E29:E30"/>
    <mergeCell ref="F29:F30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AK30"/>
  <sheetViews>
    <sheetView tabSelected="1" topLeftCell="A2" zoomScaleNormal="100" workbookViewId="0">
      <selection activeCell="J43" activeCellId="1" sqref="F36 J43"/>
    </sheetView>
  </sheetViews>
  <sheetFormatPr defaultRowHeight="12.75" x14ac:dyDescent="0.2"/>
  <cols>
    <col min="1" max="3" width="16.83203125" style="61" customWidth="1"/>
    <col min="4" max="4" width="17.83203125" style="61" bestFit="1" customWidth="1"/>
    <col min="5" max="6" width="17.33203125" style="61" customWidth="1"/>
    <col min="7" max="7" width="19.5" style="61" customWidth="1"/>
    <col min="8" max="8" width="21.83203125" style="61" customWidth="1"/>
    <col min="9" max="9" width="19.5" style="61" customWidth="1"/>
    <col min="10" max="10" width="5" style="61" customWidth="1"/>
    <col min="21" max="21" width="24" style="61" customWidth="1"/>
    <col min="22" max="22" width="36.1640625" style="61" customWidth="1"/>
    <col min="23" max="23" width="10.83203125" style="61" customWidth="1"/>
    <col min="24" max="24" width="14.6640625" style="61" customWidth="1"/>
    <col min="25" max="25" width="16" style="61" customWidth="1"/>
    <col min="26" max="26" width="17.6640625" style="61" customWidth="1"/>
    <col min="27" max="28" width="13" style="61" customWidth="1"/>
    <col min="29" max="29" width="17" style="61" customWidth="1"/>
    <col min="30" max="30" width="10.33203125" style="61" customWidth="1"/>
    <col min="31" max="31" width="17.5" style="61" bestFit="1" customWidth="1"/>
    <col min="32" max="32" width="15.83203125" style="61" customWidth="1"/>
    <col min="33" max="33" width="19.6640625" style="61" customWidth="1"/>
    <col min="34" max="34" width="4.5" style="61" customWidth="1"/>
    <col min="35" max="35" width="20.33203125" style="63" customWidth="1"/>
    <col min="36" max="36" width="16.5" style="61" bestFit="1" customWidth="1"/>
    <col min="37" max="38" width="16.83203125" style="61" bestFit="1" customWidth="1"/>
    <col min="39" max="39" width="13.1640625" style="61" bestFit="1" customWidth="1"/>
    <col min="40" max="40" width="16" style="61" bestFit="1" customWidth="1"/>
    <col min="41" max="41" width="14.6640625" style="61" bestFit="1" customWidth="1"/>
    <col min="42" max="42" width="15.5" style="61" bestFit="1" customWidth="1"/>
    <col min="43" max="43" width="14.6640625" style="61" bestFit="1" customWidth="1"/>
    <col min="44" max="44" width="11.83203125" style="61" bestFit="1" customWidth="1"/>
    <col min="45" max="16384" width="9.33203125" style="61"/>
  </cols>
  <sheetData>
    <row r="1" spans="1:37" x14ac:dyDescent="0.2">
      <c r="A1" s="60" t="str">
        <f>'Input Tab'!B2</f>
        <v>Louisville Gas &amp; Electric Company</v>
      </c>
      <c r="I1" s="62" t="s">
        <v>341</v>
      </c>
      <c r="AD1" s="60"/>
    </row>
    <row r="2" spans="1:37" x14ac:dyDescent="0.2">
      <c r="A2" s="65" t="s">
        <v>335</v>
      </c>
      <c r="B2" s="225"/>
      <c r="I2" s="62" t="s">
        <v>324</v>
      </c>
      <c r="AD2" s="60"/>
    </row>
    <row r="3" spans="1:37" x14ac:dyDescent="0.2">
      <c r="A3" s="60" t="s">
        <v>23</v>
      </c>
      <c r="I3" s="64" t="str">
        <f>'Input Tab'!B3</f>
        <v>Rahn/Metts</v>
      </c>
      <c r="AD3" s="60"/>
    </row>
    <row r="4" spans="1:37" ht="13.5" thickBot="1" x14ac:dyDescent="0.25">
      <c r="A4" s="60"/>
      <c r="U4" s="64"/>
      <c r="W4" s="65"/>
      <c r="AD4" s="60"/>
      <c r="AG4" s="64"/>
    </row>
    <row r="5" spans="1:37" ht="13.5" thickBot="1" x14ac:dyDescent="0.25">
      <c r="A5" s="641" t="s">
        <v>81</v>
      </c>
      <c r="B5" s="642"/>
      <c r="C5" s="642"/>
      <c r="D5" s="642"/>
      <c r="E5" s="642"/>
      <c r="F5" s="642"/>
      <c r="G5" s="642"/>
      <c r="H5" s="642"/>
      <c r="I5" s="643"/>
      <c r="U5" s="64"/>
      <c r="W5" s="65"/>
      <c r="AD5" s="60"/>
      <c r="AG5" s="64"/>
    </row>
    <row r="6" spans="1:37" x14ac:dyDescent="0.2">
      <c r="A6" s="111">
        <v>-1</v>
      </c>
      <c r="B6" s="112">
        <f t="shared" ref="B6:I6" si="0">A6-1</f>
        <v>-2</v>
      </c>
      <c r="C6" s="112">
        <f t="shared" si="0"/>
        <v>-3</v>
      </c>
      <c r="D6" s="112">
        <f t="shared" si="0"/>
        <v>-4</v>
      </c>
      <c r="E6" s="112">
        <f t="shared" si="0"/>
        <v>-5</v>
      </c>
      <c r="F6" s="112">
        <f t="shared" si="0"/>
        <v>-6</v>
      </c>
      <c r="G6" s="112">
        <f t="shared" si="0"/>
        <v>-7</v>
      </c>
      <c r="H6" s="112">
        <f t="shared" si="0"/>
        <v>-8</v>
      </c>
      <c r="I6" s="113">
        <f t="shared" si="0"/>
        <v>-9</v>
      </c>
      <c r="U6" s="63"/>
      <c r="AI6" s="61"/>
    </row>
    <row r="7" spans="1:37" s="66" customFormat="1" ht="38.25" x14ac:dyDescent="0.2">
      <c r="A7" s="177" t="s">
        <v>0</v>
      </c>
      <c r="B7" s="178" t="s">
        <v>1</v>
      </c>
      <c r="C7" s="178" t="s">
        <v>2</v>
      </c>
      <c r="D7" s="178" t="s">
        <v>3</v>
      </c>
      <c r="E7" s="178" t="s">
        <v>19</v>
      </c>
      <c r="F7" s="178" t="s">
        <v>4</v>
      </c>
      <c r="G7" s="178" t="s">
        <v>5</v>
      </c>
      <c r="H7" s="178" t="s">
        <v>22</v>
      </c>
      <c r="I7" s="181" t="s">
        <v>30</v>
      </c>
      <c r="J7" s="182"/>
      <c r="U7" s="67"/>
    </row>
    <row r="8" spans="1:37" x14ac:dyDescent="0.2">
      <c r="A8" s="68"/>
      <c r="B8" s="69"/>
      <c r="C8" s="108"/>
      <c r="D8" s="108"/>
      <c r="E8" s="108"/>
      <c r="F8" s="74" t="s">
        <v>83</v>
      </c>
      <c r="G8" s="74" t="s">
        <v>84</v>
      </c>
      <c r="H8" s="71"/>
      <c r="I8" s="72" t="s">
        <v>6</v>
      </c>
      <c r="U8" s="63"/>
      <c r="AI8" s="61"/>
    </row>
    <row r="9" spans="1:37" x14ac:dyDescent="0.2">
      <c r="A9" s="116">
        <f>EDATE('Input Tab'!B23,0)*1</f>
        <v>42856</v>
      </c>
      <c r="B9" s="117">
        <f t="shared" ref="B9:B14" si="1">EDATE(A9,-2)</f>
        <v>42795</v>
      </c>
      <c r="C9" s="84">
        <f>'Input Tab'!E23</f>
        <v>0.1038</v>
      </c>
      <c r="D9" s="187">
        <f>'Input Tab'!F23</f>
        <v>922749314</v>
      </c>
      <c r="E9" s="77">
        <f>'Input Tab'!K23</f>
        <v>922749314</v>
      </c>
      <c r="F9" s="93">
        <f t="shared" ref="F9:F14" si="2">(E9-D9)</f>
        <v>0</v>
      </c>
      <c r="G9" s="83">
        <f t="shared" ref="G9:G14" si="3">(C9*F9)/12</f>
        <v>0</v>
      </c>
      <c r="H9" s="84">
        <f>'Input Tab'!D23</f>
        <v>0.90949999999999998</v>
      </c>
      <c r="I9" s="95">
        <f t="shared" ref="I9:I14" si="4">G9*H9</f>
        <v>0</v>
      </c>
      <c r="U9"/>
      <c r="V9"/>
      <c r="W9" s="87"/>
      <c r="X9" s="87"/>
      <c r="Y9" s="87"/>
      <c r="Z9" s="87"/>
      <c r="AA9" s="87"/>
      <c r="AB9" s="87"/>
      <c r="AC9" s="87"/>
      <c r="AD9" s="87"/>
      <c r="AI9" s="61"/>
    </row>
    <row r="10" spans="1:37" x14ac:dyDescent="0.2">
      <c r="A10" s="116">
        <f>EDATE(A9,1)*1</f>
        <v>42887</v>
      </c>
      <c r="B10" s="117">
        <f t="shared" si="1"/>
        <v>42826</v>
      </c>
      <c r="C10" s="84">
        <f>'Input Tab'!E24</f>
        <v>0.1038</v>
      </c>
      <c r="D10" s="188">
        <f>'Input Tab'!F24</f>
        <v>924116539</v>
      </c>
      <c r="E10" s="77">
        <f>'Input Tab'!K24</f>
        <v>924116539</v>
      </c>
      <c r="F10" s="93">
        <f t="shared" si="2"/>
        <v>0</v>
      </c>
      <c r="G10" s="83">
        <f t="shared" si="3"/>
        <v>0</v>
      </c>
      <c r="H10" s="84">
        <f>'Input Tab'!D24</f>
        <v>0.98070000000000002</v>
      </c>
      <c r="I10" s="95">
        <f t="shared" si="4"/>
        <v>0</v>
      </c>
      <c r="U10"/>
      <c r="V10"/>
      <c r="W10" s="87"/>
      <c r="X10" s="87"/>
      <c r="Y10" s="87"/>
      <c r="Z10" s="87"/>
      <c r="AA10" s="87"/>
      <c r="AB10" s="87"/>
      <c r="AC10" s="87"/>
      <c r="AD10" s="87"/>
      <c r="AI10" s="61"/>
    </row>
    <row r="11" spans="1:37" x14ac:dyDescent="0.2">
      <c r="A11" s="116">
        <f>EDATE(A10,1)*1</f>
        <v>42917</v>
      </c>
      <c r="B11" s="117">
        <f t="shared" si="1"/>
        <v>42856</v>
      </c>
      <c r="C11" s="84">
        <f>'Input Tab'!E25</f>
        <v>0.1038</v>
      </c>
      <c r="D11" s="188">
        <f>'Input Tab'!F25</f>
        <v>924917547</v>
      </c>
      <c r="E11" s="77">
        <f>'Input Tab'!K25</f>
        <v>924917547</v>
      </c>
      <c r="F11" s="93">
        <f t="shared" si="2"/>
        <v>0</v>
      </c>
      <c r="G11" s="83">
        <f t="shared" si="3"/>
        <v>0</v>
      </c>
      <c r="H11" s="84">
        <f>'Input Tab'!D25</f>
        <v>0.96109999999999995</v>
      </c>
      <c r="I11" s="95">
        <f t="shared" si="4"/>
        <v>0</v>
      </c>
      <c r="U11"/>
      <c r="V11"/>
      <c r="W11" s="87"/>
      <c r="X11" s="87"/>
      <c r="Y11" s="87"/>
      <c r="Z11" s="87"/>
      <c r="AA11" s="87"/>
      <c r="AB11" s="87"/>
      <c r="AC11" s="87"/>
      <c r="AD11" s="87"/>
      <c r="AI11" s="61"/>
    </row>
    <row r="12" spans="1:37" x14ac:dyDescent="0.2">
      <c r="A12" s="116">
        <f>EDATE(A11,1)*1</f>
        <v>42948</v>
      </c>
      <c r="B12" s="117">
        <f t="shared" si="1"/>
        <v>42887</v>
      </c>
      <c r="C12" s="84">
        <f>'Input Tab'!E26</f>
        <v>0.1031</v>
      </c>
      <c r="D12" s="188">
        <f>'Input Tab'!F26</f>
        <v>924920951</v>
      </c>
      <c r="E12" s="77">
        <f>'Input Tab'!K26</f>
        <v>924920951</v>
      </c>
      <c r="F12" s="93">
        <f t="shared" si="2"/>
        <v>0</v>
      </c>
      <c r="G12" s="83">
        <f t="shared" si="3"/>
        <v>0</v>
      </c>
      <c r="H12" s="84">
        <f>'Input Tab'!D26</f>
        <v>0.98680000000000001</v>
      </c>
      <c r="I12" s="95">
        <f t="shared" si="4"/>
        <v>0</v>
      </c>
      <c r="U12"/>
      <c r="V12"/>
      <c r="W12" s="87"/>
      <c r="X12" s="87"/>
      <c r="Y12" s="87"/>
      <c r="Z12" s="87"/>
      <c r="AA12" s="87"/>
      <c r="AB12" s="87"/>
      <c r="AC12" s="87"/>
      <c r="AD12" s="87"/>
      <c r="AI12" s="61"/>
    </row>
    <row r="13" spans="1:37" x14ac:dyDescent="0.2">
      <c r="A13" s="116">
        <f>EDATE(A12,1)*1</f>
        <v>42979</v>
      </c>
      <c r="B13" s="117">
        <f t="shared" si="1"/>
        <v>42917</v>
      </c>
      <c r="C13" s="84">
        <f>'Input Tab'!E27</f>
        <v>0.1031</v>
      </c>
      <c r="D13" s="188">
        <f>'Input Tab'!F27</f>
        <v>940303993</v>
      </c>
      <c r="E13" s="77">
        <f>'Input Tab'!K27</f>
        <v>940391195</v>
      </c>
      <c r="F13" s="93">
        <f t="shared" si="2"/>
        <v>87202</v>
      </c>
      <c r="G13" s="83">
        <f t="shared" si="3"/>
        <v>749.21051666666665</v>
      </c>
      <c r="H13" s="84">
        <f>'Input Tab'!D27</f>
        <v>0.99419999999999997</v>
      </c>
      <c r="I13" s="95">
        <f t="shared" si="4"/>
        <v>744.86509566999996</v>
      </c>
      <c r="U13" s="63"/>
      <c r="V13"/>
      <c r="W13" s="99"/>
      <c r="AI13" s="61"/>
    </row>
    <row r="14" spans="1:37" x14ac:dyDescent="0.2">
      <c r="A14" s="116">
        <f>EDATE(A13,1)*1</f>
        <v>43009</v>
      </c>
      <c r="B14" s="117">
        <f t="shared" si="1"/>
        <v>42948</v>
      </c>
      <c r="C14" s="84">
        <f>'Input Tab'!E28</f>
        <v>0.1031</v>
      </c>
      <c r="D14" s="188">
        <f>'Input Tab'!F28</f>
        <v>937655883</v>
      </c>
      <c r="E14" s="77">
        <f>'Input Tab'!K28</f>
        <v>937831407</v>
      </c>
      <c r="F14" s="93">
        <f t="shared" si="2"/>
        <v>175524</v>
      </c>
      <c r="G14" s="613">
        <f t="shared" si="3"/>
        <v>1508.0436999999999</v>
      </c>
      <c r="H14" s="84">
        <f>'Input Tab'!D28</f>
        <v>0.99419999999999997</v>
      </c>
      <c r="I14" s="606">
        <f t="shared" si="4"/>
        <v>1499.2970465399999</v>
      </c>
      <c r="U14" s="63"/>
      <c r="V14"/>
      <c r="W14" s="99"/>
      <c r="AI14" s="61"/>
    </row>
    <row r="15" spans="1:37" x14ac:dyDescent="0.2">
      <c r="A15" s="136"/>
      <c r="B15" s="89"/>
      <c r="C15" s="84"/>
      <c r="D15" s="92"/>
      <c r="E15" s="82"/>
      <c r="F15" s="82"/>
      <c r="G15" s="93">
        <f>SUM(G9:G14)</f>
        <v>2257.2542166666667</v>
      </c>
      <c r="H15" s="84"/>
      <c r="I15" s="95">
        <f>SUM(I9:I14)</f>
        <v>2244.1621422099997</v>
      </c>
      <c r="U15" s="63"/>
      <c r="V15"/>
      <c r="W15" s="99"/>
      <c r="AI15" s="61"/>
    </row>
    <row r="16" spans="1:37" ht="13.5" thickBot="1" x14ac:dyDescent="0.25">
      <c r="A16" s="137"/>
      <c r="B16" s="102"/>
      <c r="C16" s="102"/>
      <c r="D16" s="102"/>
      <c r="E16" s="102"/>
      <c r="F16" s="102"/>
      <c r="G16" s="102"/>
      <c r="H16" s="102"/>
      <c r="I16" s="103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3.5" thickBot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  <c r="U17" s="9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3.5" thickBot="1" x14ac:dyDescent="0.25">
      <c r="A18" s="641" t="s">
        <v>82</v>
      </c>
      <c r="B18" s="642"/>
      <c r="C18" s="642"/>
      <c r="D18" s="642"/>
      <c r="E18" s="642"/>
      <c r="F18" s="642"/>
      <c r="G18" s="642"/>
      <c r="H18" s="642"/>
      <c r="I18" s="643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111">
        <v>-1</v>
      </c>
      <c r="B19" s="112">
        <f t="shared" ref="B19:I19" si="5">A19-1</f>
        <v>-2</v>
      </c>
      <c r="C19" s="112">
        <f t="shared" si="5"/>
        <v>-3</v>
      </c>
      <c r="D19" s="112">
        <f t="shared" si="5"/>
        <v>-4</v>
      </c>
      <c r="E19" s="112">
        <f t="shared" si="5"/>
        <v>-5</v>
      </c>
      <c r="F19" s="112">
        <f t="shared" si="5"/>
        <v>-6</v>
      </c>
      <c r="G19" s="112">
        <f t="shared" si="5"/>
        <v>-7</v>
      </c>
      <c r="H19" s="112">
        <f t="shared" si="5"/>
        <v>-8</v>
      </c>
      <c r="I19" s="113">
        <f t="shared" si="5"/>
        <v>-9</v>
      </c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38.25" x14ac:dyDescent="0.2">
      <c r="A20" s="177" t="s">
        <v>0</v>
      </c>
      <c r="B20" s="178" t="s">
        <v>1</v>
      </c>
      <c r="C20" s="178" t="s">
        <v>2</v>
      </c>
      <c r="D20" s="178" t="s">
        <v>3</v>
      </c>
      <c r="E20" s="178" t="s">
        <v>19</v>
      </c>
      <c r="F20" s="178" t="s">
        <v>4</v>
      </c>
      <c r="G20" s="178" t="s">
        <v>5</v>
      </c>
      <c r="H20" s="178" t="s">
        <v>22</v>
      </c>
      <c r="I20" s="181" t="s">
        <v>30</v>
      </c>
      <c r="J20" s="183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 s="68"/>
      <c r="B21" s="69"/>
      <c r="C21" s="108"/>
      <c r="D21" s="108"/>
      <c r="E21" s="108"/>
      <c r="F21" s="74" t="s">
        <v>83</v>
      </c>
      <c r="G21" s="74" t="s">
        <v>84</v>
      </c>
      <c r="H21" s="71"/>
      <c r="I21" s="72" t="s">
        <v>6</v>
      </c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116">
        <f t="shared" ref="A22:A27" si="6">A9</f>
        <v>42856</v>
      </c>
      <c r="B22" s="117">
        <f t="shared" ref="B22:B27" si="7">EDATE(A22,-2)</f>
        <v>42795</v>
      </c>
      <c r="C22" s="84">
        <f>'Input Tab'!G23</f>
        <v>0.10199999999999999</v>
      </c>
      <c r="D22" s="189">
        <f>'Input Tab'!H23</f>
        <v>17978669</v>
      </c>
      <c r="E22" s="78">
        <f>'Input Tab'!O23</f>
        <v>17978669</v>
      </c>
      <c r="F22" s="93">
        <f t="shared" ref="F22:F27" si="8">E22-D22</f>
        <v>0</v>
      </c>
      <c r="G22" s="93">
        <f t="shared" ref="G22:G27" si="9">(C22*F22)/12</f>
        <v>0</v>
      </c>
      <c r="H22" s="84">
        <f t="shared" ref="H22:H27" si="10">H9</f>
        <v>0.90949999999999998</v>
      </c>
      <c r="I22" s="95">
        <f t="shared" ref="I22:I27" si="11">G22*H22</f>
        <v>0</v>
      </c>
      <c r="U22" s="63"/>
      <c r="AI22" s="61"/>
    </row>
    <row r="23" spans="1:37" x14ac:dyDescent="0.2">
      <c r="A23" s="116">
        <f t="shared" si="6"/>
        <v>42887</v>
      </c>
      <c r="B23" s="117">
        <f t="shared" si="7"/>
        <v>42826</v>
      </c>
      <c r="C23" s="84">
        <f>'Input Tab'!G24</f>
        <v>0.10199999999999999</v>
      </c>
      <c r="D23" s="190">
        <f>'Input Tab'!H24</f>
        <v>19871981</v>
      </c>
      <c r="E23" s="78">
        <f>'Input Tab'!O24</f>
        <v>20027451</v>
      </c>
      <c r="F23" s="93">
        <f t="shared" si="8"/>
        <v>155470</v>
      </c>
      <c r="G23" s="93">
        <f t="shared" si="9"/>
        <v>1321.4949999999999</v>
      </c>
      <c r="H23" s="84">
        <f t="shared" si="10"/>
        <v>0.98070000000000002</v>
      </c>
      <c r="I23" s="95">
        <f t="shared" si="11"/>
        <v>1295.9901464999998</v>
      </c>
      <c r="U23" s="63"/>
      <c r="AI23" s="61"/>
    </row>
    <row r="24" spans="1:37" x14ac:dyDescent="0.2">
      <c r="A24" s="116">
        <f t="shared" si="6"/>
        <v>42917</v>
      </c>
      <c r="B24" s="117">
        <f t="shared" si="7"/>
        <v>42856</v>
      </c>
      <c r="C24" s="84">
        <f>'Input Tab'!G25</f>
        <v>0.10199999999999999</v>
      </c>
      <c r="D24" s="190">
        <f>'Input Tab'!H25</f>
        <v>20284431</v>
      </c>
      <c r="E24" s="78">
        <f>'Input Tab'!O25</f>
        <v>20284431</v>
      </c>
      <c r="F24" s="93">
        <f t="shared" si="8"/>
        <v>0</v>
      </c>
      <c r="G24" s="93">
        <f t="shared" si="9"/>
        <v>0</v>
      </c>
      <c r="H24" s="84">
        <f t="shared" si="10"/>
        <v>0.96109999999999995</v>
      </c>
      <c r="I24" s="95">
        <f t="shared" si="11"/>
        <v>0</v>
      </c>
      <c r="U24" s="63"/>
      <c r="AI24" s="61"/>
    </row>
    <row r="25" spans="1:37" x14ac:dyDescent="0.2">
      <c r="A25" s="116">
        <f t="shared" si="6"/>
        <v>42948</v>
      </c>
      <c r="B25" s="117">
        <f t="shared" si="7"/>
        <v>42887</v>
      </c>
      <c r="C25" s="84">
        <f>'Input Tab'!G26</f>
        <v>0.1031</v>
      </c>
      <c r="D25" s="190">
        <f>'Input Tab'!H26</f>
        <v>26433185</v>
      </c>
      <c r="E25" s="78">
        <f>'Input Tab'!O26</f>
        <v>26433185</v>
      </c>
      <c r="F25" s="93">
        <f t="shared" si="8"/>
        <v>0</v>
      </c>
      <c r="G25" s="93">
        <f t="shared" si="9"/>
        <v>0</v>
      </c>
      <c r="H25" s="84">
        <f t="shared" si="10"/>
        <v>0.98680000000000001</v>
      </c>
      <c r="I25" s="95">
        <f t="shared" si="11"/>
        <v>0</v>
      </c>
      <c r="U25" s="63"/>
      <c r="AI25" s="61"/>
    </row>
    <row r="26" spans="1:37" x14ac:dyDescent="0.2">
      <c r="A26" s="116">
        <f t="shared" si="6"/>
        <v>42979</v>
      </c>
      <c r="B26" s="117">
        <f t="shared" si="7"/>
        <v>42917</v>
      </c>
      <c r="C26" s="84">
        <f>'Input Tab'!G27</f>
        <v>0.1031</v>
      </c>
      <c r="D26" s="190">
        <f>'Input Tab'!H27</f>
        <v>39953969</v>
      </c>
      <c r="E26" s="78">
        <f>'Input Tab'!O27</f>
        <v>40249818</v>
      </c>
      <c r="F26" s="93">
        <f t="shared" si="8"/>
        <v>295849</v>
      </c>
      <c r="G26" s="93">
        <f t="shared" si="9"/>
        <v>2541.8359916666664</v>
      </c>
      <c r="H26" s="84">
        <f t="shared" si="10"/>
        <v>0.99419999999999997</v>
      </c>
      <c r="I26" s="95">
        <f t="shared" si="11"/>
        <v>2527.0933429149995</v>
      </c>
      <c r="U26" s="63"/>
      <c r="AI26" s="61"/>
    </row>
    <row r="27" spans="1:37" x14ac:dyDescent="0.2">
      <c r="A27" s="116">
        <f t="shared" si="6"/>
        <v>43009</v>
      </c>
      <c r="B27" s="117">
        <f t="shared" si="7"/>
        <v>42948</v>
      </c>
      <c r="C27" s="84">
        <f>'Input Tab'!G28</f>
        <v>0.1031</v>
      </c>
      <c r="D27" s="190">
        <f>'Input Tab'!H28</f>
        <v>51447165</v>
      </c>
      <c r="E27" s="78">
        <f>'Input Tab'!O28</f>
        <v>51743674</v>
      </c>
      <c r="F27" s="93">
        <f t="shared" si="8"/>
        <v>296509</v>
      </c>
      <c r="G27" s="605">
        <f t="shared" si="9"/>
        <v>2547.5064916666665</v>
      </c>
      <c r="H27" s="84">
        <f t="shared" si="10"/>
        <v>0.99419999999999997</v>
      </c>
      <c r="I27" s="606">
        <f t="shared" si="11"/>
        <v>2532.730954015</v>
      </c>
      <c r="U27" s="63"/>
      <c r="AI27" s="61"/>
    </row>
    <row r="28" spans="1:37" x14ac:dyDescent="0.2">
      <c r="A28" s="88"/>
      <c r="B28" s="89"/>
      <c r="C28" s="138"/>
      <c r="D28" s="84"/>
      <c r="E28" s="92"/>
      <c r="F28" s="82"/>
      <c r="G28" s="93">
        <f>SUM(G22:G27)</f>
        <v>6410.8374833333328</v>
      </c>
      <c r="H28" s="93"/>
      <c r="I28" s="95">
        <f>SUM(I22:I27)</f>
        <v>6355.8144434299993</v>
      </c>
      <c r="J28"/>
      <c r="W28" s="63"/>
      <c r="AI28" s="61"/>
    </row>
    <row r="29" spans="1:37" ht="13.5" thickBot="1" x14ac:dyDescent="0.25">
      <c r="A29" s="101"/>
      <c r="B29" s="102"/>
      <c r="C29" s="102"/>
      <c r="D29" s="102"/>
      <c r="E29" s="102"/>
      <c r="F29" s="102"/>
      <c r="G29" s="102"/>
      <c r="H29" s="102"/>
      <c r="I29" s="103"/>
      <c r="J29"/>
      <c r="W29" s="63"/>
      <c r="AI29" s="61"/>
    </row>
    <row r="30" spans="1:37" x14ac:dyDescent="0.2">
      <c r="J30"/>
    </row>
  </sheetData>
  <mergeCells count="2">
    <mergeCell ref="A5:I5"/>
    <mergeCell ref="A18:I18"/>
  </mergeCells>
  <phoneticPr fontId="6" type="noConversion"/>
  <printOptions horizontalCentered="1"/>
  <pageMargins left="0.25" right="0.25" top="0.75" bottom="0.5" header="0.5" footer="0.5"/>
  <pageSetup scale="60" fitToWidth="0" fitToHeight="0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L30"/>
  <sheetViews>
    <sheetView zoomScaleNormal="100" workbookViewId="0">
      <selection activeCell="F36" sqref="F36"/>
    </sheetView>
  </sheetViews>
  <sheetFormatPr defaultRowHeight="12.75" x14ac:dyDescent="0.2"/>
  <cols>
    <col min="1" max="3" width="16.83203125" style="61" customWidth="1"/>
    <col min="4" max="4" width="17.1640625" style="61" customWidth="1"/>
    <col min="5" max="5" width="16.5" style="61" customWidth="1"/>
    <col min="6" max="9" width="16.83203125" style="61" customWidth="1"/>
    <col min="10" max="10" width="5.6640625" style="61" customWidth="1"/>
    <col min="12" max="12" width="12.1640625" bestFit="1" customWidth="1"/>
    <col min="13" max="13" width="9.6640625" bestFit="1" customWidth="1"/>
  </cols>
  <sheetData>
    <row r="1" spans="1:12" x14ac:dyDescent="0.2">
      <c r="A1" s="60" t="str">
        <f>'Q1 p.1 - Rate Base True-up Adj'!A1</f>
        <v>Louisville Gas &amp; Electric Company</v>
      </c>
      <c r="I1" s="62" t="str">
        <f>'Q1 p.1 - Rate Base True-up Adj'!I1</f>
        <v>Revised Attachment to Response to Question No. 1</v>
      </c>
    </row>
    <row r="2" spans="1:12" x14ac:dyDescent="0.2">
      <c r="A2" s="65" t="s">
        <v>337</v>
      </c>
      <c r="I2" s="62" t="s">
        <v>325</v>
      </c>
    </row>
    <row r="3" spans="1:12" x14ac:dyDescent="0.2">
      <c r="A3" s="60" t="str">
        <f>'Q1 p.1 - Rate Base True-up Adj'!A3</f>
        <v xml:space="preserve">Impact on Calculated E(m) </v>
      </c>
      <c r="I3" s="64" t="str">
        <f>'Q1 p.1 - Rate Base True-up Adj'!I3</f>
        <v>Rahn/Metts</v>
      </c>
    </row>
    <row r="4" spans="1:12" ht="13.5" thickBot="1" x14ac:dyDescent="0.25">
      <c r="D4" s="64"/>
      <c r="F4" s="60"/>
    </row>
    <row r="5" spans="1:12" ht="13.5" thickBot="1" x14ac:dyDescent="0.25">
      <c r="A5" s="641" t="s">
        <v>81</v>
      </c>
      <c r="B5" s="642"/>
      <c r="C5" s="642"/>
      <c r="D5" s="642"/>
      <c r="E5" s="642"/>
      <c r="F5" s="642"/>
      <c r="G5" s="642"/>
      <c r="H5" s="642"/>
      <c r="I5" s="643"/>
    </row>
    <row r="6" spans="1:12" x14ac:dyDescent="0.2">
      <c r="A6" s="114">
        <v>-1</v>
      </c>
      <c r="B6" s="115">
        <f t="shared" ref="B6:I6" si="0">A6-1</f>
        <v>-2</v>
      </c>
      <c r="C6" s="115">
        <f t="shared" si="0"/>
        <v>-3</v>
      </c>
      <c r="D6" s="115">
        <f t="shared" si="0"/>
        <v>-4</v>
      </c>
      <c r="E6" s="115">
        <f t="shared" si="0"/>
        <v>-5</v>
      </c>
      <c r="F6" s="115">
        <f t="shared" si="0"/>
        <v>-6</v>
      </c>
      <c r="G6" s="115">
        <f t="shared" si="0"/>
        <v>-7</v>
      </c>
      <c r="H6" s="115">
        <f t="shared" si="0"/>
        <v>-8</v>
      </c>
      <c r="I6" s="113">
        <f t="shared" si="0"/>
        <v>-9</v>
      </c>
    </row>
    <row r="7" spans="1:12" ht="38.25" x14ac:dyDescent="0.2">
      <c r="A7" s="177" t="s">
        <v>0</v>
      </c>
      <c r="B7" s="178" t="s">
        <v>1</v>
      </c>
      <c r="C7" s="178" t="s">
        <v>2</v>
      </c>
      <c r="D7" s="178" t="s">
        <v>7</v>
      </c>
      <c r="E7" s="178" t="s">
        <v>8</v>
      </c>
      <c r="F7" s="178" t="s">
        <v>14</v>
      </c>
      <c r="G7" s="178" t="s">
        <v>5</v>
      </c>
      <c r="H7" s="178" t="s">
        <v>22</v>
      </c>
      <c r="I7" s="181" t="s">
        <v>30</v>
      </c>
      <c r="J7" s="66"/>
    </row>
    <row r="8" spans="1:12" x14ac:dyDescent="0.2">
      <c r="A8" s="68"/>
      <c r="B8" s="69"/>
      <c r="C8" s="108"/>
      <c r="D8" s="108"/>
      <c r="E8" s="74" t="s">
        <v>9</v>
      </c>
      <c r="F8" s="108"/>
      <c r="G8" s="74" t="s">
        <v>10</v>
      </c>
      <c r="H8" s="71"/>
      <c r="I8" s="72" t="s">
        <v>6</v>
      </c>
    </row>
    <row r="9" spans="1:12" x14ac:dyDescent="0.2">
      <c r="A9" s="116">
        <f>'Q1 p.1 - Rate Base True-up Adj'!A9</f>
        <v>42856</v>
      </c>
      <c r="B9" s="117">
        <f>'Q1 p.1 - Rate Base True-up Adj'!B9</f>
        <v>42795</v>
      </c>
      <c r="C9" s="84">
        <f>'Input Tab'!E23</f>
        <v>0.1038</v>
      </c>
      <c r="D9" s="84">
        <f>'Input Tab'!J23</f>
        <v>0.1045</v>
      </c>
      <c r="E9" s="84">
        <f t="shared" ref="E9:E14" si="1">D9-C9</f>
        <v>6.999999999999923E-4</v>
      </c>
      <c r="F9" s="78">
        <f>'Input Tab'!K23</f>
        <v>922749314</v>
      </c>
      <c r="G9" s="98">
        <f t="shared" ref="G9:G14" si="2">ROUND((E9*F9)/12,0)</f>
        <v>53827</v>
      </c>
      <c r="H9" s="80">
        <f>'Input Tab'!D23</f>
        <v>0.90949999999999998</v>
      </c>
      <c r="I9" s="106">
        <f t="shared" ref="I9:I14" si="3">ROUND(H9*G9,0)</f>
        <v>48956</v>
      </c>
    </row>
    <row r="10" spans="1:12" x14ac:dyDescent="0.2">
      <c r="A10" s="116">
        <f>'Q1 p.1 - Rate Base True-up Adj'!A10</f>
        <v>42887</v>
      </c>
      <c r="B10" s="117">
        <f>'Q1 p.1 - Rate Base True-up Adj'!B10</f>
        <v>42826</v>
      </c>
      <c r="C10" s="84">
        <f>'Input Tab'!E24</f>
        <v>0.1038</v>
      </c>
      <c r="D10" s="84">
        <f>'Input Tab'!J24</f>
        <v>0.1045</v>
      </c>
      <c r="E10" s="84">
        <f t="shared" si="1"/>
        <v>6.999999999999923E-4</v>
      </c>
      <c r="F10" s="78">
        <f>'Input Tab'!K24</f>
        <v>924116539</v>
      </c>
      <c r="G10" s="90">
        <f t="shared" si="2"/>
        <v>53907</v>
      </c>
      <c r="H10" s="80">
        <f>'Input Tab'!D24</f>
        <v>0.98070000000000002</v>
      </c>
      <c r="I10" s="106">
        <f t="shared" si="3"/>
        <v>52867</v>
      </c>
    </row>
    <row r="11" spans="1:12" x14ac:dyDescent="0.2">
      <c r="A11" s="116">
        <f>'Q1 p.1 - Rate Base True-up Adj'!A11</f>
        <v>42917</v>
      </c>
      <c r="B11" s="117">
        <f>'Q1 p.1 - Rate Base True-up Adj'!B11</f>
        <v>42856</v>
      </c>
      <c r="C11" s="84">
        <f>'Input Tab'!E25</f>
        <v>0.1038</v>
      </c>
      <c r="D11" s="84">
        <f>'Input Tab'!J25</f>
        <v>0.1045</v>
      </c>
      <c r="E11" s="84">
        <f t="shared" si="1"/>
        <v>6.999999999999923E-4</v>
      </c>
      <c r="F11" s="78">
        <f>'Input Tab'!K25</f>
        <v>924917547</v>
      </c>
      <c r="G11" s="90">
        <f t="shared" si="2"/>
        <v>53954</v>
      </c>
      <c r="H11" s="80">
        <f>'Input Tab'!D25</f>
        <v>0.96109999999999995</v>
      </c>
      <c r="I11" s="106">
        <f t="shared" si="3"/>
        <v>51855</v>
      </c>
    </row>
    <row r="12" spans="1:12" x14ac:dyDescent="0.2">
      <c r="A12" s="116">
        <f>'Q1 p.1 - Rate Base True-up Adj'!A12</f>
        <v>42948</v>
      </c>
      <c r="B12" s="117">
        <f>'Q1 p.1 - Rate Base True-up Adj'!B12</f>
        <v>42887</v>
      </c>
      <c r="C12" s="84">
        <f>'Input Tab'!E26</f>
        <v>0.1031</v>
      </c>
      <c r="D12" s="84">
        <f>'Input Tab'!J26</f>
        <v>0.1022</v>
      </c>
      <c r="E12" s="84">
        <f t="shared" si="1"/>
        <v>-8.9999999999999802E-4</v>
      </c>
      <c r="F12" s="78">
        <f>'Input Tab'!K26</f>
        <v>924920951</v>
      </c>
      <c r="G12" s="90">
        <f t="shared" si="2"/>
        <v>-69369</v>
      </c>
      <c r="H12" s="80">
        <f>'Input Tab'!D26</f>
        <v>0.98680000000000001</v>
      </c>
      <c r="I12" s="106">
        <f t="shared" si="3"/>
        <v>-68453</v>
      </c>
    </row>
    <row r="13" spans="1:12" x14ac:dyDescent="0.2">
      <c r="A13" s="116">
        <f>'Q1 p.1 - Rate Base True-up Adj'!A13</f>
        <v>42979</v>
      </c>
      <c r="B13" s="117">
        <f>'Q1 p.1 - Rate Base True-up Adj'!B13</f>
        <v>42917</v>
      </c>
      <c r="C13" s="84">
        <f>'Input Tab'!E27</f>
        <v>0.1031</v>
      </c>
      <c r="D13" s="84">
        <f>'Input Tab'!J27</f>
        <v>0.1022</v>
      </c>
      <c r="E13" s="84">
        <f t="shared" si="1"/>
        <v>-8.9999999999999802E-4</v>
      </c>
      <c r="F13" s="78">
        <f>'Input Tab'!K27</f>
        <v>940391195</v>
      </c>
      <c r="G13" s="90">
        <f t="shared" si="2"/>
        <v>-70529</v>
      </c>
      <c r="H13" s="80">
        <f>'Input Tab'!D27</f>
        <v>0.99419999999999997</v>
      </c>
      <c r="I13" s="106">
        <f t="shared" si="3"/>
        <v>-70120</v>
      </c>
    </row>
    <row r="14" spans="1:12" x14ac:dyDescent="0.2">
      <c r="A14" s="116">
        <f>'Q1 p.1 - Rate Base True-up Adj'!A14</f>
        <v>43009</v>
      </c>
      <c r="B14" s="117">
        <f>'Q1 p.1 - Rate Base True-up Adj'!B14</f>
        <v>42948</v>
      </c>
      <c r="C14" s="84">
        <f>'Input Tab'!E28</f>
        <v>0.1031</v>
      </c>
      <c r="D14" s="84">
        <f>'Input Tab'!J28</f>
        <v>0.1022</v>
      </c>
      <c r="E14" s="84">
        <f t="shared" si="1"/>
        <v>-8.9999999999999802E-4</v>
      </c>
      <c r="F14" s="78">
        <f>'Input Tab'!K28</f>
        <v>937831407</v>
      </c>
      <c r="G14" s="607">
        <f t="shared" si="2"/>
        <v>-70337</v>
      </c>
      <c r="H14" s="80">
        <f>'Input Tab'!D28</f>
        <v>0.99419999999999997</v>
      </c>
      <c r="I14" s="110">
        <f t="shared" si="3"/>
        <v>-69929</v>
      </c>
    </row>
    <row r="15" spans="1:12" x14ac:dyDescent="0.2">
      <c r="A15" s="88"/>
      <c r="B15" s="89"/>
      <c r="C15" s="94"/>
      <c r="D15" s="94"/>
      <c r="E15" s="94"/>
      <c r="F15" s="94"/>
      <c r="G15" s="93">
        <f>SUM(G9:G14)</f>
        <v>-48547</v>
      </c>
      <c r="H15" s="94"/>
      <c r="I15" s="95">
        <f>SUM(I9:I14)</f>
        <v>-54824</v>
      </c>
      <c r="L15" s="603"/>
    </row>
    <row r="16" spans="1:12" ht="13.5" thickBot="1" x14ac:dyDescent="0.2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12" ht="13.5" thickBot="1" x14ac:dyDescent="0.25">
      <c r="A17" s="94"/>
      <c r="B17" s="94"/>
      <c r="C17" s="94"/>
      <c r="D17" s="94"/>
      <c r="F17" s="94"/>
      <c r="G17" s="94"/>
      <c r="H17" s="94"/>
      <c r="I17" s="94"/>
      <c r="J17" s="94"/>
    </row>
    <row r="18" spans="1:12" ht="13.5" thickBot="1" x14ac:dyDescent="0.25">
      <c r="A18" s="641" t="s">
        <v>82</v>
      </c>
      <c r="B18" s="642"/>
      <c r="C18" s="642"/>
      <c r="D18" s="642"/>
      <c r="E18" s="642"/>
      <c r="F18" s="642"/>
      <c r="G18" s="642"/>
      <c r="H18" s="642"/>
      <c r="I18" s="643"/>
    </row>
    <row r="19" spans="1:12" x14ac:dyDescent="0.2">
      <c r="A19" s="111">
        <v>-1</v>
      </c>
      <c r="B19" s="112">
        <f t="shared" ref="B19:I19" si="4">A19-1</f>
        <v>-2</v>
      </c>
      <c r="C19" s="112">
        <f t="shared" si="4"/>
        <v>-3</v>
      </c>
      <c r="D19" s="112">
        <f t="shared" si="4"/>
        <v>-4</v>
      </c>
      <c r="E19" s="112">
        <f t="shared" si="4"/>
        <v>-5</v>
      </c>
      <c r="F19" s="112">
        <f t="shared" si="4"/>
        <v>-6</v>
      </c>
      <c r="G19" s="112">
        <f t="shared" si="4"/>
        <v>-7</v>
      </c>
      <c r="H19" s="112">
        <f t="shared" si="4"/>
        <v>-8</v>
      </c>
      <c r="I19" s="113">
        <f t="shared" si="4"/>
        <v>-9</v>
      </c>
    </row>
    <row r="20" spans="1:12" ht="38.25" x14ac:dyDescent="0.2">
      <c r="A20" s="177" t="s">
        <v>0</v>
      </c>
      <c r="B20" s="178" t="s">
        <v>1</v>
      </c>
      <c r="C20" s="178" t="s">
        <v>2</v>
      </c>
      <c r="D20" s="178" t="s">
        <v>7</v>
      </c>
      <c r="E20" s="178" t="s">
        <v>8</v>
      </c>
      <c r="F20" s="178" t="s">
        <v>14</v>
      </c>
      <c r="G20" s="178" t="s">
        <v>5</v>
      </c>
      <c r="H20" s="178" t="s">
        <v>22</v>
      </c>
      <c r="I20" s="181" t="s">
        <v>30</v>
      </c>
    </row>
    <row r="21" spans="1:12" x14ac:dyDescent="0.2">
      <c r="A21" s="68"/>
      <c r="B21" s="69"/>
      <c r="C21" s="108"/>
      <c r="D21" s="108"/>
      <c r="E21" s="74" t="s">
        <v>9</v>
      </c>
      <c r="F21" s="108"/>
      <c r="G21" s="74" t="s">
        <v>10</v>
      </c>
      <c r="H21" s="71"/>
      <c r="I21" s="72" t="s">
        <v>6</v>
      </c>
    </row>
    <row r="22" spans="1:12" x14ac:dyDescent="0.2">
      <c r="A22" s="116">
        <f>'Q1 p.1 - Rate Base True-up Adj'!A22</f>
        <v>42856</v>
      </c>
      <c r="B22" s="117">
        <f>'Q1 p.1 - Rate Base True-up Adj'!B22</f>
        <v>42795</v>
      </c>
      <c r="C22" s="84">
        <f>'Input Tab'!G23</f>
        <v>0.10199999999999999</v>
      </c>
      <c r="D22" s="84">
        <f>'Input Tab'!N23</f>
        <v>0.1027</v>
      </c>
      <c r="E22" s="84">
        <f t="shared" ref="E22:E27" si="5">D22-C22</f>
        <v>7.0000000000000617E-4</v>
      </c>
      <c r="F22" s="78">
        <f>'Input Tab'!O23</f>
        <v>17978669</v>
      </c>
      <c r="G22" s="98">
        <f t="shared" ref="G22:G25" si="6">E22*F22/12</f>
        <v>1048.7556916666761</v>
      </c>
      <c r="H22" s="80">
        <f>H9</f>
        <v>0.90949999999999998</v>
      </c>
      <c r="I22" s="106">
        <f t="shared" ref="I22:I27" si="7">ROUND(G22*H22,0)</f>
        <v>954</v>
      </c>
    </row>
    <row r="23" spans="1:12" x14ac:dyDescent="0.2">
      <c r="A23" s="116">
        <f>'Q1 p.1 - Rate Base True-up Adj'!A23</f>
        <v>42887</v>
      </c>
      <c r="B23" s="117">
        <f>'Q1 p.1 - Rate Base True-up Adj'!B23</f>
        <v>42826</v>
      </c>
      <c r="C23" s="84">
        <f>'Input Tab'!G24</f>
        <v>0.10199999999999999</v>
      </c>
      <c r="D23" s="84">
        <f>'Input Tab'!N24</f>
        <v>0.1027</v>
      </c>
      <c r="E23" s="84">
        <f t="shared" si="5"/>
        <v>7.0000000000000617E-4</v>
      </c>
      <c r="F23" s="78">
        <f>'Input Tab'!O24</f>
        <v>20027451</v>
      </c>
      <c r="G23" s="98">
        <f t="shared" si="6"/>
        <v>1168.2679750000104</v>
      </c>
      <c r="H23" s="80">
        <f t="shared" ref="H23:H27" si="8">H10</f>
        <v>0.98070000000000002</v>
      </c>
      <c r="I23" s="106">
        <f t="shared" si="7"/>
        <v>1146</v>
      </c>
    </row>
    <row r="24" spans="1:12" x14ac:dyDescent="0.2">
      <c r="A24" s="116">
        <f>'Q1 p.1 - Rate Base True-up Adj'!A24</f>
        <v>42917</v>
      </c>
      <c r="B24" s="117">
        <f>'Q1 p.1 - Rate Base True-up Adj'!B24</f>
        <v>42856</v>
      </c>
      <c r="C24" s="84">
        <f>'Input Tab'!G25</f>
        <v>0.10199999999999999</v>
      </c>
      <c r="D24" s="84">
        <f>'Input Tab'!N25</f>
        <v>0.1027</v>
      </c>
      <c r="E24" s="84">
        <f t="shared" si="5"/>
        <v>7.0000000000000617E-4</v>
      </c>
      <c r="F24" s="78">
        <f>'Input Tab'!O25</f>
        <v>20284431</v>
      </c>
      <c r="G24" s="98">
        <f t="shared" si="6"/>
        <v>1183.2584750000103</v>
      </c>
      <c r="H24" s="80">
        <f t="shared" si="8"/>
        <v>0.96109999999999995</v>
      </c>
      <c r="I24" s="106">
        <f t="shared" si="7"/>
        <v>1137</v>
      </c>
    </row>
    <row r="25" spans="1:12" x14ac:dyDescent="0.2">
      <c r="A25" s="116">
        <f>'Q1 p.1 - Rate Base True-up Adj'!A25</f>
        <v>42948</v>
      </c>
      <c r="B25" s="117">
        <f>'Q1 p.1 - Rate Base True-up Adj'!B25</f>
        <v>42887</v>
      </c>
      <c r="C25" s="84">
        <f>'Input Tab'!G26</f>
        <v>0.1031</v>
      </c>
      <c r="D25" s="84">
        <f>'Input Tab'!N26</f>
        <v>0.1022</v>
      </c>
      <c r="E25" s="84">
        <f t="shared" si="5"/>
        <v>-8.9999999999999802E-4</v>
      </c>
      <c r="F25" s="78">
        <f>'Input Tab'!O26</f>
        <v>26433185</v>
      </c>
      <c r="G25" s="98">
        <f t="shared" si="6"/>
        <v>-1982.4888749999957</v>
      </c>
      <c r="H25" s="80">
        <f t="shared" si="8"/>
        <v>0.98680000000000001</v>
      </c>
      <c r="I25" s="106">
        <f t="shared" si="7"/>
        <v>-1956</v>
      </c>
    </row>
    <row r="26" spans="1:12" x14ac:dyDescent="0.2">
      <c r="A26" s="116">
        <f>'Q1 p.1 - Rate Base True-up Adj'!A26</f>
        <v>42979</v>
      </c>
      <c r="B26" s="117">
        <f>'Q1 p.1 - Rate Base True-up Adj'!B26</f>
        <v>42917</v>
      </c>
      <c r="C26" s="84">
        <f>'Input Tab'!G27</f>
        <v>0.1031</v>
      </c>
      <c r="D26" s="84">
        <f>'Input Tab'!N27</f>
        <v>0.1022</v>
      </c>
      <c r="E26" s="84">
        <f t="shared" si="5"/>
        <v>-8.9999999999999802E-4</v>
      </c>
      <c r="F26" s="78">
        <f>'Input Tab'!O27</f>
        <v>40249818</v>
      </c>
      <c r="G26" s="98">
        <f>ROUND(E26*F26/12,0)</f>
        <v>-3019</v>
      </c>
      <c r="H26" s="80">
        <f t="shared" si="8"/>
        <v>0.99419999999999997</v>
      </c>
      <c r="I26" s="106">
        <f t="shared" si="7"/>
        <v>-3001</v>
      </c>
    </row>
    <row r="27" spans="1:12" x14ac:dyDescent="0.2">
      <c r="A27" s="116">
        <f>'Q1 p.1 - Rate Base True-up Adj'!A27</f>
        <v>43009</v>
      </c>
      <c r="B27" s="117">
        <f>'Q1 p.1 - Rate Base True-up Adj'!B27</f>
        <v>42948</v>
      </c>
      <c r="C27" s="84">
        <f>'Input Tab'!G28</f>
        <v>0.1031</v>
      </c>
      <c r="D27" s="84">
        <f>'Input Tab'!N28</f>
        <v>0.1022</v>
      </c>
      <c r="E27" s="84">
        <f t="shared" si="5"/>
        <v>-8.9999999999999802E-4</v>
      </c>
      <c r="F27" s="78">
        <f>'Input Tab'!O28</f>
        <v>51743674</v>
      </c>
      <c r="G27" s="109">
        <f>ROUND(E27*F27/12,0)</f>
        <v>-3881</v>
      </c>
      <c r="H27" s="80">
        <f t="shared" si="8"/>
        <v>0.99419999999999997</v>
      </c>
      <c r="I27" s="110">
        <f t="shared" si="7"/>
        <v>-3858</v>
      </c>
    </row>
    <row r="28" spans="1:12" x14ac:dyDescent="0.2">
      <c r="A28" s="88"/>
      <c r="B28" s="89"/>
      <c r="C28" s="94"/>
      <c r="D28" s="94"/>
      <c r="E28" s="94"/>
      <c r="F28" s="94"/>
      <c r="G28" s="93">
        <f>SUM(G22:G27)</f>
        <v>-5482.2067333332989</v>
      </c>
      <c r="H28" s="94"/>
      <c r="I28" s="95">
        <f>SUM(I22:I27)</f>
        <v>-5578</v>
      </c>
      <c r="L28" s="603"/>
    </row>
    <row r="29" spans="1:12" ht="13.5" thickBot="1" x14ac:dyDescent="0.25">
      <c r="A29" s="101"/>
      <c r="B29" s="102"/>
      <c r="C29" s="102"/>
      <c r="D29" s="102"/>
      <c r="E29" s="102"/>
      <c r="F29" s="102"/>
      <c r="G29" s="102"/>
      <c r="H29" s="102"/>
      <c r="I29" s="103"/>
    </row>
    <row r="30" spans="1:12" x14ac:dyDescent="0.2">
      <c r="A30"/>
    </row>
  </sheetData>
  <mergeCells count="2">
    <mergeCell ref="A5:I5"/>
    <mergeCell ref="A18:I18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theme="3" tint="0.79998168889431442"/>
    <pageSetUpPr fitToPage="1"/>
  </sheetPr>
  <dimension ref="A1:AD59"/>
  <sheetViews>
    <sheetView topLeftCell="A16" zoomScale="90" zoomScaleNormal="90" workbookViewId="0">
      <selection activeCell="F36" sqref="F36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9.832031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33.1640625" style="28" bestFit="1" customWidth="1"/>
    <col min="15" max="15" width="2.6640625" style="28" customWidth="1"/>
    <col min="16" max="16" width="22.1640625" style="28" customWidth="1"/>
    <col min="17" max="17" width="2.6640625" style="28" customWidth="1"/>
    <col min="18" max="18" width="22.1640625" style="28" customWidth="1"/>
    <col min="19" max="19" width="2.1640625" style="28" customWidth="1"/>
    <col min="20" max="20" width="22.1640625" style="28" customWidth="1"/>
    <col min="21" max="22" width="2.1640625" style="28" customWidth="1"/>
    <col min="23" max="23" width="22.1640625" style="28" customWidth="1"/>
    <col min="24" max="24" width="2.6640625" style="28" customWidth="1"/>
    <col min="25" max="25" width="21.33203125" style="28" customWidth="1"/>
    <col min="26" max="26" width="2.83203125" style="28" customWidth="1"/>
    <col min="27" max="27" width="19.1640625" style="28" customWidth="1"/>
    <col min="28" max="28" width="3.33203125" style="28" customWidth="1"/>
    <col min="29" max="29" width="21.1640625" style="28" customWidth="1"/>
    <col min="30" max="16384" width="20.83203125" style="28"/>
  </cols>
  <sheetData>
    <row r="1" spans="1:30" x14ac:dyDescent="0.25">
      <c r="A1" s="60" t="str">
        <f>'Input Tab'!B2</f>
        <v>Louisville Gas &amp; Electric Company</v>
      </c>
      <c r="T1" s="62" t="s">
        <v>341</v>
      </c>
    </row>
    <row r="2" spans="1:30" x14ac:dyDescent="0.25">
      <c r="A2" s="60" t="s">
        <v>137</v>
      </c>
      <c r="T2" s="62" t="s">
        <v>326</v>
      </c>
    </row>
    <row r="3" spans="1:30" x14ac:dyDescent="0.25">
      <c r="A3" s="317" t="s">
        <v>293</v>
      </c>
      <c r="T3" s="64" t="str">
        <f>'Q1 p.2 - Rate of Return Adj'!I3</f>
        <v>Rahn/Metts</v>
      </c>
    </row>
    <row r="4" spans="1:30" ht="16.5" thickBot="1" x14ac:dyDescent="0.3">
      <c r="A4" s="647"/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</row>
    <row r="5" spans="1:30" ht="16.5" thickBot="1" x14ac:dyDescent="0.3">
      <c r="A5" s="648" t="s">
        <v>255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50"/>
      <c r="U5" s="29"/>
      <c r="V5" s="30"/>
      <c r="W5" s="30"/>
      <c r="X5" s="30"/>
      <c r="Y5" s="30"/>
      <c r="Z5" s="31"/>
      <c r="AA5" s="31"/>
      <c r="AB5" s="31"/>
      <c r="AC5" s="31"/>
    </row>
    <row r="6" spans="1:30" x14ac:dyDescent="0.25">
      <c r="A6" s="586"/>
      <c r="B6" s="587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9"/>
      <c r="U6" s="29"/>
      <c r="V6" s="30"/>
      <c r="W6" s="30"/>
      <c r="X6" s="30"/>
      <c r="Y6" s="30"/>
      <c r="Z6" s="31"/>
      <c r="AA6" s="31"/>
      <c r="AB6" s="31"/>
      <c r="AC6" s="31"/>
    </row>
    <row r="7" spans="1:30" x14ac:dyDescent="0.25">
      <c r="A7" s="139"/>
      <c r="C7" s="319"/>
      <c r="D7" s="319"/>
      <c r="E7" s="319"/>
      <c r="F7" s="320"/>
      <c r="G7" s="319"/>
      <c r="H7" s="346"/>
      <c r="I7" s="319"/>
      <c r="J7" s="346"/>
      <c r="K7" s="319"/>
      <c r="L7" s="346"/>
      <c r="M7" s="319"/>
      <c r="N7" s="319" t="s">
        <v>69</v>
      </c>
      <c r="O7" s="319"/>
      <c r="P7" s="319"/>
      <c r="Q7" s="319"/>
      <c r="R7" s="319" t="s">
        <v>228</v>
      </c>
      <c r="S7" s="320"/>
      <c r="T7" s="325" t="s">
        <v>100</v>
      </c>
      <c r="Z7" s="27"/>
      <c r="AD7" s="34"/>
    </row>
    <row r="8" spans="1:30" x14ac:dyDescent="0.25">
      <c r="A8" s="139"/>
      <c r="C8" s="319" t="s">
        <v>197</v>
      </c>
      <c r="D8" s="319"/>
      <c r="E8" s="319"/>
      <c r="F8" s="319"/>
      <c r="G8" s="319"/>
      <c r="H8" s="319" t="s">
        <v>229</v>
      </c>
      <c r="I8" s="319"/>
      <c r="J8" s="319" t="s">
        <v>230</v>
      </c>
      <c r="K8" s="319"/>
      <c r="L8" s="319"/>
      <c r="M8" s="319"/>
      <c r="N8" s="319" t="s">
        <v>231</v>
      </c>
      <c r="O8" s="319"/>
      <c r="P8" s="319" t="s">
        <v>232</v>
      </c>
      <c r="Q8" s="319"/>
      <c r="R8" s="319" t="s">
        <v>233</v>
      </c>
      <c r="S8" s="320"/>
      <c r="T8" s="325" t="s">
        <v>51</v>
      </c>
      <c r="Z8" s="27"/>
      <c r="AC8" s="34"/>
      <c r="AD8" s="34"/>
    </row>
    <row r="9" spans="1:30" ht="18" x14ac:dyDescent="0.4">
      <c r="A9" s="139"/>
      <c r="C9" s="319" t="s">
        <v>54</v>
      </c>
      <c r="D9" s="319"/>
      <c r="E9" s="319"/>
      <c r="F9" s="319" t="s">
        <v>53</v>
      </c>
      <c r="G9" s="320"/>
      <c r="H9" s="319" t="s">
        <v>234</v>
      </c>
      <c r="I9" s="319"/>
      <c r="J9" s="319" t="s">
        <v>235</v>
      </c>
      <c r="K9" s="319"/>
      <c r="L9" s="319" t="s">
        <v>236</v>
      </c>
      <c r="M9" s="319"/>
      <c r="N9" s="319" t="s">
        <v>55</v>
      </c>
      <c r="O9" s="319"/>
      <c r="P9" s="319" t="s">
        <v>55</v>
      </c>
      <c r="Q9" s="319"/>
      <c r="R9" s="47" t="s">
        <v>237</v>
      </c>
      <c r="S9" s="320"/>
      <c r="T9" s="325" t="s">
        <v>238</v>
      </c>
      <c r="Z9" s="39"/>
      <c r="AC9" s="34"/>
      <c r="AD9" s="40"/>
    </row>
    <row r="10" spans="1:30" x14ac:dyDescent="0.25">
      <c r="A10" s="141"/>
      <c r="B10" s="41"/>
      <c r="C10" s="326" t="s">
        <v>261</v>
      </c>
      <c r="D10" s="319"/>
      <c r="E10" s="319"/>
      <c r="F10" s="319" t="s">
        <v>56</v>
      </c>
      <c r="G10" s="42"/>
      <c r="H10" s="326" t="s">
        <v>262</v>
      </c>
      <c r="I10" s="319"/>
      <c r="J10" s="326" t="s">
        <v>263</v>
      </c>
      <c r="K10" s="319"/>
      <c r="L10" s="326" t="s">
        <v>264</v>
      </c>
      <c r="M10" s="319"/>
      <c r="N10" s="326" t="s">
        <v>265</v>
      </c>
      <c r="O10" s="319"/>
      <c r="P10" s="326" t="s">
        <v>266</v>
      </c>
      <c r="Q10" s="319"/>
      <c r="R10" s="326" t="s">
        <v>267</v>
      </c>
      <c r="S10" s="320"/>
      <c r="T10" s="327" t="s">
        <v>268</v>
      </c>
      <c r="Z10" s="34"/>
      <c r="AC10" s="34"/>
      <c r="AD10" s="40"/>
    </row>
    <row r="11" spans="1:30" x14ac:dyDescent="0.25">
      <c r="A11" s="142"/>
      <c r="B11" s="41"/>
      <c r="C11" s="321"/>
      <c r="D11" s="319"/>
      <c r="E11" s="319"/>
      <c r="F11" s="321">
        <v>-1</v>
      </c>
      <c r="G11" s="42"/>
      <c r="H11" s="321">
        <v>-2</v>
      </c>
      <c r="I11" s="319"/>
      <c r="J11" s="321">
        <v>-3</v>
      </c>
      <c r="K11" s="319"/>
      <c r="L11" s="321">
        <v>-4</v>
      </c>
      <c r="M11" s="319"/>
      <c r="N11" s="321">
        <v>-5</v>
      </c>
      <c r="O11" s="319"/>
      <c r="P11" s="321">
        <v>-6</v>
      </c>
      <c r="Q11" s="319"/>
      <c r="R11" s="321">
        <v>-7</v>
      </c>
      <c r="S11" s="320"/>
      <c r="T11" s="328">
        <v>-8</v>
      </c>
      <c r="Z11" s="34"/>
      <c r="AC11" s="34"/>
      <c r="AD11" s="34"/>
    </row>
    <row r="12" spans="1:30" ht="30" customHeight="1" x14ac:dyDescent="0.25">
      <c r="A12" s="143" t="s">
        <v>58</v>
      </c>
      <c r="B12" s="28" t="s">
        <v>59</v>
      </c>
      <c r="C12" s="28">
        <f>J25</f>
        <v>136387149.14219999</v>
      </c>
      <c r="D12" s="36"/>
      <c r="F12" s="42">
        <f>ROUND(C12/$C$15,4)</f>
        <v>4.3099999999999999E-2</v>
      </c>
      <c r="H12" s="35">
        <f>ROUND(+F12*$H$15,0)</f>
        <v>-274850</v>
      </c>
      <c r="J12" s="35">
        <f>ROUND(+F12*$J$15,0)</f>
        <v>-50075</v>
      </c>
      <c r="L12" s="35">
        <f>ROUND(+F12*$L$15,0)</f>
        <v>527287</v>
      </c>
      <c r="M12" s="34"/>
      <c r="N12" s="35">
        <f>ROUND(+F12*$N$15,0)</f>
        <v>-40738205</v>
      </c>
      <c r="O12" s="34"/>
      <c r="P12" s="35">
        <f>ROUND(+F12*$P$15,0)</f>
        <v>-201956</v>
      </c>
      <c r="Q12" s="43"/>
      <c r="R12" s="35">
        <f>ROUND(+F12*$R$15,0)</f>
        <v>890291</v>
      </c>
      <c r="S12" s="43"/>
      <c r="T12" s="341">
        <f>SUM(H12:R12)</f>
        <v>-39847508</v>
      </c>
      <c r="Z12" s="34"/>
      <c r="AC12" s="44"/>
      <c r="AD12" s="45"/>
    </row>
    <row r="13" spans="1:30" ht="30" customHeight="1" x14ac:dyDescent="0.25">
      <c r="A13" s="143" t="s">
        <v>61</v>
      </c>
      <c r="B13" s="28" t="s">
        <v>62</v>
      </c>
      <c r="C13" s="28">
        <f>J26</f>
        <v>1342765672.2839086</v>
      </c>
      <c r="D13" s="36"/>
      <c r="F13" s="42">
        <f>ROUND(C13/$C$15,4)</f>
        <v>0.42470000000000002</v>
      </c>
      <c r="H13" s="35">
        <f>ROUND(+F13*$H$15,0)</f>
        <v>-2708322</v>
      </c>
      <c r="J13" s="35">
        <f>ROUND(+F13*$J$15,0)</f>
        <v>-493426</v>
      </c>
      <c r="L13" s="35">
        <f>ROUND(+F13*$L$15,0)</f>
        <v>5195797</v>
      </c>
      <c r="M13" s="34"/>
      <c r="N13" s="35">
        <f>ROUND(+F13*$N$15,0)</f>
        <v>-401427280</v>
      </c>
      <c r="O13" s="34"/>
      <c r="P13" s="35">
        <f>ROUND(+F13*$P$15,0)</f>
        <v>-1990038</v>
      </c>
      <c r="Q13" s="43"/>
      <c r="R13" s="35">
        <f>ROUND(+F13*$R$15,0)</f>
        <v>8772777</v>
      </c>
      <c r="S13" s="43"/>
      <c r="T13" s="341">
        <f t="shared" ref="T13:T15" si="0">SUM(H13:R13)</f>
        <v>-392650492</v>
      </c>
      <c r="W13" s="46"/>
      <c r="X13" s="46"/>
      <c r="Y13" s="46"/>
      <c r="Z13" s="46"/>
      <c r="AB13" s="46"/>
      <c r="AC13" s="44"/>
      <c r="AD13" s="45"/>
    </row>
    <row r="14" spans="1:30" ht="30" customHeight="1" x14ac:dyDescent="0.25">
      <c r="A14" s="143" t="s">
        <v>63</v>
      </c>
      <c r="B14" s="28" t="s">
        <v>64</v>
      </c>
      <c r="C14" s="375">
        <f>J27</f>
        <v>1682500764.8039999</v>
      </c>
      <c r="D14" s="36"/>
      <c r="F14" s="45">
        <f>ROUND(1-F12-F13,4)</f>
        <v>0.53220000000000001</v>
      </c>
      <c r="H14" s="35">
        <f>H15-H12-H13</f>
        <v>-3393851</v>
      </c>
      <c r="J14" s="35">
        <f>J15-J12-J13</f>
        <v>-618322</v>
      </c>
      <c r="L14" s="35">
        <f>L15-L12-L13</f>
        <v>6510956</v>
      </c>
      <c r="N14" s="35">
        <f>N15-N12-N13</f>
        <v>-503036493</v>
      </c>
      <c r="P14" s="35">
        <f>P15-P12-P13</f>
        <v>-2493755</v>
      </c>
      <c r="Q14" s="470"/>
      <c r="R14" s="35">
        <f>R15-R12-R13</f>
        <v>10993342</v>
      </c>
      <c r="S14" s="470"/>
      <c r="T14" s="341">
        <f t="shared" si="0"/>
        <v>-492038123</v>
      </c>
      <c r="AC14" s="48"/>
      <c r="AD14" s="45"/>
    </row>
    <row r="15" spans="1:30" ht="30" customHeight="1" thickBot="1" x14ac:dyDescent="0.3">
      <c r="A15" s="143" t="s">
        <v>65</v>
      </c>
      <c r="B15" s="28" t="s">
        <v>66</v>
      </c>
      <c r="C15" s="38">
        <f>SUM(C12:C14)</f>
        <v>3161653586.2301083</v>
      </c>
      <c r="D15" s="36"/>
      <c r="F15" s="37">
        <f>SUM(F12:F14)</f>
        <v>1</v>
      </c>
      <c r="H15" s="38">
        <f>-F55</f>
        <v>-6377023</v>
      </c>
      <c r="J15" s="196">
        <f>'Input Tab'!B9</f>
        <v>-1161823</v>
      </c>
      <c r="L15" s="38">
        <f>'Input Tab'!B10</f>
        <v>12234040</v>
      </c>
      <c r="N15" s="339">
        <f>'Input Tab'!B11</f>
        <v>-945201978</v>
      </c>
      <c r="P15" s="340">
        <f>'Input Tab'!B12</f>
        <v>-4685749</v>
      </c>
      <c r="R15" s="340">
        <f>'Input Tab'!B13</f>
        <v>20656410</v>
      </c>
      <c r="T15" s="342">
        <f t="shared" si="0"/>
        <v>-924536123</v>
      </c>
      <c r="AD15" s="45"/>
    </row>
    <row r="16" spans="1:30" ht="35.1" customHeight="1" thickTop="1" thickBot="1" x14ac:dyDescent="0.3">
      <c r="A16" s="17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76"/>
    </row>
    <row r="17" spans="1:29" ht="35.1" customHeight="1" thickBot="1" x14ac:dyDescent="0.3">
      <c r="A17" s="333"/>
      <c r="T17" s="590"/>
    </row>
    <row r="18" spans="1:29" ht="16.5" thickBot="1" x14ac:dyDescent="0.3">
      <c r="A18" s="651" t="s">
        <v>256</v>
      </c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6"/>
    </row>
    <row r="19" spans="1:29" x14ac:dyDescent="0.25">
      <c r="A19" s="322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4"/>
    </row>
    <row r="20" spans="1:29" x14ac:dyDescent="0.25">
      <c r="A20" s="142"/>
      <c r="B20" s="41"/>
      <c r="C20" s="319"/>
      <c r="D20" s="319"/>
      <c r="E20" s="319"/>
      <c r="F20" s="319"/>
      <c r="G20" s="319"/>
      <c r="H20" s="320"/>
      <c r="I20" s="319"/>
      <c r="J20" s="319"/>
      <c r="K20" s="319"/>
      <c r="L20" s="319" t="s">
        <v>51</v>
      </c>
      <c r="M20" s="319"/>
      <c r="N20" s="319" t="s">
        <v>67</v>
      </c>
      <c r="O20" s="320"/>
      <c r="P20" s="320"/>
      <c r="Q20" s="320"/>
      <c r="R20" s="319"/>
      <c r="S20" s="319"/>
      <c r="T20" s="325" t="s">
        <v>68</v>
      </c>
      <c r="V20" s="34"/>
      <c r="X20" s="33"/>
      <c r="Y20" s="33"/>
    </row>
    <row r="21" spans="1:29" x14ac:dyDescent="0.25">
      <c r="A21" s="142"/>
      <c r="B21" s="41"/>
      <c r="C21" s="319"/>
      <c r="D21" s="319"/>
      <c r="E21" s="319"/>
      <c r="F21" s="319"/>
      <c r="G21" s="319"/>
      <c r="H21" s="319" t="s">
        <v>197</v>
      </c>
      <c r="I21" s="319"/>
      <c r="J21" s="319" t="s">
        <v>197</v>
      </c>
      <c r="K21" s="319"/>
      <c r="L21" s="319" t="s">
        <v>52</v>
      </c>
      <c r="M21" s="319"/>
      <c r="N21" s="319" t="s">
        <v>197</v>
      </c>
      <c r="O21" s="320"/>
      <c r="P21" s="319" t="s">
        <v>67</v>
      </c>
      <c r="Q21" s="320"/>
      <c r="R21" s="319" t="s">
        <v>70</v>
      </c>
      <c r="S21" s="319"/>
      <c r="T21" s="325" t="s">
        <v>71</v>
      </c>
    </row>
    <row r="22" spans="1:29" x14ac:dyDescent="0.25">
      <c r="A22" s="142"/>
      <c r="B22" s="41"/>
      <c r="C22" s="319" t="s">
        <v>198</v>
      </c>
      <c r="D22" s="319"/>
      <c r="E22" s="319"/>
      <c r="F22" s="319" t="s">
        <v>53</v>
      </c>
      <c r="G22" s="319"/>
      <c r="H22" s="319" t="s">
        <v>55</v>
      </c>
      <c r="I22" s="319"/>
      <c r="J22" s="351" t="s">
        <v>54</v>
      </c>
      <c r="K22" s="319"/>
      <c r="L22" s="319" t="s">
        <v>54</v>
      </c>
      <c r="M22" s="319"/>
      <c r="N22" s="319" t="s">
        <v>54</v>
      </c>
      <c r="O22" s="320"/>
      <c r="P22" s="319" t="s">
        <v>53</v>
      </c>
      <c r="Q22" s="320"/>
      <c r="R22" s="319" t="s">
        <v>68</v>
      </c>
      <c r="S22" s="319"/>
      <c r="T22" s="325" t="s">
        <v>72</v>
      </c>
    </row>
    <row r="23" spans="1:29" x14ac:dyDescent="0.25">
      <c r="A23" s="142"/>
      <c r="C23" s="351" t="s">
        <v>292</v>
      </c>
      <c r="D23" s="319"/>
      <c r="E23" s="319"/>
      <c r="F23" s="319" t="s">
        <v>56</v>
      </c>
      <c r="G23" s="319"/>
      <c r="H23" s="319" t="s">
        <v>57</v>
      </c>
      <c r="I23" s="319"/>
      <c r="J23" s="326" t="s">
        <v>257</v>
      </c>
      <c r="K23" s="319"/>
      <c r="L23" s="326" t="s">
        <v>258</v>
      </c>
      <c r="M23" s="319"/>
      <c r="N23" s="326" t="s">
        <v>259</v>
      </c>
      <c r="O23" s="320"/>
      <c r="P23" s="319" t="s">
        <v>56</v>
      </c>
      <c r="Q23" s="320"/>
      <c r="R23" s="319" t="s">
        <v>73</v>
      </c>
      <c r="S23" s="319"/>
      <c r="T23" s="327" t="s">
        <v>260</v>
      </c>
    </row>
    <row r="24" spans="1:29" x14ac:dyDescent="0.25">
      <c r="A24" s="318" t="s">
        <v>199</v>
      </c>
      <c r="C24" s="321">
        <v>-11</v>
      </c>
      <c r="D24" s="319"/>
      <c r="E24" s="319"/>
      <c r="F24" s="321">
        <v>-12</v>
      </c>
      <c r="G24" s="319"/>
      <c r="H24" s="321">
        <v>-13</v>
      </c>
      <c r="I24" s="319"/>
      <c r="J24" s="321">
        <v>-14</v>
      </c>
      <c r="K24" s="319"/>
      <c r="L24" s="321">
        <v>-15</v>
      </c>
      <c r="M24" s="319"/>
      <c r="N24" s="321">
        <v>-16</v>
      </c>
      <c r="O24" s="320"/>
      <c r="P24" s="321">
        <v>-17</v>
      </c>
      <c r="Q24" s="320"/>
      <c r="R24" s="321">
        <v>-18</v>
      </c>
      <c r="S24" s="319"/>
      <c r="T24" s="328">
        <v>-19</v>
      </c>
    </row>
    <row r="25" spans="1:29" ht="30" customHeight="1" x14ac:dyDescent="0.25">
      <c r="A25" s="143" t="s">
        <v>58</v>
      </c>
      <c r="B25" s="28" t="s">
        <v>59</v>
      </c>
      <c r="C25" s="35">
        <f>ROUND('Q1 p.5 - ECC (May)'!F70,0)</f>
        <v>165558569</v>
      </c>
      <c r="D25" s="333" t="s">
        <v>226</v>
      </c>
      <c r="F25" s="42">
        <f>ROUND(C25/$C$28,4)</f>
        <v>4.3099999999999999E-2</v>
      </c>
      <c r="H25" s="345">
        <v>0.82379999999999998</v>
      </c>
      <c r="J25" s="35">
        <f>C25*H25</f>
        <v>136387149.14219999</v>
      </c>
      <c r="L25" s="35">
        <f>T$12</f>
        <v>-39847508</v>
      </c>
      <c r="N25" s="35">
        <f>J25+L25</f>
        <v>96539641.142199993</v>
      </c>
      <c r="P25" s="42">
        <f>ROUND(+N25/$N$28,4)</f>
        <v>4.3200000000000002E-2</v>
      </c>
      <c r="R25" s="201">
        <f>'Q1 p.5 - ECC (May)'!R70</f>
        <v>1.1820000000000001E-2</v>
      </c>
      <c r="T25" s="343">
        <f>ROUND(P25*R25,4)</f>
        <v>5.0000000000000001E-4</v>
      </c>
    </row>
    <row r="26" spans="1:29" ht="30" customHeight="1" x14ac:dyDescent="0.25">
      <c r="A26" s="143" t="s">
        <v>61</v>
      </c>
      <c r="B26" s="28" t="s">
        <v>62</v>
      </c>
      <c r="C26" s="36">
        <f>'Q1 p.5 - ECC (May)'!F54</f>
        <v>1629965613.3575001</v>
      </c>
      <c r="D26" s="333" t="s">
        <v>226</v>
      </c>
      <c r="F26" s="42">
        <f>ROUND(C26/$C$28,4)</f>
        <v>0.42470000000000002</v>
      </c>
      <c r="H26" s="345">
        <f>H25</f>
        <v>0.82379999999999998</v>
      </c>
      <c r="J26" s="35">
        <f t="shared" ref="J26" si="1">C26*H26</f>
        <v>1342765672.2839086</v>
      </c>
      <c r="L26" s="35">
        <f>T$13</f>
        <v>-392650492</v>
      </c>
      <c r="N26" s="35">
        <f t="shared" ref="N26" si="2">J26+L26</f>
        <v>950115180.28390861</v>
      </c>
      <c r="P26" s="42">
        <f>ROUND(+N26/$N$28,4)</f>
        <v>0.42470000000000002</v>
      </c>
      <c r="R26" s="149">
        <f>'Q1 p.5 - ECC (May)'!R54</f>
        <v>4.079E-2</v>
      </c>
      <c r="T26" s="343">
        <f t="shared" ref="T26:T27" si="3">ROUND(P26*R26,4)</f>
        <v>1.7299999999999999E-2</v>
      </c>
    </row>
    <row r="27" spans="1:29" ht="30" customHeight="1" x14ac:dyDescent="0.25">
      <c r="A27" s="143" t="s">
        <v>63</v>
      </c>
      <c r="B27" s="28" t="s">
        <v>64</v>
      </c>
      <c r="C27" s="195">
        <v>2042365580</v>
      </c>
      <c r="F27" s="45">
        <f>ROUND(1-F25-F26,4)</f>
        <v>0.53220000000000001</v>
      </c>
      <c r="H27" s="345">
        <f>H25</f>
        <v>0.82379999999999998</v>
      </c>
      <c r="J27" s="35">
        <f>C27*H27</f>
        <v>1682500764.8039999</v>
      </c>
      <c r="L27" s="35">
        <f>T$14</f>
        <v>-492038123</v>
      </c>
      <c r="M27" s="36"/>
      <c r="N27" s="35">
        <f>J27+L27</f>
        <v>1190462641.8039999</v>
      </c>
      <c r="P27" s="45">
        <f>ROUND(1-P25-P26,4)</f>
        <v>0.53210000000000002</v>
      </c>
      <c r="R27" s="149">
        <v>0.1</v>
      </c>
      <c r="T27" s="343">
        <f t="shared" si="3"/>
        <v>5.3199999999999997E-2</v>
      </c>
    </row>
    <row r="28" spans="1:29" ht="35.25" customHeight="1" thickBot="1" x14ac:dyDescent="0.3">
      <c r="A28" s="143" t="s">
        <v>65</v>
      </c>
      <c r="B28" s="28" t="s">
        <v>66</v>
      </c>
      <c r="C28" s="347">
        <f>SUM(C25:C27)</f>
        <v>3837889762.3575001</v>
      </c>
      <c r="F28" s="348">
        <f>SUM(F25:F27)</f>
        <v>1</v>
      </c>
      <c r="H28" s="334"/>
      <c r="J28" s="349">
        <f>SUM(J25:J27)</f>
        <v>3161653586.2301083</v>
      </c>
      <c r="L28" s="335">
        <f>SUM(L25:L27)</f>
        <v>-924536123</v>
      </c>
      <c r="N28" s="335">
        <f>SUM(N25:N27)</f>
        <v>2237117463.2301083</v>
      </c>
      <c r="P28" s="350">
        <f>SUM(P25:P27)</f>
        <v>1</v>
      </c>
      <c r="T28" s="344">
        <f>SUM(T25:T27)</f>
        <v>7.0999999999999994E-2</v>
      </c>
      <c r="U28" s="27"/>
    </row>
    <row r="29" spans="1:29" ht="35.1" customHeight="1" thickTop="1" thickBot="1" x14ac:dyDescent="0.3">
      <c r="A29" s="143" t="s">
        <v>74</v>
      </c>
      <c r="B29" s="28" t="s">
        <v>75</v>
      </c>
      <c r="T29" s="537">
        <f>ROUND(T28+(T28-T26-T25)*(38.666%/(1-38.666%)),4)</f>
        <v>0.1045</v>
      </c>
    </row>
    <row r="30" spans="1:29" ht="17.25" thickTop="1" thickBot="1" x14ac:dyDescent="0.3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V30" s="27"/>
    </row>
    <row r="32" spans="1:29" ht="16.5" thickBot="1" x14ac:dyDescent="0.3">
      <c r="A32" s="150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316"/>
      <c r="O32" s="316"/>
      <c r="P32" s="151"/>
      <c r="Q32" s="151"/>
      <c r="R32" s="151"/>
      <c r="S32" s="151"/>
      <c r="T32" s="30"/>
      <c r="U32" s="30"/>
      <c r="V32" s="30"/>
      <c r="W32" s="30"/>
      <c r="X32" s="30"/>
      <c r="Y32" s="30"/>
      <c r="Z32" s="31"/>
      <c r="AA32" s="31"/>
      <c r="AB32" s="31"/>
      <c r="AC32" s="31"/>
    </row>
    <row r="33" spans="1:30" ht="18.75" thickBot="1" x14ac:dyDescent="0.45">
      <c r="A33" s="644" t="s">
        <v>88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6"/>
      <c r="U33" s="32"/>
      <c r="V33" s="32"/>
      <c r="W33" s="32"/>
      <c r="X33" s="32"/>
      <c r="Y33" s="32"/>
      <c r="Z33" s="27"/>
    </row>
    <row r="34" spans="1:30" ht="18" x14ac:dyDescent="0.4">
      <c r="A34" s="1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0"/>
      <c r="U34" s="32"/>
      <c r="V34" s="32"/>
      <c r="W34" s="32"/>
      <c r="X34" s="32"/>
      <c r="Y34" s="32"/>
      <c r="Z34" s="27"/>
    </row>
    <row r="35" spans="1:30" x14ac:dyDescent="0.25">
      <c r="A35" s="142"/>
      <c r="B35" s="41"/>
      <c r="C35" s="319"/>
      <c r="D35" s="319"/>
      <c r="E35" s="319"/>
      <c r="F35" s="319"/>
      <c r="G35" s="319"/>
      <c r="H35" s="320"/>
      <c r="I35" s="319"/>
      <c r="J35" s="319"/>
      <c r="K35" s="319"/>
      <c r="L35" s="319" t="s">
        <v>51</v>
      </c>
      <c r="M35" s="319"/>
      <c r="N35" s="319" t="s">
        <v>67</v>
      </c>
      <c r="O35" s="320"/>
      <c r="P35" s="320"/>
      <c r="Q35" s="320"/>
      <c r="R35" s="319"/>
      <c r="S35" s="319"/>
      <c r="T35" s="325" t="s">
        <v>68</v>
      </c>
      <c r="V35" s="34"/>
      <c r="X35" s="33"/>
      <c r="Y35" s="33"/>
    </row>
    <row r="36" spans="1:30" x14ac:dyDescent="0.25">
      <c r="A36" s="142"/>
      <c r="B36" s="41"/>
      <c r="C36" s="319"/>
      <c r="D36" s="319"/>
      <c r="E36" s="319"/>
      <c r="F36" s="319"/>
      <c r="G36" s="319"/>
      <c r="H36" s="319" t="s">
        <v>197</v>
      </c>
      <c r="I36" s="319"/>
      <c r="J36" s="319" t="s">
        <v>197</v>
      </c>
      <c r="K36" s="319"/>
      <c r="L36" s="319" t="s">
        <v>52</v>
      </c>
      <c r="M36" s="319"/>
      <c r="N36" s="319" t="s">
        <v>197</v>
      </c>
      <c r="O36" s="320"/>
      <c r="P36" s="319" t="s">
        <v>67</v>
      </c>
      <c r="Q36" s="320"/>
      <c r="R36" s="319" t="s">
        <v>70</v>
      </c>
      <c r="S36" s="319"/>
      <c r="T36" s="325" t="s">
        <v>71</v>
      </c>
    </row>
    <row r="37" spans="1:30" x14ac:dyDescent="0.25">
      <c r="A37" s="142"/>
      <c r="B37" s="41"/>
      <c r="C37" s="319" t="s">
        <v>198</v>
      </c>
      <c r="D37" s="319"/>
      <c r="E37" s="319"/>
      <c r="F37" s="319" t="s">
        <v>53</v>
      </c>
      <c r="G37" s="319"/>
      <c r="H37" s="319" t="s">
        <v>55</v>
      </c>
      <c r="I37" s="319"/>
      <c r="J37" s="351" t="s">
        <v>54</v>
      </c>
      <c r="K37" s="319"/>
      <c r="L37" s="319" t="s">
        <v>54</v>
      </c>
      <c r="M37" s="319"/>
      <c r="N37" s="319" t="s">
        <v>54</v>
      </c>
      <c r="O37" s="320"/>
      <c r="P37" s="319" t="s">
        <v>53</v>
      </c>
      <c r="Q37" s="320"/>
      <c r="R37" s="319" t="s">
        <v>68</v>
      </c>
      <c r="S37" s="319"/>
      <c r="T37" s="325" t="s">
        <v>72</v>
      </c>
    </row>
    <row r="38" spans="1:30" x14ac:dyDescent="0.25">
      <c r="A38" s="142"/>
      <c r="C38" s="351" t="s">
        <v>292</v>
      </c>
      <c r="D38" s="319"/>
      <c r="E38" s="319"/>
      <c r="F38" s="319" t="s">
        <v>56</v>
      </c>
      <c r="G38" s="319"/>
      <c r="H38" s="319" t="s">
        <v>57</v>
      </c>
      <c r="I38" s="319"/>
      <c r="J38" s="326" t="s">
        <v>257</v>
      </c>
      <c r="K38" s="319"/>
      <c r="L38" s="326" t="s">
        <v>258</v>
      </c>
      <c r="M38" s="319"/>
      <c r="N38" s="326" t="s">
        <v>259</v>
      </c>
      <c r="O38" s="320"/>
      <c r="P38" s="319" t="s">
        <v>56</v>
      </c>
      <c r="Q38" s="320"/>
      <c r="R38" s="319" t="s">
        <v>73</v>
      </c>
      <c r="S38" s="319"/>
      <c r="T38" s="327" t="s">
        <v>260</v>
      </c>
    </row>
    <row r="39" spans="1:30" x14ac:dyDescent="0.25">
      <c r="A39" s="318" t="s">
        <v>199</v>
      </c>
      <c r="C39" s="321">
        <v>-11</v>
      </c>
      <c r="D39" s="319"/>
      <c r="E39" s="319"/>
      <c r="F39" s="321">
        <v>-12</v>
      </c>
      <c r="G39" s="319"/>
      <c r="H39" s="321">
        <v>-13</v>
      </c>
      <c r="I39" s="319"/>
      <c r="J39" s="321">
        <v>-14</v>
      </c>
      <c r="K39" s="319"/>
      <c r="L39" s="321">
        <v>-15</v>
      </c>
      <c r="M39" s="319"/>
      <c r="N39" s="321">
        <v>-16</v>
      </c>
      <c r="O39" s="320"/>
      <c r="P39" s="321">
        <v>-17</v>
      </c>
      <c r="Q39" s="320"/>
      <c r="R39" s="321">
        <v>-18</v>
      </c>
      <c r="S39" s="319"/>
      <c r="T39" s="328">
        <v>-19</v>
      </c>
    </row>
    <row r="40" spans="1:30" ht="30" customHeight="1" x14ac:dyDescent="0.25">
      <c r="A40" s="143" t="s">
        <v>58</v>
      </c>
      <c r="B40" s="28" t="s">
        <v>59</v>
      </c>
      <c r="C40" s="35">
        <f>ROUND('Q1 p.5 - ECC (May)'!F70,0)</f>
        <v>165558569</v>
      </c>
      <c r="D40" s="333" t="s">
        <v>226</v>
      </c>
      <c r="F40" s="42">
        <f>ROUND(C40/$C$28,4)</f>
        <v>4.3099999999999999E-2</v>
      </c>
      <c r="H40" s="345">
        <v>0.82379999999999998</v>
      </c>
      <c r="J40" s="35">
        <f>C40*H40</f>
        <v>136387149.14219999</v>
      </c>
      <c r="L40" s="35">
        <f>T$12</f>
        <v>-39847508</v>
      </c>
      <c r="N40" s="35">
        <f>J40+L40</f>
        <v>96539641.142199993</v>
      </c>
      <c r="P40" s="42">
        <f>ROUND(+N40/$N$43,4)</f>
        <v>4.3200000000000002E-2</v>
      </c>
      <c r="Q40" s="43"/>
      <c r="R40" s="144">
        <f>'Q1 p.5 - ECC (May)'!R70</f>
        <v>1.1820000000000001E-2</v>
      </c>
      <c r="S40" s="43"/>
      <c r="T40" s="145">
        <f>ROUND(+$P$40*$R$40,4)</f>
        <v>5.0000000000000001E-4</v>
      </c>
      <c r="Z40" s="34"/>
      <c r="AC40" s="44"/>
      <c r="AD40" s="45"/>
    </row>
    <row r="41" spans="1:30" ht="30" customHeight="1" x14ac:dyDescent="0.25">
      <c r="A41" s="143" t="s">
        <v>61</v>
      </c>
      <c r="B41" s="28" t="s">
        <v>62</v>
      </c>
      <c r="C41" s="36">
        <f>'Q1 p.5 - ECC (May)'!F54</f>
        <v>1629965613.3575001</v>
      </c>
      <c r="D41" s="333" t="s">
        <v>226</v>
      </c>
      <c r="F41" s="42">
        <f>ROUND(C41/$C$28,4)</f>
        <v>0.42470000000000002</v>
      </c>
      <c r="H41" s="345">
        <f>H40</f>
        <v>0.82379999999999998</v>
      </c>
      <c r="J41" s="35">
        <f t="shared" ref="J41" si="4">C41*H41</f>
        <v>1342765672.2839086</v>
      </c>
      <c r="L41" s="35">
        <f>T$13</f>
        <v>-392650492</v>
      </c>
      <c r="N41" s="35">
        <f t="shared" ref="N41" si="5">J41+L41</f>
        <v>950115180.28390861</v>
      </c>
      <c r="P41" s="42">
        <f>ROUND(+N41/$N$43,4)</f>
        <v>0.42470000000000002</v>
      </c>
      <c r="Q41" s="43"/>
      <c r="R41" s="144">
        <f>'Q1 p.5 - ECC (May)'!R54</f>
        <v>4.079E-2</v>
      </c>
      <c r="S41" s="43"/>
      <c r="T41" s="145">
        <f>ROUND(+$P$41*$R$41,4)</f>
        <v>1.7299999999999999E-2</v>
      </c>
      <c r="W41" s="46"/>
      <c r="X41" s="46"/>
      <c r="Y41" s="46"/>
      <c r="Z41" s="46"/>
      <c r="AB41" s="46"/>
      <c r="AC41" s="44"/>
      <c r="AD41" s="45"/>
    </row>
    <row r="42" spans="1:30" ht="30" customHeight="1" x14ac:dyDescent="0.25">
      <c r="A42" s="143" t="s">
        <v>63</v>
      </c>
      <c r="B42" s="28" t="s">
        <v>64</v>
      </c>
      <c r="C42" s="195">
        <v>2042365580</v>
      </c>
      <c r="F42" s="45">
        <f>ROUND(1-F40-F41,4)</f>
        <v>0.53220000000000001</v>
      </c>
      <c r="H42" s="471">
        <f>H40</f>
        <v>0.82379999999999998</v>
      </c>
      <c r="J42" s="35">
        <f>C42*H42</f>
        <v>1682500764.8039999</v>
      </c>
      <c r="L42" s="35">
        <f>T$14</f>
        <v>-492038123</v>
      </c>
      <c r="N42" s="35">
        <f>J42+L42</f>
        <v>1190462641.8039999</v>
      </c>
      <c r="P42" s="45">
        <f>ROUND(1-P40-P41,4)</f>
        <v>0.53210000000000002</v>
      </c>
      <c r="Q42" s="43"/>
      <c r="R42" s="201">
        <v>9.8000000000000004E-2</v>
      </c>
      <c r="S42" s="43"/>
      <c r="T42" s="154">
        <f>ROUND(+$P$42*$R$42,4)</f>
        <v>5.21E-2</v>
      </c>
      <c r="AC42" s="48"/>
      <c r="AD42" s="45"/>
    </row>
    <row r="43" spans="1:30" ht="30" customHeight="1" thickBot="1" x14ac:dyDescent="0.3">
      <c r="A43" s="143" t="s">
        <v>65</v>
      </c>
      <c r="B43" s="28" t="s">
        <v>66</v>
      </c>
      <c r="C43" s="38">
        <f>SUM(C40:C42)</f>
        <v>3837889762.3575001</v>
      </c>
      <c r="D43" s="36"/>
      <c r="F43" s="49">
        <f>SUM(F40:F42)</f>
        <v>1</v>
      </c>
      <c r="H43"/>
      <c r="J43" s="38">
        <f>SUM(J40:J42)</f>
        <v>3161653586.2301083</v>
      </c>
      <c r="L43" s="38">
        <f>SUM(L40:L42)</f>
        <v>-924536123</v>
      </c>
      <c r="N43" s="335">
        <f>SUM(N40:N42)</f>
        <v>2237117463.2301083</v>
      </c>
      <c r="P43" s="350">
        <f>SUM(P40:P42)</f>
        <v>1</v>
      </c>
      <c r="R43" s="45"/>
      <c r="T43" s="155">
        <f>ROUND(SUM(T40:T42),4)</f>
        <v>6.9900000000000004E-2</v>
      </c>
      <c r="AD43" s="45"/>
    </row>
    <row r="44" spans="1:30" ht="35.1" customHeight="1" thickTop="1" thickBot="1" x14ac:dyDescent="0.3">
      <c r="A44" s="175" t="s">
        <v>74</v>
      </c>
      <c r="B44" s="147" t="s">
        <v>75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76">
        <f>ROUND(T43+(T43-T41-T40)*(38.666%/(1-38.666%)),4)</f>
        <v>0.1027</v>
      </c>
    </row>
    <row r="46" spans="1:30" x14ac:dyDescent="0.25">
      <c r="A46" s="28" t="s">
        <v>60</v>
      </c>
      <c r="B46" s="152" t="str">
        <f>"Trimble County Inventories"</f>
        <v>Trimble County Inventories</v>
      </c>
      <c r="C46" s="28" t="str">
        <f>A3</f>
        <v>As of May 31, 2017</v>
      </c>
    </row>
    <row r="47" spans="1:30" x14ac:dyDescent="0.25">
      <c r="B47" s="28" t="s">
        <v>239</v>
      </c>
      <c r="F47" s="337">
        <v>11604154</v>
      </c>
    </row>
    <row r="48" spans="1:30" x14ac:dyDescent="0.25">
      <c r="B48" s="28" t="s">
        <v>240</v>
      </c>
      <c r="F48" s="28">
        <v>2376561</v>
      </c>
    </row>
    <row r="49" spans="1:18" x14ac:dyDescent="0.25">
      <c r="B49" s="28" t="s">
        <v>241</v>
      </c>
      <c r="F49" s="28">
        <v>11257015</v>
      </c>
      <c r="L49" s="50"/>
      <c r="P49" s="51"/>
      <c r="R49" s="52"/>
    </row>
    <row r="50" spans="1:18" x14ac:dyDescent="0.25">
      <c r="B50" s="28" t="s">
        <v>242</v>
      </c>
      <c r="F50" s="28">
        <v>188957</v>
      </c>
      <c r="L50" s="50"/>
      <c r="P50" s="51"/>
    </row>
    <row r="51" spans="1:18" x14ac:dyDescent="0.25">
      <c r="B51" s="28" t="s">
        <v>243</v>
      </c>
      <c r="F51" s="28">
        <v>81374</v>
      </c>
    </row>
    <row r="52" spans="1:18" x14ac:dyDescent="0.25">
      <c r="B52" s="28" t="s">
        <v>244</v>
      </c>
      <c r="F52" s="28">
        <v>30</v>
      </c>
    </row>
    <row r="53" spans="1:18" x14ac:dyDescent="0.25">
      <c r="B53" s="28" t="s">
        <v>245</v>
      </c>
      <c r="F53" s="376">
        <f>SUM(F47:F52)</f>
        <v>25508091</v>
      </c>
    </row>
    <row r="54" spans="1:18" x14ac:dyDescent="0.25">
      <c r="B54" s="28" t="s">
        <v>246</v>
      </c>
      <c r="F54" s="336">
        <v>0.25</v>
      </c>
    </row>
    <row r="55" spans="1:18" ht="16.5" thickBot="1" x14ac:dyDescent="0.3">
      <c r="B55" s="28" t="s">
        <v>247</v>
      </c>
      <c r="F55" s="339">
        <f>ROUND(+F53*F54,0)</f>
        <v>6377023</v>
      </c>
    </row>
    <row r="56" spans="1:18" ht="16.5" thickTop="1" x14ac:dyDescent="0.25"/>
    <row r="57" spans="1:18" x14ac:dyDescent="0.25">
      <c r="A57" s="28" t="s">
        <v>248</v>
      </c>
      <c r="B57" s="28" t="s">
        <v>249</v>
      </c>
    </row>
    <row r="59" spans="1:18" x14ac:dyDescent="0.25">
      <c r="A59" s="28" t="s">
        <v>226</v>
      </c>
      <c r="B59" s="28" t="s">
        <v>250</v>
      </c>
    </row>
  </sheetData>
  <mergeCells count="4">
    <mergeCell ref="A33:T33"/>
    <mergeCell ref="A4:T4"/>
    <mergeCell ref="A5:T5"/>
    <mergeCell ref="A18:T18"/>
  </mergeCells>
  <printOptions horizontalCentered="1"/>
  <pageMargins left="0.32" right="0.33" top="0.75" bottom="0.5" header="0.5" footer="0"/>
  <pageSetup scale="39" firstPageNumber="2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D59"/>
  <sheetViews>
    <sheetView topLeftCell="A2" zoomScale="80" zoomScaleNormal="80" workbookViewId="0">
      <selection activeCell="F36" sqref="F36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9.832031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33.1640625" style="28" bestFit="1" customWidth="1"/>
    <col min="15" max="15" width="2.6640625" style="28" customWidth="1"/>
    <col min="16" max="16" width="22.1640625" style="28" customWidth="1"/>
    <col min="17" max="17" width="2.6640625" style="28" customWidth="1"/>
    <col min="18" max="18" width="22.1640625" style="28" customWidth="1"/>
    <col min="19" max="19" width="2.1640625" style="28" customWidth="1"/>
    <col min="20" max="20" width="22.1640625" style="28" customWidth="1"/>
    <col min="21" max="22" width="2.1640625" style="28" customWidth="1"/>
    <col min="23" max="23" width="22.1640625" style="28" customWidth="1"/>
    <col min="24" max="24" width="2.6640625" style="28" customWidth="1"/>
    <col min="25" max="25" width="21.33203125" style="28" customWidth="1"/>
    <col min="26" max="26" width="2.83203125" style="28" customWidth="1"/>
    <col min="27" max="27" width="19.1640625" style="28" customWidth="1"/>
    <col min="28" max="28" width="3.33203125" style="28" customWidth="1"/>
    <col min="29" max="29" width="21.1640625" style="28" customWidth="1"/>
    <col min="30" max="16384" width="20.83203125" style="28"/>
  </cols>
  <sheetData>
    <row r="1" spans="1:30" x14ac:dyDescent="0.25">
      <c r="A1" s="60" t="str">
        <f>'Input Tab'!B2</f>
        <v>Louisville Gas &amp; Electric Company</v>
      </c>
      <c r="T1" s="62" t="s">
        <v>341</v>
      </c>
    </row>
    <row r="2" spans="1:30" x14ac:dyDescent="0.25">
      <c r="A2" s="60" t="s">
        <v>137</v>
      </c>
      <c r="T2" s="62" t="s">
        <v>327</v>
      </c>
    </row>
    <row r="3" spans="1:30" x14ac:dyDescent="0.25">
      <c r="A3" s="317" t="s">
        <v>270</v>
      </c>
      <c r="T3" s="64" t="str">
        <f>'Q1 p.2 - Rate of Return Adj'!I3</f>
        <v>Rahn/Metts</v>
      </c>
    </row>
    <row r="4" spans="1:30" ht="16.5" thickBot="1" x14ac:dyDescent="0.3">
      <c r="A4" s="647"/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</row>
    <row r="5" spans="1:30" ht="16.5" thickBot="1" x14ac:dyDescent="0.3">
      <c r="A5" s="648" t="s">
        <v>255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50"/>
      <c r="U5" s="29"/>
      <c r="V5" s="30"/>
      <c r="W5" s="30"/>
      <c r="X5" s="30"/>
      <c r="Y5" s="30"/>
      <c r="Z5" s="31"/>
      <c r="AA5" s="31"/>
      <c r="AB5" s="31"/>
      <c r="AC5" s="31"/>
    </row>
    <row r="6" spans="1:30" x14ac:dyDescent="0.25">
      <c r="A6" s="586"/>
      <c r="B6" s="587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9"/>
      <c r="U6" s="29"/>
      <c r="V6" s="30"/>
      <c r="W6" s="30"/>
      <c r="X6" s="30"/>
      <c r="Y6" s="30"/>
      <c r="Z6" s="31"/>
      <c r="AA6" s="31"/>
      <c r="AB6" s="31"/>
      <c r="AC6" s="31"/>
    </row>
    <row r="7" spans="1:30" x14ac:dyDescent="0.25">
      <c r="A7" s="139"/>
      <c r="C7" s="319"/>
      <c r="D7" s="319"/>
      <c r="E7" s="319"/>
      <c r="F7" s="320"/>
      <c r="G7" s="319"/>
      <c r="H7" s="346"/>
      <c r="I7" s="319"/>
      <c r="J7" s="346"/>
      <c r="K7" s="319"/>
      <c r="L7" s="346"/>
      <c r="M7" s="319"/>
      <c r="N7" s="319" t="s">
        <v>69</v>
      </c>
      <c r="O7" s="319"/>
      <c r="P7" s="319"/>
      <c r="Q7" s="319"/>
      <c r="R7" s="319" t="s">
        <v>228</v>
      </c>
      <c r="S7" s="320"/>
      <c r="T7" s="325" t="s">
        <v>100</v>
      </c>
      <c r="Z7" s="27"/>
      <c r="AD7" s="34"/>
    </row>
    <row r="8" spans="1:30" x14ac:dyDescent="0.25">
      <c r="A8" s="139"/>
      <c r="C8" s="319" t="s">
        <v>197</v>
      </c>
      <c r="D8" s="319"/>
      <c r="E8" s="319"/>
      <c r="F8" s="319"/>
      <c r="G8" s="319"/>
      <c r="H8" s="319" t="s">
        <v>229</v>
      </c>
      <c r="I8" s="319"/>
      <c r="J8" s="319" t="s">
        <v>230</v>
      </c>
      <c r="K8" s="319"/>
      <c r="L8" s="319"/>
      <c r="M8" s="319"/>
      <c r="N8" s="319" t="s">
        <v>231</v>
      </c>
      <c r="O8" s="319"/>
      <c r="P8" s="319" t="s">
        <v>232</v>
      </c>
      <c r="Q8" s="319"/>
      <c r="R8" s="319" t="s">
        <v>233</v>
      </c>
      <c r="S8" s="320"/>
      <c r="T8" s="325" t="s">
        <v>51</v>
      </c>
      <c r="Z8" s="27"/>
      <c r="AC8" s="34"/>
      <c r="AD8" s="34"/>
    </row>
    <row r="9" spans="1:30" ht="18" x14ac:dyDescent="0.4">
      <c r="A9" s="139"/>
      <c r="C9" s="319" t="s">
        <v>54</v>
      </c>
      <c r="D9" s="319"/>
      <c r="E9" s="319"/>
      <c r="F9" s="319" t="s">
        <v>53</v>
      </c>
      <c r="G9" s="320"/>
      <c r="H9" s="319" t="s">
        <v>234</v>
      </c>
      <c r="I9" s="319"/>
      <c r="J9" s="319" t="s">
        <v>235</v>
      </c>
      <c r="K9" s="319"/>
      <c r="L9" s="319" t="s">
        <v>236</v>
      </c>
      <c r="M9" s="319"/>
      <c r="N9" s="319" t="s">
        <v>55</v>
      </c>
      <c r="O9" s="319"/>
      <c r="P9" s="319" t="s">
        <v>55</v>
      </c>
      <c r="Q9" s="319"/>
      <c r="R9" s="47" t="s">
        <v>237</v>
      </c>
      <c r="S9" s="320"/>
      <c r="T9" s="325" t="s">
        <v>238</v>
      </c>
      <c r="Z9" s="39"/>
      <c r="AC9" s="34"/>
      <c r="AD9" s="40"/>
    </row>
    <row r="10" spans="1:30" x14ac:dyDescent="0.25">
      <c r="A10" s="141"/>
      <c r="B10" s="41"/>
      <c r="C10" s="326" t="s">
        <v>261</v>
      </c>
      <c r="D10" s="319"/>
      <c r="E10" s="319"/>
      <c r="F10" s="319" t="s">
        <v>56</v>
      </c>
      <c r="G10" s="42"/>
      <c r="H10" s="326" t="s">
        <v>262</v>
      </c>
      <c r="I10" s="319"/>
      <c r="J10" s="326" t="s">
        <v>263</v>
      </c>
      <c r="K10" s="319"/>
      <c r="L10" s="326" t="s">
        <v>264</v>
      </c>
      <c r="M10" s="319"/>
      <c r="N10" s="326" t="s">
        <v>265</v>
      </c>
      <c r="O10" s="319"/>
      <c r="P10" s="326" t="s">
        <v>266</v>
      </c>
      <c r="Q10" s="319"/>
      <c r="R10" s="326" t="s">
        <v>267</v>
      </c>
      <c r="S10" s="320"/>
      <c r="T10" s="327" t="s">
        <v>268</v>
      </c>
      <c r="Z10" s="34"/>
      <c r="AC10" s="34"/>
      <c r="AD10" s="40"/>
    </row>
    <row r="11" spans="1:30" x14ac:dyDescent="0.25">
      <c r="A11" s="142"/>
      <c r="B11" s="41"/>
      <c r="C11" s="321"/>
      <c r="D11" s="319"/>
      <c r="E11" s="319"/>
      <c r="F11" s="321">
        <v>-1</v>
      </c>
      <c r="G11" s="42"/>
      <c r="H11" s="321">
        <v>-2</v>
      </c>
      <c r="I11" s="319"/>
      <c r="J11" s="321">
        <v>-3</v>
      </c>
      <c r="K11" s="319"/>
      <c r="L11" s="321">
        <v>-4</v>
      </c>
      <c r="M11" s="319"/>
      <c r="N11" s="321">
        <v>-5</v>
      </c>
      <c r="O11" s="319"/>
      <c r="P11" s="321">
        <v>-6</v>
      </c>
      <c r="Q11" s="319"/>
      <c r="R11" s="321">
        <v>-7</v>
      </c>
      <c r="S11" s="320"/>
      <c r="T11" s="328">
        <v>-8</v>
      </c>
      <c r="Z11" s="34"/>
      <c r="AC11" s="34"/>
      <c r="AD11" s="34"/>
    </row>
    <row r="12" spans="1:30" ht="30" customHeight="1" x14ac:dyDescent="0.25">
      <c r="A12" s="143" t="s">
        <v>58</v>
      </c>
      <c r="B12" s="28" t="s">
        <v>59</v>
      </c>
      <c r="C12" s="28">
        <f>J25</f>
        <v>147775319.11924797</v>
      </c>
      <c r="D12" s="36"/>
      <c r="F12" s="42">
        <f>ROUND(C12/$C$15,4)</f>
        <v>4.6100000000000002E-2</v>
      </c>
      <c r="H12" s="35">
        <f>ROUND(+F12*$H$15,0)</f>
        <v>-278327</v>
      </c>
      <c r="J12" s="35">
        <f>ROUND(+F12*$J$15,0)</f>
        <v>-53560</v>
      </c>
      <c r="L12" s="35">
        <f>ROUND(+F12*$L$15,0)</f>
        <v>557235</v>
      </c>
      <c r="M12" s="34"/>
      <c r="N12" s="35">
        <f>ROUND(+F12*$N$15,0)</f>
        <v>-45619411</v>
      </c>
      <c r="O12" s="608"/>
      <c r="P12" s="35">
        <f>ROUND(+F12*$P$15,0)</f>
        <v>-214169</v>
      </c>
      <c r="Q12" s="470"/>
      <c r="R12" s="35">
        <f>ROUND(+F12*$R$15,0)</f>
        <v>946693</v>
      </c>
      <c r="S12" s="470"/>
      <c r="T12" s="341">
        <f>SUM(H12:R12)</f>
        <v>-44661539</v>
      </c>
      <c r="Z12" s="34"/>
      <c r="AC12" s="44"/>
      <c r="AD12" s="45"/>
    </row>
    <row r="13" spans="1:30" ht="30" customHeight="1" x14ac:dyDescent="0.25">
      <c r="A13" s="143" t="s">
        <v>61</v>
      </c>
      <c r="B13" s="28" t="s">
        <v>62</v>
      </c>
      <c r="C13" s="28">
        <f>J26</f>
        <v>1342784616.6002486</v>
      </c>
      <c r="D13" s="36"/>
      <c r="F13" s="42">
        <f>ROUND(C13/$C$15,4)</f>
        <v>0.41899999999999998</v>
      </c>
      <c r="H13" s="35">
        <f>ROUND(+F13*$H$15,0)</f>
        <v>-2529694</v>
      </c>
      <c r="J13" s="35">
        <f>ROUND(+F13*$J$15,0)</f>
        <v>-486804</v>
      </c>
      <c r="L13" s="35">
        <f>ROUND(+F13*$L$15,0)</f>
        <v>5064676</v>
      </c>
      <c r="M13" s="34"/>
      <c r="N13" s="35">
        <f>ROUND(+F13*$N$15,0)</f>
        <v>-414631959</v>
      </c>
      <c r="O13" s="608"/>
      <c r="P13" s="35">
        <f>ROUND(+F13*$P$15,0)</f>
        <v>-1946572</v>
      </c>
      <c r="Q13" s="470"/>
      <c r="R13" s="35">
        <f>ROUND(+F13*$R$15,0)</f>
        <v>8604437</v>
      </c>
      <c r="S13" s="470"/>
      <c r="T13" s="341">
        <f t="shared" ref="T13:T15" si="0">SUM(H13:R13)</f>
        <v>-405925916</v>
      </c>
      <c r="W13" s="46"/>
      <c r="X13" s="46"/>
      <c r="Y13" s="46"/>
      <c r="Z13" s="46"/>
      <c r="AB13" s="46"/>
      <c r="AC13" s="44"/>
      <c r="AD13" s="45"/>
    </row>
    <row r="14" spans="1:30" ht="30" customHeight="1" x14ac:dyDescent="0.25">
      <c r="A14" s="143" t="s">
        <v>63</v>
      </c>
      <c r="B14" s="28" t="s">
        <v>64</v>
      </c>
      <c r="C14" s="375">
        <f>J27</f>
        <v>1714127079.4823999</v>
      </c>
      <c r="D14" s="36"/>
      <c r="F14" s="45">
        <f>ROUND(1-F12-F13,4)</f>
        <v>0.53490000000000004</v>
      </c>
      <c r="H14" s="35">
        <f>H15-H12-H13</f>
        <v>-3229436</v>
      </c>
      <c r="J14" s="35">
        <f>J15-J12-J13</f>
        <v>-621459</v>
      </c>
      <c r="L14" s="35">
        <f>L15-L12-L13</f>
        <v>6465621</v>
      </c>
      <c r="N14" s="35">
        <f>N15-N12-N13</f>
        <v>-529323711</v>
      </c>
      <c r="O14" s="36"/>
      <c r="P14" s="35">
        <f>P15-P12-P13</f>
        <v>-2485015</v>
      </c>
      <c r="Q14" s="470"/>
      <c r="R14" s="35">
        <f>R15-R12-R13</f>
        <v>10984519</v>
      </c>
      <c r="S14" s="470"/>
      <c r="T14" s="341">
        <f t="shared" si="0"/>
        <v>-518209481</v>
      </c>
      <c r="AC14" s="48"/>
      <c r="AD14" s="45"/>
    </row>
    <row r="15" spans="1:30" ht="30" customHeight="1" thickBot="1" x14ac:dyDescent="0.3">
      <c r="A15" s="143" t="s">
        <v>65</v>
      </c>
      <c r="B15" s="28" t="s">
        <v>66</v>
      </c>
      <c r="C15" s="38">
        <f>SUM(C12:C14)</f>
        <v>3204687015.2018967</v>
      </c>
      <c r="D15" s="36"/>
      <c r="F15" s="37">
        <f>SUM(F12:F14)</f>
        <v>1</v>
      </c>
      <c r="H15" s="38">
        <f>-F55</f>
        <v>-6037457</v>
      </c>
      <c r="J15" s="196">
        <f>'Input Tab'!B9</f>
        <v>-1161823</v>
      </c>
      <c r="L15" s="38">
        <v>12087532</v>
      </c>
      <c r="N15" s="609">
        <v>-989575081</v>
      </c>
      <c r="O15" s="36"/>
      <c r="P15" s="340">
        <v>-4645756</v>
      </c>
      <c r="Q15" s="36"/>
      <c r="R15" s="340">
        <v>20535649</v>
      </c>
      <c r="S15" s="36"/>
      <c r="T15" s="342">
        <f t="shared" si="0"/>
        <v>-968796936</v>
      </c>
      <c r="AD15" s="45"/>
    </row>
    <row r="16" spans="1:30" ht="35.1" customHeight="1" thickTop="1" thickBot="1" x14ac:dyDescent="0.3">
      <c r="A16" s="17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610"/>
      <c r="O16" s="610"/>
      <c r="P16" s="610"/>
      <c r="Q16" s="610"/>
      <c r="R16" s="610"/>
      <c r="S16" s="610"/>
      <c r="T16" s="176"/>
    </row>
    <row r="17" spans="1:29" ht="35.1" customHeight="1" thickBot="1" x14ac:dyDescent="0.3">
      <c r="A17" s="333"/>
      <c r="T17" s="590"/>
    </row>
    <row r="18" spans="1:29" ht="16.5" thickBot="1" x14ac:dyDescent="0.3">
      <c r="A18" s="651" t="s">
        <v>256</v>
      </c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6"/>
    </row>
    <row r="19" spans="1:29" x14ac:dyDescent="0.25">
      <c r="A19" s="322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4"/>
    </row>
    <row r="20" spans="1:29" x14ac:dyDescent="0.25">
      <c r="A20" s="142"/>
      <c r="B20" s="41"/>
      <c r="C20" s="319"/>
      <c r="D20" s="319"/>
      <c r="E20" s="319"/>
      <c r="F20" s="319"/>
      <c r="G20" s="319"/>
      <c r="H20" s="320"/>
      <c r="I20" s="319"/>
      <c r="J20" s="319"/>
      <c r="K20" s="319"/>
      <c r="L20" s="319" t="s">
        <v>51</v>
      </c>
      <c r="M20" s="319"/>
      <c r="N20" s="319" t="s">
        <v>67</v>
      </c>
      <c r="O20" s="320"/>
      <c r="P20" s="320"/>
      <c r="Q20" s="320"/>
      <c r="R20" s="319"/>
      <c r="S20" s="319"/>
      <c r="T20" s="325" t="s">
        <v>68</v>
      </c>
      <c r="V20" s="34"/>
      <c r="X20" s="33"/>
      <c r="Y20" s="33"/>
    </row>
    <row r="21" spans="1:29" x14ac:dyDescent="0.25">
      <c r="A21" s="142"/>
      <c r="B21" s="41"/>
      <c r="C21" s="319"/>
      <c r="D21" s="319"/>
      <c r="E21" s="319"/>
      <c r="F21" s="319"/>
      <c r="G21" s="319"/>
      <c r="H21" s="319" t="s">
        <v>197</v>
      </c>
      <c r="I21" s="319"/>
      <c r="J21" s="319" t="s">
        <v>197</v>
      </c>
      <c r="K21" s="319"/>
      <c r="L21" s="319" t="s">
        <v>52</v>
      </c>
      <c r="M21" s="319"/>
      <c r="N21" s="319" t="s">
        <v>197</v>
      </c>
      <c r="O21" s="320"/>
      <c r="P21" s="319" t="s">
        <v>67</v>
      </c>
      <c r="Q21" s="320"/>
      <c r="R21" s="319" t="s">
        <v>70</v>
      </c>
      <c r="S21" s="319"/>
      <c r="T21" s="325" t="s">
        <v>71</v>
      </c>
    </row>
    <row r="22" spans="1:29" x14ac:dyDescent="0.25">
      <c r="A22" s="142"/>
      <c r="B22" s="41"/>
      <c r="C22" s="319" t="s">
        <v>198</v>
      </c>
      <c r="D22" s="319"/>
      <c r="E22" s="319"/>
      <c r="F22" s="319" t="s">
        <v>53</v>
      </c>
      <c r="G22" s="319"/>
      <c r="H22" s="319" t="s">
        <v>55</v>
      </c>
      <c r="I22" s="319"/>
      <c r="J22" s="351" t="s">
        <v>54</v>
      </c>
      <c r="K22" s="319"/>
      <c r="L22" s="319" t="s">
        <v>54</v>
      </c>
      <c r="M22" s="319"/>
      <c r="N22" s="319" t="s">
        <v>54</v>
      </c>
      <c r="O22" s="320"/>
      <c r="P22" s="319" t="s">
        <v>53</v>
      </c>
      <c r="Q22" s="320"/>
      <c r="R22" s="319" t="s">
        <v>68</v>
      </c>
      <c r="S22" s="319"/>
      <c r="T22" s="325" t="s">
        <v>72</v>
      </c>
    </row>
    <row r="23" spans="1:29" x14ac:dyDescent="0.25">
      <c r="A23" s="142"/>
      <c r="C23" s="351" t="s">
        <v>294</v>
      </c>
      <c r="D23" s="319"/>
      <c r="E23" s="319"/>
      <c r="F23" s="319" t="s">
        <v>56</v>
      </c>
      <c r="G23" s="319"/>
      <c r="H23" s="319" t="s">
        <v>57</v>
      </c>
      <c r="I23" s="319"/>
      <c r="J23" s="326" t="s">
        <v>257</v>
      </c>
      <c r="K23" s="319"/>
      <c r="L23" s="326" t="s">
        <v>258</v>
      </c>
      <c r="M23" s="319"/>
      <c r="N23" s="326" t="s">
        <v>259</v>
      </c>
      <c r="O23" s="320"/>
      <c r="P23" s="319" t="s">
        <v>56</v>
      </c>
      <c r="Q23" s="320"/>
      <c r="R23" s="319" t="s">
        <v>73</v>
      </c>
      <c r="S23" s="319"/>
      <c r="T23" s="327" t="s">
        <v>260</v>
      </c>
    </row>
    <row r="24" spans="1:29" x14ac:dyDescent="0.25">
      <c r="A24" s="318" t="s">
        <v>199</v>
      </c>
      <c r="C24" s="321">
        <v>-11</v>
      </c>
      <c r="D24" s="319"/>
      <c r="E24" s="319"/>
      <c r="F24" s="321">
        <v>-12</v>
      </c>
      <c r="G24" s="319"/>
      <c r="H24" s="321">
        <v>-13</v>
      </c>
      <c r="I24" s="319"/>
      <c r="J24" s="321">
        <v>-14</v>
      </c>
      <c r="K24" s="319"/>
      <c r="L24" s="321">
        <v>-15</v>
      </c>
      <c r="M24" s="319"/>
      <c r="N24" s="321">
        <v>-16</v>
      </c>
      <c r="O24" s="320"/>
      <c r="P24" s="321">
        <v>-17</v>
      </c>
      <c r="Q24" s="320"/>
      <c r="R24" s="321">
        <v>-18</v>
      </c>
      <c r="S24" s="319"/>
      <c r="T24" s="328">
        <v>-19</v>
      </c>
    </row>
    <row r="25" spans="1:29" ht="30" customHeight="1" x14ac:dyDescent="0.25">
      <c r="A25" s="143" t="s">
        <v>58</v>
      </c>
      <c r="B25" s="28" t="s">
        <v>59</v>
      </c>
      <c r="C25" s="35">
        <f>'Q1 p.6 - ECC (Aug)'!F70</f>
        <v>179382518.95999998</v>
      </c>
      <c r="D25" s="333" t="s">
        <v>226</v>
      </c>
      <c r="F25" s="42">
        <f>ROUND(C25/$C$28,4)</f>
        <v>4.6100000000000002E-2</v>
      </c>
      <c r="H25" s="345">
        <v>0.82379999999999998</v>
      </c>
      <c r="J25" s="35">
        <f>C25*H25</f>
        <v>147775319.11924797</v>
      </c>
      <c r="L25" s="35">
        <f>T12</f>
        <v>-44661539</v>
      </c>
      <c r="N25" s="35">
        <f>J25+L25</f>
        <v>103113780.11924797</v>
      </c>
      <c r="P25" s="42">
        <f>ROUND(+N25/$N$28,4)</f>
        <v>4.6100000000000002E-2</v>
      </c>
      <c r="R25" s="201">
        <f>'Q1 p.6 - ECC (Aug)'!R70</f>
        <v>1.29E-2</v>
      </c>
      <c r="T25" s="343">
        <f>ROUND(P25*R25,4)</f>
        <v>5.9999999999999995E-4</v>
      </c>
    </row>
    <row r="26" spans="1:29" ht="30" customHeight="1" x14ac:dyDescent="0.25">
      <c r="A26" s="143" t="s">
        <v>61</v>
      </c>
      <c r="B26" s="28" t="s">
        <v>62</v>
      </c>
      <c r="C26" s="36">
        <f>'Q1 p.6 - ECC (Aug)'!F54</f>
        <v>1629988609.6142857</v>
      </c>
      <c r="D26" s="333" t="s">
        <v>226</v>
      </c>
      <c r="F26" s="42">
        <f>ROUND(C26/$C$28,4)</f>
        <v>0.41899999999999998</v>
      </c>
      <c r="H26" s="345">
        <f>H25</f>
        <v>0.82379999999999998</v>
      </c>
      <c r="J26" s="35">
        <f t="shared" ref="J26" si="1">C26*H26</f>
        <v>1342784616.6002486</v>
      </c>
      <c r="L26" s="35">
        <f>T13</f>
        <v>-405925916</v>
      </c>
      <c r="N26" s="35">
        <f t="shared" ref="N26" si="2">J26+L26</f>
        <v>936858700.60024858</v>
      </c>
      <c r="P26" s="42">
        <f>ROUND(+N26/$N$28,4)</f>
        <v>0.41899999999999998</v>
      </c>
      <c r="R26" s="149">
        <f>'Q1 p.6 - ECC (Aug)'!R54</f>
        <v>4.0529999999999997E-2</v>
      </c>
      <c r="T26" s="343">
        <f t="shared" ref="T26:T27" si="3">ROUND(P26*R26,4)</f>
        <v>1.7000000000000001E-2</v>
      </c>
    </row>
    <row r="27" spans="1:29" ht="30" customHeight="1" x14ac:dyDescent="0.25">
      <c r="A27" s="143" t="s">
        <v>63</v>
      </c>
      <c r="B27" s="28" t="s">
        <v>64</v>
      </c>
      <c r="C27" s="195">
        <v>2080756348</v>
      </c>
      <c r="F27" s="45">
        <f>ROUND(1-F25-F26,4)</f>
        <v>0.53490000000000004</v>
      </c>
      <c r="H27" s="345">
        <f>H25</f>
        <v>0.82379999999999998</v>
      </c>
      <c r="J27" s="35">
        <f>C27*H27</f>
        <v>1714127079.4823999</v>
      </c>
      <c r="L27" s="35">
        <f>T14</f>
        <v>-518209481</v>
      </c>
      <c r="M27" s="36"/>
      <c r="N27" s="35">
        <f>J27+L27</f>
        <v>1195917598.4823999</v>
      </c>
      <c r="P27" s="45">
        <f>ROUND(1-P25-P26,4)</f>
        <v>0.53490000000000004</v>
      </c>
      <c r="R27" s="149">
        <v>9.7000000000000003E-2</v>
      </c>
      <c r="T27" s="343">
        <f t="shared" si="3"/>
        <v>5.1900000000000002E-2</v>
      </c>
    </row>
    <row r="28" spans="1:29" ht="35.25" customHeight="1" thickBot="1" x14ac:dyDescent="0.3">
      <c r="A28" s="143" t="s">
        <v>65</v>
      </c>
      <c r="B28" s="28" t="s">
        <v>66</v>
      </c>
      <c r="C28" s="347">
        <f>SUM(C25:C27)</f>
        <v>3890127476.5742855</v>
      </c>
      <c r="F28" s="348">
        <f>SUM(F25:F27)</f>
        <v>1</v>
      </c>
      <c r="H28" s="334"/>
      <c r="J28" s="349">
        <f>SUM(J25:J27)</f>
        <v>3204687015.2018967</v>
      </c>
      <c r="L28" s="335">
        <f>SUM(L25:L27)</f>
        <v>-968796936</v>
      </c>
      <c r="N28" s="335">
        <f>SUM(N25:N27)</f>
        <v>2235890079.2018967</v>
      </c>
      <c r="P28" s="350">
        <f>SUM(P25:P27)</f>
        <v>1</v>
      </c>
      <c r="T28" s="344">
        <f>SUM(T25:T27)</f>
        <v>6.9500000000000006E-2</v>
      </c>
      <c r="U28" s="27"/>
    </row>
    <row r="29" spans="1:29" ht="35.1" customHeight="1" thickTop="1" thickBot="1" x14ac:dyDescent="0.3">
      <c r="A29" s="143" t="s">
        <v>74</v>
      </c>
      <c r="B29" s="28" t="s">
        <v>75</v>
      </c>
      <c r="T29" s="537">
        <f>ROUND(T28+(T28-T26-T25)*(38.666%/(1-38.666%)),4)</f>
        <v>0.1022</v>
      </c>
    </row>
    <row r="30" spans="1:29" ht="17.25" thickTop="1" thickBot="1" x14ac:dyDescent="0.3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V30" s="27"/>
    </row>
    <row r="32" spans="1:29" ht="16.5" thickBot="1" x14ac:dyDescent="0.3">
      <c r="A32" s="150"/>
      <c r="B32" s="150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0"/>
      <c r="U32" s="30"/>
      <c r="V32" s="30"/>
      <c r="W32" s="30"/>
      <c r="X32" s="30"/>
      <c r="Y32" s="30"/>
      <c r="Z32" s="31"/>
      <c r="AA32" s="31"/>
      <c r="AB32" s="31"/>
      <c r="AC32" s="31"/>
    </row>
    <row r="33" spans="1:30" ht="18.75" thickBot="1" x14ac:dyDescent="0.45">
      <c r="A33" s="644" t="s">
        <v>88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6"/>
      <c r="U33" s="32"/>
      <c r="V33" s="32"/>
      <c r="W33" s="32"/>
      <c r="X33" s="32"/>
      <c r="Y33" s="32"/>
      <c r="Z33" s="27"/>
    </row>
    <row r="34" spans="1:30" ht="18" x14ac:dyDescent="0.4">
      <c r="A34" s="591"/>
      <c r="B34" s="592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4"/>
      <c r="U34" s="32"/>
      <c r="V34" s="32"/>
      <c r="W34" s="32"/>
      <c r="X34" s="32"/>
      <c r="Y34" s="32"/>
      <c r="Z34" s="27"/>
    </row>
    <row r="35" spans="1:30" x14ac:dyDescent="0.25">
      <c r="A35" s="142"/>
      <c r="B35" s="41"/>
      <c r="C35" s="319"/>
      <c r="D35" s="319"/>
      <c r="E35" s="319"/>
      <c r="F35" s="319"/>
      <c r="G35" s="319"/>
      <c r="H35" s="320"/>
      <c r="I35" s="319"/>
      <c r="J35" s="319"/>
      <c r="K35" s="319"/>
      <c r="L35" s="319" t="s">
        <v>51</v>
      </c>
      <c r="M35" s="319"/>
      <c r="N35" s="319" t="s">
        <v>67</v>
      </c>
      <c r="O35" s="320"/>
      <c r="P35" s="320"/>
      <c r="Q35" s="320"/>
      <c r="R35" s="319"/>
      <c r="S35" s="319"/>
      <c r="T35" s="325" t="s">
        <v>68</v>
      </c>
      <c r="V35" s="34"/>
      <c r="X35" s="33"/>
      <c r="Y35" s="33"/>
    </row>
    <row r="36" spans="1:30" x14ac:dyDescent="0.25">
      <c r="A36" s="142"/>
      <c r="B36" s="41"/>
      <c r="C36" s="319"/>
      <c r="D36" s="319"/>
      <c r="E36" s="319"/>
      <c r="F36" s="319"/>
      <c r="G36" s="319"/>
      <c r="H36" s="319" t="s">
        <v>197</v>
      </c>
      <c r="I36" s="319"/>
      <c r="J36" s="319" t="s">
        <v>197</v>
      </c>
      <c r="K36" s="319"/>
      <c r="L36" s="319" t="s">
        <v>52</v>
      </c>
      <c r="M36" s="319"/>
      <c r="N36" s="319" t="s">
        <v>197</v>
      </c>
      <c r="O36" s="320"/>
      <c r="P36" s="319" t="s">
        <v>67</v>
      </c>
      <c r="Q36" s="320"/>
      <c r="R36" s="319" t="s">
        <v>70</v>
      </c>
      <c r="S36" s="319"/>
      <c r="T36" s="325" t="s">
        <v>71</v>
      </c>
    </row>
    <row r="37" spans="1:30" x14ac:dyDescent="0.25">
      <c r="A37" s="142"/>
      <c r="B37" s="41"/>
      <c r="C37" s="319" t="s">
        <v>198</v>
      </c>
      <c r="D37" s="319"/>
      <c r="E37" s="319"/>
      <c r="F37" s="319" t="s">
        <v>53</v>
      </c>
      <c r="G37" s="319"/>
      <c r="H37" s="319" t="s">
        <v>55</v>
      </c>
      <c r="I37" s="319"/>
      <c r="J37" s="351" t="s">
        <v>54</v>
      </c>
      <c r="K37" s="319"/>
      <c r="L37" s="319" t="s">
        <v>54</v>
      </c>
      <c r="M37" s="319"/>
      <c r="N37" s="319" t="s">
        <v>54</v>
      </c>
      <c r="O37" s="320"/>
      <c r="P37" s="319" t="s">
        <v>53</v>
      </c>
      <c r="Q37" s="320"/>
      <c r="R37" s="319" t="s">
        <v>68</v>
      </c>
      <c r="S37" s="319"/>
      <c r="T37" s="325" t="s">
        <v>72</v>
      </c>
    </row>
    <row r="38" spans="1:30" x14ac:dyDescent="0.25">
      <c r="A38" s="142"/>
      <c r="C38" s="351" t="s">
        <v>292</v>
      </c>
      <c r="D38" s="319"/>
      <c r="E38" s="319"/>
      <c r="F38" s="319" t="s">
        <v>56</v>
      </c>
      <c r="G38" s="319"/>
      <c r="H38" s="319" t="s">
        <v>57</v>
      </c>
      <c r="I38" s="319"/>
      <c r="J38" s="326" t="s">
        <v>257</v>
      </c>
      <c r="K38" s="319"/>
      <c r="L38" s="326" t="s">
        <v>258</v>
      </c>
      <c r="M38" s="319"/>
      <c r="N38" s="326" t="s">
        <v>259</v>
      </c>
      <c r="O38" s="320"/>
      <c r="P38" s="319" t="s">
        <v>56</v>
      </c>
      <c r="Q38" s="320"/>
      <c r="R38" s="319" t="s">
        <v>73</v>
      </c>
      <c r="S38" s="319"/>
      <c r="T38" s="327" t="s">
        <v>260</v>
      </c>
    </row>
    <row r="39" spans="1:30" x14ac:dyDescent="0.25">
      <c r="A39" s="318" t="s">
        <v>199</v>
      </c>
      <c r="C39" s="321">
        <v>-11</v>
      </c>
      <c r="D39" s="319"/>
      <c r="E39" s="319"/>
      <c r="F39" s="321">
        <v>-12</v>
      </c>
      <c r="G39" s="319"/>
      <c r="H39" s="321">
        <v>-13</v>
      </c>
      <c r="I39" s="319"/>
      <c r="J39" s="321">
        <v>-14</v>
      </c>
      <c r="K39" s="319"/>
      <c r="L39" s="321">
        <v>-15</v>
      </c>
      <c r="M39" s="319"/>
      <c r="N39" s="321">
        <v>-16</v>
      </c>
      <c r="O39" s="320"/>
      <c r="P39" s="321">
        <v>-17</v>
      </c>
      <c r="Q39" s="320"/>
      <c r="R39" s="321">
        <v>-18</v>
      </c>
      <c r="S39" s="319"/>
      <c r="T39" s="328">
        <v>-19</v>
      </c>
    </row>
    <row r="40" spans="1:30" ht="30" customHeight="1" x14ac:dyDescent="0.25">
      <c r="A40" s="143" t="s">
        <v>58</v>
      </c>
      <c r="B40" s="28" t="s">
        <v>59</v>
      </c>
      <c r="C40" s="35">
        <f>C25</f>
        <v>179382518.95999998</v>
      </c>
      <c r="D40" s="333" t="s">
        <v>226</v>
      </c>
      <c r="F40" s="42">
        <f>F25</f>
        <v>4.6100000000000002E-2</v>
      </c>
      <c r="H40" s="345">
        <f>'Input Tab'!B$14</f>
        <v>0.82379999999999998</v>
      </c>
      <c r="J40" s="35">
        <f>C40*H40</f>
        <v>147775319.11924797</v>
      </c>
      <c r="L40" s="35">
        <f>T12</f>
        <v>-44661539</v>
      </c>
      <c r="N40" s="35">
        <f>J40+L40</f>
        <v>103113780.11924797</v>
      </c>
      <c r="P40" s="42">
        <f>ROUND(+N40/$N$43,4)</f>
        <v>4.6100000000000002E-2</v>
      </c>
      <c r="Q40" s="43"/>
      <c r="R40" s="144">
        <f>R25</f>
        <v>1.29E-2</v>
      </c>
      <c r="S40" s="43"/>
      <c r="T40" s="145">
        <f>ROUND(+$P$40*$R$40,4)</f>
        <v>5.9999999999999995E-4</v>
      </c>
      <c r="Z40" s="34"/>
      <c r="AC40" s="44"/>
      <c r="AD40" s="45"/>
    </row>
    <row r="41" spans="1:30" ht="30" customHeight="1" x14ac:dyDescent="0.25">
      <c r="A41" s="143" t="s">
        <v>61</v>
      </c>
      <c r="B41" s="28" t="s">
        <v>62</v>
      </c>
      <c r="C41" s="36">
        <f>C26</f>
        <v>1629988609.6142857</v>
      </c>
      <c r="D41" s="333" t="s">
        <v>226</v>
      </c>
      <c r="F41" s="42">
        <f>F26</f>
        <v>0.41899999999999998</v>
      </c>
      <c r="H41" s="345">
        <f>H40</f>
        <v>0.82379999999999998</v>
      </c>
      <c r="J41" s="35">
        <f t="shared" ref="J41" si="4">C41*H41</f>
        <v>1342784616.6002486</v>
      </c>
      <c r="L41" s="35">
        <f>T13</f>
        <v>-405925916</v>
      </c>
      <c r="N41" s="35">
        <f t="shared" ref="N41" si="5">J41+L41</f>
        <v>936858700.60024858</v>
      </c>
      <c r="P41" s="42">
        <f>ROUND(+N41/$N$43,4)</f>
        <v>0.41899999999999998</v>
      </c>
      <c r="Q41" s="43"/>
      <c r="R41" s="144">
        <f>R26</f>
        <v>4.0529999999999997E-2</v>
      </c>
      <c r="S41" s="43"/>
      <c r="T41" s="145">
        <f>ROUND(+$P$41*$R$41,4)</f>
        <v>1.7000000000000001E-2</v>
      </c>
      <c r="W41" s="46"/>
      <c r="X41" s="46"/>
      <c r="Y41" s="46"/>
      <c r="Z41" s="46"/>
      <c r="AB41" s="46"/>
      <c r="AC41" s="44"/>
      <c r="AD41" s="45"/>
    </row>
    <row r="42" spans="1:30" ht="30" customHeight="1" x14ac:dyDescent="0.25">
      <c r="A42" s="143" t="s">
        <v>63</v>
      </c>
      <c r="B42" s="28" t="s">
        <v>64</v>
      </c>
      <c r="C42" s="195">
        <f>C27</f>
        <v>2080756348</v>
      </c>
      <c r="F42" s="45">
        <f>F27</f>
        <v>0.53490000000000004</v>
      </c>
      <c r="H42" s="471">
        <f>H40</f>
        <v>0.82379999999999998</v>
      </c>
      <c r="J42" s="35">
        <f>C42*H42</f>
        <v>1714127079.4823999</v>
      </c>
      <c r="L42" s="35">
        <f>T14</f>
        <v>-518209481</v>
      </c>
      <c r="N42" s="35">
        <f>J42+L42</f>
        <v>1195917598.4823999</v>
      </c>
      <c r="P42" s="45">
        <f>ROUND(1-P40-P41,4)</f>
        <v>0.53490000000000004</v>
      </c>
      <c r="Q42" s="43"/>
      <c r="R42" s="201">
        <f>R27</f>
        <v>9.7000000000000003E-2</v>
      </c>
      <c r="S42" s="43"/>
      <c r="T42" s="154">
        <f>ROUND(+$P$42*$R$42,4)</f>
        <v>5.1900000000000002E-2</v>
      </c>
      <c r="AC42" s="48"/>
      <c r="AD42" s="45"/>
    </row>
    <row r="43" spans="1:30" ht="30" customHeight="1" thickBot="1" x14ac:dyDescent="0.3">
      <c r="A43" s="143" t="s">
        <v>65</v>
      </c>
      <c r="B43" s="28" t="s">
        <v>66</v>
      </c>
      <c r="C43" s="38">
        <f>SUM(C40:C42)</f>
        <v>3890127476.5742855</v>
      </c>
      <c r="D43" s="36"/>
      <c r="F43" s="49">
        <f>SUM(F40:F42)</f>
        <v>1</v>
      </c>
      <c r="H43" s="353"/>
      <c r="J43" s="38">
        <f>SUM(J40:J42)</f>
        <v>3204687015.2018967</v>
      </c>
      <c r="L43" s="38">
        <f>SUM(L40:L42)</f>
        <v>-968796936</v>
      </c>
      <c r="N43" s="335">
        <f>SUM(N40:N42)</f>
        <v>2235890079.2018967</v>
      </c>
      <c r="P43" s="350">
        <f>SUM(P40:P42)</f>
        <v>1</v>
      </c>
      <c r="R43" s="45"/>
      <c r="T43" s="155">
        <f>ROUND(SUM(T40:T42),4)</f>
        <v>6.9500000000000006E-2</v>
      </c>
      <c r="AD43" s="45"/>
    </row>
    <row r="44" spans="1:30" ht="35.1" customHeight="1" thickTop="1" thickBot="1" x14ac:dyDescent="0.3">
      <c r="A44" s="175" t="s">
        <v>74</v>
      </c>
      <c r="B44" s="147" t="s">
        <v>75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76">
        <f>ROUND(T43+(T43-T41-T40)*(38.666%/(1-38.666%)),4)</f>
        <v>0.1022</v>
      </c>
    </row>
    <row r="46" spans="1:30" x14ac:dyDescent="0.25">
      <c r="A46" s="28" t="s">
        <v>60</v>
      </c>
      <c r="B46" s="152" t="str">
        <f>"Trimble County Inventories"</f>
        <v>Trimble County Inventories</v>
      </c>
      <c r="C46" s="28" t="str">
        <f>A3</f>
        <v>As of August 31, 2017</v>
      </c>
    </row>
    <row r="47" spans="1:30" x14ac:dyDescent="0.25">
      <c r="B47" s="28" t="s">
        <v>239</v>
      </c>
      <c r="F47" s="337">
        <v>12043397</v>
      </c>
    </row>
    <row r="48" spans="1:30" x14ac:dyDescent="0.25">
      <c r="B48" s="28" t="s">
        <v>240</v>
      </c>
      <c r="F48" s="28">
        <v>2558809</v>
      </c>
    </row>
    <row r="49" spans="1:18" x14ac:dyDescent="0.25">
      <c r="B49" s="28" t="s">
        <v>241</v>
      </c>
      <c r="F49" s="28">
        <v>9229067</v>
      </c>
      <c r="L49" s="50"/>
      <c r="P49" s="51"/>
      <c r="R49" s="52"/>
    </row>
    <row r="50" spans="1:18" x14ac:dyDescent="0.25">
      <c r="B50" s="28" t="s">
        <v>242</v>
      </c>
      <c r="F50" s="28">
        <v>214877</v>
      </c>
      <c r="L50" s="50"/>
      <c r="P50" s="51"/>
    </row>
    <row r="51" spans="1:18" x14ac:dyDescent="0.25">
      <c r="B51" s="28" t="s">
        <v>243</v>
      </c>
      <c r="F51" s="28">
        <v>103650</v>
      </c>
    </row>
    <row r="52" spans="1:18" x14ac:dyDescent="0.25">
      <c r="B52" s="28" t="s">
        <v>244</v>
      </c>
      <c r="F52" s="28">
        <v>29</v>
      </c>
    </row>
    <row r="53" spans="1:18" x14ac:dyDescent="0.25">
      <c r="B53" s="28" t="s">
        <v>245</v>
      </c>
      <c r="F53" s="376">
        <f>SUM(F47:F52)</f>
        <v>24149829</v>
      </c>
    </row>
    <row r="54" spans="1:18" x14ac:dyDescent="0.25">
      <c r="B54" s="28" t="s">
        <v>246</v>
      </c>
      <c r="F54" s="336">
        <v>0.25</v>
      </c>
    </row>
    <row r="55" spans="1:18" ht="16.5" thickBot="1" x14ac:dyDescent="0.3">
      <c r="B55" s="28" t="s">
        <v>247</v>
      </c>
      <c r="F55" s="339">
        <f>ROUND(+F53*F54,0)</f>
        <v>6037457</v>
      </c>
    </row>
    <row r="56" spans="1:18" ht="16.5" thickTop="1" x14ac:dyDescent="0.25"/>
    <row r="57" spans="1:18" x14ac:dyDescent="0.25">
      <c r="A57" s="28" t="s">
        <v>248</v>
      </c>
      <c r="B57" s="28" t="s">
        <v>249</v>
      </c>
    </row>
    <row r="59" spans="1:18" x14ac:dyDescent="0.25">
      <c r="A59" s="28" t="s">
        <v>226</v>
      </c>
      <c r="B59" s="28" t="s">
        <v>250</v>
      </c>
    </row>
  </sheetData>
  <mergeCells count="4">
    <mergeCell ref="A4:T4"/>
    <mergeCell ref="A5:T5"/>
    <mergeCell ref="A18:T18"/>
    <mergeCell ref="A33:T33"/>
  </mergeCells>
  <printOptions horizontalCentered="1"/>
  <pageMargins left="0.7" right="0.7" top="0.75" bottom="0.75" header="0.3" footer="0.3"/>
  <pageSetup scale="3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V106"/>
  <sheetViews>
    <sheetView zoomScale="80" zoomScaleNormal="80" workbookViewId="0">
      <selection activeCell="J43" activeCellId="1" sqref="F36 J43"/>
    </sheetView>
  </sheetViews>
  <sheetFormatPr defaultColWidth="11.33203125" defaultRowHeight="15.75" x14ac:dyDescent="0.25"/>
  <cols>
    <col min="1" max="1" width="53.83203125" style="206" customWidth="1"/>
    <col min="2" max="2" width="12.6640625" style="210" customWidth="1"/>
    <col min="3" max="3" width="4.6640625" style="211" customWidth="1"/>
    <col min="4" max="4" width="12.1640625" style="206" customWidth="1"/>
    <col min="5" max="5" width="4.6640625" style="211" customWidth="1"/>
    <col min="6" max="6" width="22" style="206" bestFit="1" customWidth="1"/>
    <col min="7" max="7" width="4.6640625" style="208" customWidth="1"/>
    <col min="8" max="8" width="22" style="206" bestFit="1" customWidth="1"/>
    <col min="9" max="9" width="4.6640625" style="211" customWidth="1"/>
    <col min="10" max="10" width="19.6640625" style="206" customWidth="1"/>
    <col min="11" max="11" width="4.6640625" style="211" customWidth="1"/>
    <col min="12" max="12" width="21.6640625" style="206" bestFit="1" customWidth="1"/>
    <col min="13" max="13" width="4.83203125" style="206" customWidth="1"/>
    <col min="14" max="14" width="19.1640625" style="211" bestFit="1" customWidth="1"/>
    <col min="15" max="15" width="6.1640625" style="206" customWidth="1"/>
    <col min="16" max="16" width="25" style="206" bestFit="1" customWidth="1"/>
    <col min="17" max="17" width="3.6640625" style="206" customWidth="1"/>
    <col min="18" max="18" width="14.6640625" style="206" bestFit="1" customWidth="1"/>
    <col min="19" max="19" width="14.5" style="212" bestFit="1" customWidth="1"/>
    <col min="20" max="20" width="21.33203125" style="206" bestFit="1" customWidth="1"/>
    <col min="21" max="16384" width="11.33203125" style="206"/>
  </cols>
  <sheetData>
    <row r="1" spans="1:19" s="203" customFormat="1" x14ac:dyDescent="0.25">
      <c r="A1" s="60" t="str">
        <f>'Input Tab'!B2</f>
        <v>Louisville Gas &amp; Electric Company</v>
      </c>
      <c r="B1" s="28"/>
      <c r="C1" s="28"/>
      <c r="D1" s="28"/>
      <c r="E1" s="28"/>
      <c r="F1" s="28"/>
      <c r="G1" s="28"/>
      <c r="H1" s="28"/>
      <c r="I1" s="28"/>
      <c r="J1" s="28"/>
      <c r="K1" s="329"/>
      <c r="L1" s="28"/>
      <c r="M1" s="28"/>
      <c r="N1" s="28"/>
      <c r="O1" s="28"/>
      <c r="P1" s="28"/>
      <c r="Q1" s="28"/>
      <c r="R1" s="62" t="s">
        <v>341</v>
      </c>
    </row>
    <row r="2" spans="1:19" s="203" customFormat="1" x14ac:dyDescent="0.25">
      <c r="A2" s="65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329"/>
      <c r="L2" s="28"/>
      <c r="M2" s="28"/>
      <c r="N2" s="28"/>
      <c r="O2" s="28"/>
      <c r="P2" s="28"/>
      <c r="Q2" s="28"/>
      <c r="R2" s="62" t="s">
        <v>328</v>
      </c>
    </row>
    <row r="3" spans="1:19" s="203" customFormat="1" x14ac:dyDescent="0.25">
      <c r="A3" s="372" t="s">
        <v>336</v>
      </c>
      <c r="B3" s="28"/>
      <c r="C3" s="28"/>
      <c r="D3" s="28"/>
      <c r="E3" s="28"/>
      <c r="F3" s="218"/>
      <c r="G3" s="28"/>
      <c r="H3" s="28"/>
      <c r="I3" s="28"/>
      <c r="J3" s="28"/>
      <c r="K3" s="329"/>
      <c r="L3" s="28"/>
      <c r="M3" s="28"/>
      <c r="N3" s="28"/>
      <c r="O3" s="28"/>
      <c r="P3" s="28"/>
      <c r="Q3" s="28"/>
      <c r="R3" s="64" t="str">
        <f>'Q1 p.2 - Rate of Return Adj'!I3</f>
        <v>Rahn/Metts</v>
      </c>
    </row>
    <row r="4" spans="1:19" s="205" customFormat="1" x14ac:dyDescent="0.25">
      <c r="A4" s="258" t="s">
        <v>159</v>
      </c>
      <c r="B4" s="202"/>
      <c r="C4" s="202"/>
      <c r="D4" s="202"/>
      <c r="E4" s="202"/>
      <c r="F4" s="202"/>
      <c r="G4" s="202"/>
      <c r="H4" s="202"/>
      <c r="I4" s="202"/>
      <c r="J4" s="202"/>
      <c r="K4" s="330"/>
      <c r="L4" s="202"/>
      <c r="M4" s="202"/>
      <c r="N4" s="202"/>
      <c r="O4" s="202"/>
      <c r="P4" s="202"/>
      <c r="Q4" s="202"/>
      <c r="R4" s="202"/>
      <c r="S4" s="202"/>
    </row>
    <row r="5" spans="1:19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331"/>
      <c r="L5" s="204"/>
      <c r="M5" s="204"/>
      <c r="N5" s="204"/>
      <c r="O5" s="204"/>
      <c r="P5" s="204"/>
      <c r="Q5" s="204"/>
      <c r="R5" s="204"/>
      <c r="S5"/>
    </row>
    <row r="6" spans="1:19" x14ac:dyDescent="0.25">
      <c r="A6" s="652" t="s">
        <v>271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4"/>
      <c r="S6"/>
    </row>
    <row r="7" spans="1:19" x14ac:dyDescent="0.25">
      <c r="A7" s="377"/>
      <c r="B7" s="378"/>
      <c r="C7" s="379"/>
      <c r="D7" s="380"/>
      <c r="E7" s="379"/>
      <c r="F7" s="380"/>
      <c r="G7" s="380"/>
      <c r="H7" s="380"/>
      <c r="I7" s="379"/>
      <c r="J7" s="380"/>
      <c r="K7" s="379"/>
      <c r="L7" s="380"/>
      <c r="M7" s="379"/>
      <c r="N7" s="380"/>
      <c r="O7" s="380"/>
      <c r="P7" s="380"/>
      <c r="Q7" s="380"/>
      <c r="R7" s="381"/>
      <c r="S7"/>
    </row>
    <row r="8" spans="1:19" x14ac:dyDescent="0.25">
      <c r="A8" s="382"/>
      <c r="B8" s="378"/>
      <c r="C8" s="379"/>
      <c r="D8" s="380"/>
      <c r="E8" s="379"/>
      <c r="F8" s="380"/>
      <c r="G8" s="380"/>
      <c r="H8" s="655" t="s">
        <v>89</v>
      </c>
      <c r="I8" s="655"/>
      <c r="J8" s="655"/>
      <c r="K8" s="655"/>
      <c r="L8" s="655"/>
      <c r="M8" s="655"/>
      <c r="N8" s="655"/>
      <c r="O8" s="655"/>
      <c r="P8" s="655"/>
      <c r="Q8" s="378"/>
      <c r="R8" s="383"/>
      <c r="S8"/>
    </row>
    <row r="9" spans="1:19" ht="17.25" customHeight="1" x14ac:dyDescent="0.25">
      <c r="A9" s="384"/>
      <c r="B9" s="378"/>
      <c r="C9" s="379"/>
      <c r="D9" s="380"/>
      <c r="E9" s="379"/>
      <c r="F9" s="380"/>
      <c r="G9" s="380"/>
      <c r="H9" s="380"/>
      <c r="I9" s="379"/>
      <c r="J9" s="378" t="s">
        <v>90</v>
      </c>
      <c r="K9" s="379"/>
      <c r="L9" s="378" t="s">
        <v>91</v>
      </c>
      <c r="M9" s="379"/>
      <c r="N9" s="378" t="s">
        <v>92</v>
      </c>
      <c r="O9" s="380"/>
      <c r="P9" s="378"/>
      <c r="Q9" s="378"/>
      <c r="R9" s="383" t="s">
        <v>93</v>
      </c>
      <c r="S9"/>
    </row>
    <row r="10" spans="1:19" ht="17.25" customHeight="1" x14ac:dyDescent="0.25">
      <c r="A10" s="384"/>
      <c r="B10" s="385" t="s">
        <v>94</v>
      </c>
      <c r="C10" s="379"/>
      <c r="D10" s="385" t="s">
        <v>73</v>
      </c>
      <c r="E10" s="379"/>
      <c r="F10" s="385" t="s">
        <v>95</v>
      </c>
      <c r="G10" s="380"/>
      <c r="H10" s="386" t="s">
        <v>96</v>
      </c>
      <c r="I10" s="379"/>
      <c r="J10" s="387" t="s">
        <v>97</v>
      </c>
      <c r="K10" s="379"/>
      <c r="L10" s="387" t="s">
        <v>98</v>
      </c>
      <c r="M10" s="388"/>
      <c r="N10" s="386" t="s">
        <v>99</v>
      </c>
      <c r="O10" s="380"/>
      <c r="P10" s="386" t="s">
        <v>100</v>
      </c>
      <c r="Q10" s="378"/>
      <c r="R10" s="389" t="s">
        <v>101</v>
      </c>
      <c r="S10"/>
    </row>
    <row r="11" spans="1:19" ht="17.25" customHeight="1" x14ac:dyDescent="0.25">
      <c r="A11" s="384" t="s">
        <v>102</v>
      </c>
      <c r="B11" s="390"/>
      <c r="C11" s="379"/>
      <c r="D11" s="391"/>
      <c r="E11" s="379"/>
      <c r="F11" s="392"/>
      <c r="G11" s="379"/>
      <c r="H11" s="392"/>
      <c r="I11" s="379"/>
      <c r="J11" s="393"/>
      <c r="K11" s="394"/>
      <c r="L11" s="392"/>
      <c r="M11" s="395"/>
      <c r="N11" s="392"/>
      <c r="O11" s="392"/>
      <c r="P11" s="392"/>
      <c r="Q11" s="380"/>
      <c r="R11" s="381"/>
      <c r="S11"/>
    </row>
    <row r="12" spans="1:19" ht="17.25" customHeight="1" x14ac:dyDescent="0.25">
      <c r="A12" s="384" t="s">
        <v>200</v>
      </c>
      <c r="B12" s="390">
        <v>46631</v>
      </c>
      <c r="C12" s="379"/>
      <c r="D12" s="396">
        <v>1.4409999999999999E-2</v>
      </c>
      <c r="E12" s="397" t="s">
        <v>103</v>
      </c>
      <c r="F12" s="398">
        <v>10104000</v>
      </c>
      <c r="G12" s="379"/>
      <c r="H12" s="398">
        <f t="shared" ref="H12:H21" si="0">ROUND(D12*F12,0)</f>
        <v>145599</v>
      </c>
      <c r="I12" s="379"/>
      <c r="J12" s="398">
        <v>19390.069565217451</v>
      </c>
      <c r="K12" s="379"/>
      <c r="L12" s="398">
        <v>0</v>
      </c>
      <c r="M12" s="379"/>
      <c r="N12" s="398">
        <v>30402.94</v>
      </c>
      <c r="O12" s="380" t="s">
        <v>117</v>
      </c>
      <c r="P12" s="398">
        <f t="shared" ref="P12:P23" si="1">H12+J12+L12+N12</f>
        <v>195392.00956521745</v>
      </c>
      <c r="Q12" s="380"/>
      <c r="R12" s="399">
        <f t="shared" ref="R12:R22" si="2">ROUND((P12/F12),5)</f>
        <v>1.934E-2</v>
      </c>
      <c r="S12"/>
    </row>
    <row r="13" spans="1:19" ht="17.25" customHeight="1" x14ac:dyDescent="0.25">
      <c r="A13" s="384" t="s">
        <v>200</v>
      </c>
      <c r="B13" s="390">
        <v>46266</v>
      </c>
      <c r="C13" s="379"/>
      <c r="D13" s="396">
        <v>8.8999999999999999E-3</v>
      </c>
      <c r="E13" s="397" t="s">
        <v>103</v>
      </c>
      <c r="F13" s="398">
        <v>22500000</v>
      </c>
      <c r="G13" s="379"/>
      <c r="H13" s="398">
        <f t="shared" si="0"/>
        <v>200250</v>
      </c>
      <c r="I13" s="379"/>
      <c r="J13" s="398">
        <v>9879.3597826087371</v>
      </c>
      <c r="K13" s="379"/>
      <c r="L13" s="398">
        <v>77400.551086956722</v>
      </c>
      <c r="M13" s="379"/>
      <c r="N13" s="398">
        <v>22500</v>
      </c>
      <c r="O13" s="380" t="s">
        <v>104</v>
      </c>
      <c r="P13" s="398">
        <f t="shared" si="1"/>
        <v>310029.91086956544</v>
      </c>
      <c r="Q13" s="380"/>
      <c r="R13" s="399">
        <f t="shared" si="2"/>
        <v>1.3780000000000001E-2</v>
      </c>
      <c r="S13"/>
    </row>
    <row r="14" spans="1:19" ht="17.25" customHeight="1" x14ac:dyDescent="0.25">
      <c r="A14" s="384" t="s">
        <v>201</v>
      </c>
      <c r="B14" s="390">
        <v>46266</v>
      </c>
      <c r="C14" s="379"/>
      <c r="D14" s="396">
        <v>1.0500000000000001E-2</v>
      </c>
      <c r="E14" s="397"/>
      <c r="F14" s="398">
        <v>27500000</v>
      </c>
      <c r="G14" s="379"/>
      <c r="H14" s="398">
        <f t="shared" si="0"/>
        <v>288750</v>
      </c>
      <c r="I14" s="379"/>
      <c r="J14" s="398">
        <v>56012.780978260897</v>
      </c>
      <c r="K14" s="379"/>
      <c r="L14" s="398">
        <v>76158.360869565513</v>
      </c>
      <c r="M14" s="379"/>
      <c r="N14" s="398">
        <v>0</v>
      </c>
      <c r="O14" s="380"/>
      <c r="P14" s="398">
        <f t="shared" si="1"/>
        <v>420921.14184782642</v>
      </c>
      <c r="Q14" s="380"/>
      <c r="R14" s="399">
        <f t="shared" si="2"/>
        <v>1.5310000000000001E-2</v>
      </c>
      <c r="S14"/>
    </row>
    <row r="15" spans="1:19" ht="17.25" customHeight="1" x14ac:dyDescent="0.25">
      <c r="A15" s="384" t="s">
        <v>202</v>
      </c>
      <c r="B15" s="390">
        <v>46692</v>
      </c>
      <c r="C15" s="379"/>
      <c r="D15" s="396">
        <v>1.35E-2</v>
      </c>
      <c r="E15" s="397"/>
      <c r="F15" s="398">
        <v>35000000</v>
      </c>
      <c r="G15" s="379"/>
      <c r="H15" s="398">
        <f t="shared" si="0"/>
        <v>472500</v>
      </c>
      <c r="I15" s="379"/>
      <c r="J15" s="398">
        <v>60342.593478260926</v>
      </c>
      <c r="K15" s="379"/>
      <c r="L15" s="398">
        <v>60025.360869565186</v>
      </c>
      <c r="M15" s="379"/>
      <c r="N15" s="398">
        <v>0</v>
      </c>
      <c r="O15" s="380"/>
      <c r="P15" s="398">
        <f t="shared" si="1"/>
        <v>592867.95434782607</v>
      </c>
      <c r="Q15" s="380"/>
      <c r="R15" s="399">
        <f t="shared" si="2"/>
        <v>1.694E-2</v>
      </c>
      <c r="S15"/>
    </row>
    <row r="16" spans="1:19" ht="17.25" customHeight="1" x14ac:dyDescent="0.25">
      <c r="A16" s="384" t="s">
        <v>203</v>
      </c>
      <c r="B16" s="390">
        <v>46692</v>
      </c>
      <c r="C16" s="379"/>
      <c r="D16" s="396">
        <v>1.35E-2</v>
      </c>
      <c r="E16" s="397"/>
      <c r="F16" s="398">
        <v>35000000</v>
      </c>
      <c r="G16" s="379"/>
      <c r="H16" s="398">
        <f t="shared" si="0"/>
        <v>472500</v>
      </c>
      <c r="I16" s="379"/>
      <c r="J16" s="398">
        <v>60182.628260869591</v>
      </c>
      <c r="K16" s="379"/>
      <c r="L16" s="398">
        <v>59843.297282608553</v>
      </c>
      <c r="M16" s="379"/>
      <c r="N16" s="398">
        <v>0</v>
      </c>
      <c r="O16" s="380"/>
      <c r="P16" s="398">
        <f t="shared" si="1"/>
        <v>592525.92554347811</v>
      </c>
      <c r="Q16" s="380"/>
      <c r="R16" s="399">
        <f t="shared" si="2"/>
        <v>1.6930000000000001E-2</v>
      </c>
      <c r="S16"/>
    </row>
    <row r="17" spans="1:22" ht="17.25" customHeight="1" x14ac:dyDescent="0.25">
      <c r="A17" s="384" t="s">
        <v>204</v>
      </c>
      <c r="B17" s="390">
        <v>12328</v>
      </c>
      <c r="C17" s="379"/>
      <c r="D17" s="396">
        <v>1.4999999999999999E-2</v>
      </c>
      <c r="E17" s="397"/>
      <c r="F17" s="398">
        <v>128000000</v>
      </c>
      <c r="G17" s="400"/>
      <c r="H17" s="398">
        <f t="shared" si="0"/>
        <v>1920000</v>
      </c>
      <c r="I17" s="379"/>
      <c r="J17" s="398">
        <v>155575.41793478269</v>
      </c>
      <c r="K17" s="379"/>
      <c r="L17" s="398">
        <v>313571.77771739138</v>
      </c>
      <c r="M17" s="401"/>
      <c r="N17" s="398">
        <v>0</v>
      </c>
      <c r="O17" s="380"/>
      <c r="P17" s="398">
        <f t="shared" si="1"/>
        <v>2389147.1956521743</v>
      </c>
      <c r="Q17" s="380"/>
      <c r="R17" s="399">
        <f t="shared" si="2"/>
        <v>1.8669999999999999E-2</v>
      </c>
      <c r="S17"/>
    </row>
    <row r="18" spans="1:22" ht="17.25" customHeight="1" x14ac:dyDescent="0.25">
      <c r="A18" s="384" t="s">
        <v>205</v>
      </c>
      <c r="B18" s="390">
        <v>12816</v>
      </c>
      <c r="C18" s="379"/>
      <c r="D18" s="396">
        <v>2.1999999999999999E-2</v>
      </c>
      <c r="E18" s="397"/>
      <c r="F18" s="398">
        <v>40000000</v>
      </c>
      <c r="G18" s="379"/>
      <c r="H18" s="398">
        <f t="shared" si="0"/>
        <v>880000</v>
      </c>
      <c r="I18" s="379"/>
      <c r="J18" s="398">
        <v>71856.756521739109</v>
      </c>
      <c r="K18" s="379"/>
      <c r="L18" s="398">
        <v>84561.890760869486</v>
      </c>
      <c r="M18" s="401"/>
      <c r="N18" s="398">
        <v>0</v>
      </c>
      <c r="O18" s="380"/>
      <c r="P18" s="398">
        <f t="shared" si="1"/>
        <v>1036418.6472826086</v>
      </c>
      <c r="Q18" s="380"/>
      <c r="R18" s="399">
        <f t="shared" si="2"/>
        <v>2.5909999999999999E-2</v>
      </c>
      <c r="S18"/>
    </row>
    <row r="19" spans="1:22" ht="17.25" customHeight="1" x14ac:dyDescent="0.25">
      <c r="A19" s="384" t="s">
        <v>105</v>
      </c>
      <c r="B19" s="390">
        <v>48731</v>
      </c>
      <c r="C19" s="379"/>
      <c r="D19" s="396">
        <v>4.5999999999999999E-2</v>
      </c>
      <c r="E19" s="397"/>
      <c r="F19" s="398">
        <v>60000000</v>
      </c>
      <c r="G19" s="379"/>
      <c r="H19" s="398">
        <f t="shared" si="0"/>
        <v>2760000</v>
      </c>
      <c r="I19" s="379"/>
      <c r="J19" s="398">
        <v>47501.457065217277</v>
      </c>
      <c r="K19" s="379"/>
      <c r="L19" s="398">
        <v>47589.61249999961</v>
      </c>
      <c r="M19" s="401"/>
      <c r="N19" s="398">
        <v>0</v>
      </c>
      <c r="O19" s="380"/>
      <c r="P19" s="398">
        <f t="shared" si="1"/>
        <v>2855091.069565217</v>
      </c>
      <c r="Q19" s="380"/>
      <c r="R19" s="399">
        <f t="shared" si="2"/>
        <v>4.7579999999999997E-2</v>
      </c>
      <c r="S19"/>
    </row>
    <row r="20" spans="1:22" ht="17.25" customHeight="1" x14ac:dyDescent="0.25">
      <c r="A20" s="384" t="s">
        <v>206</v>
      </c>
      <c r="B20" s="390">
        <v>48731</v>
      </c>
      <c r="C20" s="379"/>
      <c r="D20" s="396">
        <v>1.15E-2</v>
      </c>
      <c r="E20" s="397"/>
      <c r="F20" s="398">
        <v>31000000</v>
      </c>
      <c r="G20" s="400"/>
      <c r="H20" s="398">
        <f t="shared" si="0"/>
        <v>356500</v>
      </c>
      <c r="I20" s="379"/>
      <c r="J20" s="398">
        <v>66881.687500000044</v>
      </c>
      <c r="K20" s="379"/>
      <c r="L20" s="402">
        <v>35349.020108695877</v>
      </c>
      <c r="M20" s="401"/>
      <c r="N20" s="398">
        <v>0</v>
      </c>
      <c r="O20" s="380"/>
      <c r="P20" s="398">
        <f t="shared" si="1"/>
        <v>458730.70760869596</v>
      </c>
      <c r="Q20" s="380"/>
      <c r="R20" s="399">
        <f t="shared" si="2"/>
        <v>1.4800000000000001E-2</v>
      </c>
      <c r="S20"/>
    </row>
    <row r="21" spans="1:22" ht="17.25" customHeight="1" x14ac:dyDescent="0.25">
      <c r="A21" s="384" t="s">
        <v>207</v>
      </c>
      <c r="B21" s="390">
        <v>48731</v>
      </c>
      <c r="C21" s="379"/>
      <c r="D21" s="396">
        <v>1.6E-2</v>
      </c>
      <c r="E21" s="397"/>
      <c r="F21" s="398">
        <v>35200000</v>
      </c>
      <c r="G21" s="400"/>
      <c r="H21" s="398">
        <f t="shared" si="0"/>
        <v>563200</v>
      </c>
      <c r="I21" s="379"/>
      <c r="J21" s="398">
        <v>55884.554891304273</v>
      </c>
      <c r="K21" s="379"/>
      <c r="L21" s="398">
        <v>32821.831521739106</v>
      </c>
      <c r="M21" s="401"/>
      <c r="N21" s="398">
        <v>0</v>
      </c>
      <c r="O21" s="380"/>
      <c r="P21" s="398">
        <f t="shared" si="1"/>
        <v>651906.38641304336</v>
      </c>
      <c r="Q21" s="380"/>
      <c r="R21" s="399">
        <f t="shared" si="2"/>
        <v>1.8519999999999998E-2</v>
      </c>
      <c r="S21"/>
    </row>
    <row r="22" spans="1:22" x14ac:dyDescent="0.25">
      <c r="A22" s="384" t="s">
        <v>208</v>
      </c>
      <c r="B22" s="390">
        <v>16316</v>
      </c>
      <c r="C22" s="379"/>
      <c r="D22" s="396">
        <v>8.7299999999999999E-3</v>
      </c>
      <c r="E22" s="397" t="s">
        <v>103</v>
      </c>
      <c r="F22" s="398">
        <v>125000000</v>
      </c>
      <c r="G22" s="400"/>
      <c r="H22" s="398">
        <f>ROUND(D22*F22,0)</f>
        <v>1091250</v>
      </c>
      <c r="I22" s="379"/>
      <c r="J22" s="398">
        <v>34598.350000000333</v>
      </c>
      <c r="K22" s="379"/>
      <c r="L22" s="398">
        <v>143958.97554347798</v>
      </c>
      <c r="M22" s="379"/>
      <c r="N22" s="398">
        <v>125000</v>
      </c>
      <c r="O22" s="380" t="s">
        <v>209</v>
      </c>
      <c r="P22" s="398">
        <f t="shared" si="1"/>
        <v>1394807.3255434784</v>
      </c>
      <c r="Q22" s="380"/>
      <c r="R22" s="399">
        <f t="shared" si="2"/>
        <v>1.116E-2</v>
      </c>
      <c r="S22"/>
      <c r="V22" s="207"/>
    </row>
    <row r="23" spans="1:22" x14ac:dyDescent="0.25">
      <c r="A23" s="384" t="s">
        <v>106</v>
      </c>
      <c r="B23" s="390"/>
      <c r="C23" s="379"/>
      <c r="D23" s="391"/>
      <c r="E23" s="379"/>
      <c r="F23" s="398">
        <v>0</v>
      </c>
      <c r="G23" s="379"/>
      <c r="H23" s="398">
        <v>0</v>
      </c>
      <c r="I23" s="379"/>
      <c r="J23" s="398">
        <v>0</v>
      </c>
      <c r="K23" s="379"/>
      <c r="L23" s="398">
        <v>0</v>
      </c>
      <c r="M23" s="401"/>
      <c r="N23" s="398"/>
      <c r="O23" s="380"/>
      <c r="P23" s="398">
        <f t="shared" si="1"/>
        <v>0</v>
      </c>
      <c r="Q23" s="380"/>
      <c r="R23" s="399"/>
      <c r="S23"/>
    </row>
    <row r="24" spans="1:22" ht="16.5" thickBot="1" x14ac:dyDescent="0.3">
      <c r="A24" s="384"/>
      <c r="B24" s="390"/>
      <c r="C24" s="379"/>
      <c r="D24" s="391"/>
      <c r="E24" s="379"/>
      <c r="F24" s="398"/>
      <c r="G24" s="379"/>
      <c r="H24" s="398"/>
      <c r="I24" s="379"/>
      <c r="J24" s="398"/>
      <c r="K24" s="379"/>
      <c r="L24" s="398"/>
      <c r="M24" s="401"/>
      <c r="N24" s="398"/>
      <c r="O24" s="380"/>
      <c r="P24" s="398"/>
      <c r="Q24" s="380"/>
      <c r="R24" s="399"/>
      <c r="S24"/>
    </row>
    <row r="25" spans="1:22" ht="17.25" customHeight="1" thickBot="1" x14ac:dyDescent="0.3">
      <c r="A25" s="403" t="s">
        <v>107</v>
      </c>
      <c r="B25" s="404"/>
      <c r="C25" s="379"/>
      <c r="D25" s="405"/>
      <c r="E25" s="379"/>
      <c r="F25" s="406">
        <f>SUM(F12:F24)</f>
        <v>549304000</v>
      </c>
      <c r="G25" s="407"/>
      <c r="H25" s="406">
        <f>SUM(H12:H24)</f>
        <v>9150549</v>
      </c>
      <c r="I25" s="407"/>
      <c r="J25" s="406">
        <f>SUM(J12:J24)</f>
        <v>638105.65597826126</v>
      </c>
      <c r="K25" s="407"/>
      <c r="L25" s="406">
        <f>SUM(L12:L24)</f>
        <v>931280.67826086935</v>
      </c>
      <c r="M25" s="407"/>
      <c r="N25" s="406">
        <f>SUM(N12:N24)</f>
        <v>177902.94</v>
      </c>
      <c r="O25" s="408"/>
      <c r="P25" s="406">
        <f>SUM(P12:P24)</f>
        <v>10897838.274239132</v>
      </c>
      <c r="Q25" s="380"/>
      <c r="R25" s="409">
        <f>ROUND(+P25/F25,5)</f>
        <v>1.984E-2</v>
      </c>
      <c r="S25"/>
    </row>
    <row r="26" spans="1:22" ht="17.25" customHeight="1" x14ac:dyDescent="0.25">
      <c r="A26" s="384" t="s">
        <v>108</v>
      </c>
      <c r="B26" s="390"/>
      <c r="C26" s="379"/>
      <c r="D26" s="391"/>
      <c r="E26" s="379"/>
      <c r="F26" s="398"/>
      <c r="G26" s="379"/>
      <c r="H26" s="398"/>
      <c r="I26" s="379"/>
      <c r="J26" s="398"/>
      <c r="K26" s="394"/>
      <c r="L26" s="398"/>
      <c r="M26" s="401"/>
      <c r="N26" s="398"/>
      <c r="O26" s="380"/>
      <c r="P26" s="398"/>
      <c r="Q26" s="380"/>
      <c r="R26" s="399"/>
      <c r="S26"/>
    </row>
    <row r="27" spans="1:22" ht="17.25" customHeight="1" x14ac:dyDescent="0.25">
      <c r="A27" s="384" t="s">
        <v>110</v>
      </c>
      <c r="B27" s="390">
        <v>51455</v>
      </c>
      <c r="C27" s="379"/>
      <c r="D27" s="396">
        <v>5.1249999999999997E-2</v>
      </c>
      <c r="E27" s="379"/>
      <c r="F27" s="398">
        <v>285000000</v>
      </c>
      <c r="G27" s="410"/>
      <c r="H27" s="398">
        <f>ROUND(D27*F27,0)</f>
        <v>14606250</v>
      </c>
      <c r="I27" s="379"/>
      <c r="J27" s="398">
        <v>119144.21250000046</v>
      </c>
      <c r="K27" s="394" t="s">
        <v>272</v>
      </c>
      <c r="L27" s="398">
        <v>0</v>
      </c>
      <c r="M27" s="401"/>
      <c r="N27" s="398">
        <v>0</v>
      </c>
      <c r="O27" s="380"/>
      <c r="P27" s="398">
        <f t="shared" ref="P27:P37" si="3">H27+J27+L27+N27</f>
        <v>14725394.2125</v>
      </c>
      <c r="Q27" s="380"/>
      <c r="R27" s="399">
        <f>ROUND((P27/F27),5)</f>
        <v>5.1670000000000001E-2</v>
      </c>
      <c r="S27"/>
    </row>
    <row r="28" spans="1:22" ht="17.25" customHeight="1" x14ac:dyDescent="0.25">
      <c r="A28" s="384" t="s">
        <v>109</v>
      </c>
      <c r="B28" s="390">
        <v>51455</v>
      </c>
      <c r="C28" s="379"/>
      <c r="D28" s="396">
        <f>+D27</f>
        <v>5.1249999999999997E-2</v>
      </c>
      <c r="E28" s="379"/>
      <c r="F28" s="398">
        <v>-2437737.63</v>
      </c>
      <c r="G28" s="410"/>
      <c r="H28" s="398"/>
      <c r="I28" s="379"/>
      <c r="J28" s="398">
        <v>103293.96847826176</v>
      </c>
      <c r="K28" s="394" t="s">
        <v>272</v>
      </c>
      <c r="L28" s="398"/>
      <c r="M28" s="401"/>
      <c r="N28" s="398"/>
      <c r="O28" s="380"/>
      <c r="P28" s="398">
        <f t="shared" si="3"/>
        <v>103293.96847826176</v>
      </c>
      <c r="Q28" s="380"/>
      <c r="R28" s="399">
        <f>ROUND((P28/F28),5)</f>
        <v>-4.2369999999999998E-2</v>
      </c>
      <c r="S28"/>
    </row>
    <row r="29" spans="1:22" ht="17.25" customHeight="1" x14ac:dyDescent="0.25">
      <c r="A29" s="384" t="s">
        <v>111</v>
      </c>
      <c r="B29" s="390">
        <v>16025</v>
      </c>
      <c r="C29" s="379"/>
      <c r="D29" s="396">
        <v>4.65E-2</v>
      </c>
      <c r="E29" s="379"/>
      <c r="F29" s="398">
        <v>250000000</v>
      </c>
      <c r="G29" s="410"/>
      <c r="H29" s="398">
        <f>ROUND(D29*F29,0)</f>
        <v>11625000</v>
      </c>
      <c r="I29" s="379"/>
      <c r="J29" s="398">
        <v>91178.82500000023</v>
      </c>
      <c r="K29" s="394" t="s">
        <v>272</v>
      </c>
      <c r="L29" s="398"/>
      <c r="M29" s="401"/>
      <c r="N29" s="398"/>
      <c r="O29" s="380"/>
      <c r="P29" s="398">
        <f t="shared" si="3"/>
        <v>11716178.825000001</v>
      </c>
      <c r="Q29" s="380"/>
      <c r="R29" s="399">
        <f>ROUND((P29/F29),5)</f>
        <v>4.6859999999999999E-2</v>
      </c>
      <c r="S29"/>
    </row>
    <row r="30" spans="1:22" ht="17.25" customHeight="1" x14ac:dyDescent="0.25">
      <c r="A30" s="384" t="s">
        <v>109</v>
      </c>
      <c r="B30" s="390">
        <v>52550</v>
      </c>
      <c r="C30" s="379"/>
      <c r="D30" s="396">
        <f>+D29</f>
        <v>4.65E-2</v>
      </c>
      <c r="E30" s="379"/>
      <c r="F30" s="398">
        <v>-1594834.8250000002</v>
      </c>
      <c r="G30" s="410"/>
      <c r="H30" s="398"/>
      <c r="I30" s="379"/>
      <c r="J30" s="398">
        <v>59956.209239130432</v>
      </c>
      <c r="K30" s="394" t="s">
        <v>272</v>
      </c>
      <c r="L30" s="398"/>
      <c r="M30" s="401"/>
      <c r="N30" s="398"/>
      <c r="O30" s="380"/>
      <c r="P30" s="398">
        <f t="shared" si="3"/>
        <v>59956.209239130432</v>
      </c>
      <c r="Q30" s="380"/>
      <c r="R30" s="399">
        <f>ROUND((P30/F30),5)</f>
        <v>-3.7589999999999998E-2</v>
      </c>
      <c r="S30"/>
    </row>
    <row r="31" spans="1:22" ht="17.25" customHeight="1" x14ac:dyDescent="0.25">
      <c r="A31" s="384" t="s">
        <v>112</v>
      </c>
      <c r="B31" s="390">
        <v>52550</v>
      </c>
      <c r="C31" s="379"/>
      <c r="D31" s="396"/>
      <c r="E31" s="379"/>
      <c r="F31" s="398"/>
      <c r="G31" s="379"/>
      <c r="H31" s="398">
        <v>-1433703.9320652182</v>
      </c>
      <c r="I31" s="379"/>
      <c r="J31" s="398"/>
      <c r="K31" s="394"/>
      <c r="L31" s="398"/>
      <c r="M31" s="401"/>
      <c r="N31" s="398"/>
      <c r="O31" s="380"/>
      <c r="P31" s="398">
        <f t="shared" si="3"/>
        <v>-1433703.9320652182</v>
      </c>
      <c r="Q31" s="380"/>
      <c r="R31" s="399">
        <v>-3.3320000000000002E-2</v>
      </c>
      <c r="S31"/>
    </row>
    <row r="32" spans="1:22" ht="17.25" customHeight="1" x14ac:dyDescent="0.25">
      <c r="A32" s="384" t="s">
        <v>113</v>
      </c>
      <c r="B32" s="390">
        <v>45931</v>
      </c>
      <c r="C32" s="379"/>
      <c r="D32" s="396">
        <v>3.3000000000000002E-2</v>
      </c>
      <c r="E32" s="379"/>
      <c r="F32" s="398">
        <v>300000000</v>
      </c>
      <c r="G32" s="379"/>
      <c r="H32" s="398">
        <f>ROUND(D32*F32,0)</f>
        <v>9900000</v>
      </c>
      <c r="I32" s="379"/>
      <c r="J32" s="398">
        <v>237370.37065217367</v>
      </c>
      <c r="K32" s="394" t="s">
        <v>272</v>
      </c>
      <c r="L32" s="398"/>
      <c r="M32" s="401"/>
      <c r="N32" s="398"/>
      <c r="O32" s="380"/>
      <c r="P32" s="398">
        <f t="shared" si="3"/>
        <v>10137370.370652175</v>
      </c>
      <c r="Q32" s="380"/>
      <c r="R32" s="399">
        <f>ROUND((P32/F32),5)</f>
        <v>3.3790000000000001E-2</v>
      </c>
      <c r="S32"/>
    </row>
    <row r="33" spans="1:19" ht="17.25" customHeight="1" x14ac:dyDescent="0.25">
      <c r="A33" s="384" t="s">
        <v>109</v>
      </c>
      <c r="B33" s="390">
        <v>45931</v>
      </c>
      <c r="C33" s="379"/>
      <c r="D33" s="396">
        <f>+D32</f>
        <v>3.3000000000000002E-2</v>
      </c>
      <c r="E33" s="379"/>
      <c r="F33" s="398">
        <v>-109028.99500000001</v>
      </c>
      <c r="G33" s="379"/>
      <c r="H33" s="398"/>
      <c r="I33" s="379"/>
      <c r="J33" s="398">
        <v>12878.826630434776</v>
      </c>
      <c r="K33" s="394" t="s">
        <v>272</v>
      </c>
      <c r="L33" s="398"/>
      <c r="M33" s="401"/>
      <c r="N33" s="398"/>
      <c r="O33" s="380"/>
      <c r="P33" s="398">
        <f t="shared" si="3"/>
        <v>12878.826630434776</v>
      </c>
      <c r="Q33" s="380"/>
      <c r="R33" s="399">
        <f>ROUND((P33/F33),5)</f>
        <v>-0.11812</v>
      </c>
      <c r="S33"/>
    </row>
    <row r="34" spans="1:19" ht="17.25" customHeight="1" x14ac:dyDescent="0.25">
      <c r="A34" s="384" t="s">
        <v>114</v>
      </c>
      <c r="B34" s="390">
        <v>45931</v>
      </c>
      <c r="C34" s="379"/>
      <c r="D34" s="396"/>
      <c r="E34" s="379"/>
      <c r="F34" s="398"/>
      <c r="G34" s="379"/>
      <c r="H34" s="398">
        <v>1405379.6940217388</v>
      </c>
      <c r="I34" s="379"/>
      <c r="J34" s="398"/>
      <c r="K34" s="394"/>
      <c r="L34" s="398"/>
      <c r="M34" s="401"/>
      <c r="N34" s="398"/>
      <c r="O34" s="380"/>
      <c r="P34" s="398">
        <f t="shared" si="3"/>
        <v>1405379.6940217388</v>
      </c>
      <c r="Q34" s="380"/>
      <c r="R34" s="399">
        <v>9.9839999999999998E-2</v>
      </c>
      <c r="S34"/>
    </row>
    <row r="35" spans="1:19" ht="17.25" customHeight="1" x14ac:dyDescent="0.25">
      <c r="A35" s="384" t="s">
        <v>115</v>
      </c>
      <c r="B35" s="390">
        <v>53236</v>
      </c>
      <c r="C35" s="379"/>
      <c r="D35" s="396">
        <v>4.3749999999999997E-2</v>
      </c>
      <c r="E35" s="379"/>
      <c r="F35" s="398">
        <v>250000000</v>
      </c>
      <c r="G35" s="379"/>
      <c r="H35" s="398">
        <f>ROUND(D35*F35,0)</f>
        <v>10937500</v>
      </c>
      <c r="I35" s="379"/>
      <c r="J35" s="398">
        <v>85609.996195653948</v>
      </c>
      <c r="K35" s="394" t="s">
        <v>272</v>
      </c>
      <c r="L35" s="398"/>
      <c r="M35" s="401"/>
      <c r="N35" s="398"/>
      <c r="O35" s="380"/>
      <c r="P35" s="398">
        <f t="shared" si="3"/>
        <v>11023109.996195653</v>
      </c>
      <c r="Q35" s="380"/>
      <c r="R35" s="399">
        <f>ROUND((P35/F35),5)</f>
        <v>4.4089999999999997E-2</v>
      </c>
      <c r="S35"/>
    </row>
    <row r="36" spans="1:19" ht="17.25" customHeight="1" x14ac:dyDescent="0.25">
      <c r="A36" s="384" t="s">
        <v>109</v>
      </c>
      <c r="B36" s="390">
        <v>53236</v>
      </c>
      <c r="C36" s="379"/>
      <c r="D36" s="396">
        <f>+D35</f>
        <v>4.3749999999999997E-2</v>
      </c>
      <c r="E36" s="379"/>
      <c r="F36" s="398">
        <v>-196785.1925</v>
      </c>
      <c r="G36" s="379"/>
      <c r="H36" s="398"/>
      <c r="I36" s="379"/>
      <c r="J36" s="398">
        <v>6909.7277173913244</v>
      </c>
      <c r="K36" s="394" t="s">
        <v>272</v>
      </c>
      <c r="L36" s="398"/>
      <c r="M36" s="401"/>
      <c r="N36" s="398"/>
      <c r="O36" s="380"/>
      <c r="P36" s="398">
        <f t="shared" si="3"/>
        <v>6909.7277173913244</v>
      </c>
      <c r="Q36" s="380"/>
      <c r="R36" s="399">
        <f>ROUND((P36/F36),5)</f>
        <v>-3.5110000000000002E-2</v>
      </c>
      <c r="S36"/>
    </row>
    <row r="37" spans="1:19" ht="17.25" customHeight="1" x14ac:dyDescent="0.25">
      <c r="A37" s="384" t="s">
        <v>114</v>
      </c>
      <c r="B37" s="390">
        <v>53236</v>
      </c>
      <c r="C37" s="379"/>
      <c r="D37" s="396"/>
      <c r="E37" s="379"/>
      <c r="F37" s="398"/>
      <c r="G37" s="379"/>
      <c r="H37" s="398">
        <v>986056.18858695356</v>
      </c>
      <c r="I37" s="379"/>
      <c r="J37" s="398"/>
      <c r="K37" s="394"/>
      <c r="L37" s="398"/>
      <c r="M37" s="401"/>
      <c r="N37" s="398"/>
      <c r="O37" s="380"/>
      <c r="P37" s="398">
        <f t="shared" si="3"/>
        <v>986056.18858695356</v>
      </c>
      <c r="Q37" s="380"/>
      <c r="R37" s="399">
        <v>3.3300000000000003E-2</v>
      </c>
      <c r="S37"/>
    </row>
    <row r="38" spans="1:19" ht="17.25" customHeight="1" x14ac:dyDescent="0.25">
      <c r="A38" s="384"/>
      <c r="B38" s="390"/>
      <c r="C38" s="379"/>
      <c r="D38" s="396"/>
      <c r="E38" s="379"/>
      <c r="F38" s="398"/>
      <c r="G38" s="379"/>
      <c r="H38" s="398"/>
      <c r="I38" s="379"/>
      <c r="J38" s="398"/>
      <c r="K38" s="394"/>
      <c r="L38" s="398"/>
      <c r="M38" s="401"/>
      <c r="N38" s="398"/>
      <c r="O38" s="380"/>
      <c r="P38" s="398"/>
      <c r="Q38" s="380"/>
      <c r="R38" s="399"/>
      <c r="S38"/>
    </row>
    <row r="39" spans="1:19" ht="17.25" customHeight="1" x14ac:dyDescent="0.25">
      <c r="A39" s="384" t="s">
        <v>116</v>
      </c>
      <c r="B39" s="390">
        <v>44196</v>
      </c>
      <c r="C39" s="379"/>
      <c r="D39" s="411"/>
      <c r="E39" s="379"/>
      <c r="F39" s="398"/>
      <c r="G39" s="379"/>
      <c r="H39" s="398"/>
      <c r="I39" s="379"/>
      <c r="J39" s="412">
        <v>502614.48206521745</v>
      </c>
      <c r="K39" s="379">
        <v>2</v>
      </c>
      <c r="L39" s="398">
        <v>43262.418478260872</v>
      </c>
      <c r="M39" s="379"/>
      <c r="N39" s="398">
        <v>506944.44444444444</v>
      </c>
      <c r="O39" s="380" t="s">
        <v>273</v>
      </c>
      <c r="P39" s="398">
        <f>H39+J39+L39+N39</f>
        <v>1052821.3449879228</v>
      </c>
      <c r="Q39" s="380"/>
      <c r="R39" s="399"/>
      <c r="S39"/>
    </row>
    <row r="40" spans="1:19" ht="17.25" customHeight="1" thickBot="1" x14ac:dyDescent="0.3">
      <c r="A40" s="384"/>
      <c r="B40" s="390"/>
      <c r="C40" s="379"/>
      <c r="D40" s="396"/>
      <c r="E40" s="379"/>
      <c r="F40" s="398"/>
      <c r="G40" s="379"/>
      <c r="H40" s="398"/>
      <c r="I40" s="379"/>
      <c r="J40" s="398"/>
      <c r="K40" s="394"/>
      <c r="L40" s="398"/>
      <c r="M40" s="401"/>
      <c r="N40" s="398"/>
      <c r="O40" s="380"/>
      <c r="P40" s="398"/>
      <c r="Q40" s="380"/>
      <c r="R40" s="399"/>
      <c r="S40"/>
    </row>
    <row r="41" spans="1:19" ht="17.25" customHeight="1" thickBot="1" x14ac:dyDescent="0.3">
      <c r="A41" s="403" t="s">
        <v>118</v>
      </c>
      <c r="B41" s="404"/>
      <c r="C41" s="379"/>
      <c r="D41" s="405"/>
      <c r="E41" s="379"/>
      <c r="F41" s="406">
        <f>SUM(F27:F40)</f>
        <v>1080661613.3575001</v>
      </c>
      <c r="G41" s="407"/>
      <c r="H41" s="406">
        <f>SUM(H27:H40)</f>
        <v>48026481.950543471</v>
      </c>
      <c r="I41" s="407"/>
      <c r="J41" s="406">
        <f>SUM(J27:J40)</f>
        <v>1218956.618478264</v>
      </c>
      <c r="K41" s="407"/>
      <c r="L41" s="406">
        <f>SUM(L27:L40)</f>
        <v>43262.418478260872</v>
      </c>
      <c r="M41" s="407"/>
      <c r="N41" s="406">
        <f>SUM(N27:N40)</f>
        <v>506944.44444444444</v>
      </c>
      <c r="O41" s="408"/>
      <c r="P41" s="406">
        <f>SUM(P27:P40)</f>
        <v>49795645.431944437</v>
      </c>
      <c r="Q41" s="380"/>
      <c r="R41" s="409">
        <f>ROUND(+P41/F41,5)</f>
        <v>4.6080000000000003E-2</v>
      </c>
      <c r="S41"/>
    </row>
    <row r="42" spans="1:19" ht="17.25" customHeight="1" x14ac:dyDescent="0.25">
      <c r="A42" s="384"/>
      <c r="B42" s="404"/>
      <c r="C42" s="379"/>
      <c r="D42" s="405"/>
      <c r="E42" s="379"/>
      <c r="F42" s="393"/>
      <c r="G42" s="394"/>
      <c r="H42" s="393"/>
      <c r="I42" s="379"/>
      <c r="J42" s="393"/>
      <c r="K42" s="394"/>
      <c r="L42" s="392"/>
      <c r="M42" s="395"/>
      <c r="N42" s="392"/>
      <c r="O42" s="380"/>
      <c r="P42" s="392"/>
      <c r="Q42" s="380"/>
      <c r="R42" s="413"/>
      <c r="S42"/>
    </row>
    <row r="43" spans="1:19" ht="17.25" customHeight="1" x14ac:dyDescent="0.25">
      <c r="A43" s="384" t="s">
        <v>210</v>
      </c>
      <c r="B43" s="378"/>
      <c r="C43" s="379"/>
      <c r="D43" s="380"/>
      <c r="E43" s="379"/>
      <c r="F43" s="392"/>
      <c r="G43" s="379"/>
      <c r="H43" s="392"/>
      <c r="I43" s="379"/>
      <c r="J43" s="414"/>
      <c r="K43" s="394"/>
      <c r="L43" s="393"/>
      <c r="M43" s="394"/>
      <c r="N43" s="393"/>
      <c r="O43" s="380"/>
      <c r="P43" s="392"/>
      <c r="Q43" s="380"/>
      <c r="R43" s="413"/>
      <c r="S43"/>
    </row>
    <row r="44" spans="1:19" ht="17.25" customHeight="1" x14ac:dyDescent="0.25">
      <c r="A44" s="415" t="s">
        <v>211</v>
      </c>
      <c r="B44" s="390">
        <v>44136</v>
      </c>
      <c r="C44" s="379">
        <v>1</v>
      </c>
      <c r="D44" s="416"/>
      <c r="E44" s="379"/>
      <c r="F44" s="392"/>
      <c r="G44" s="379"/>
      <c r="H44" s="408">
        <v>3874159.39</v>
      </c>
      <c r="I44" s="407"/>
      <c r="J44" s="408">
        <v>0</v>
      </c>
      <c r="K44" s="407"/>
      <c r="L44" s="408">
        <v>0</v>
      </c>
      <c r="M44" s="407"/>
      <c r="N44" s="408">
        <v>0</v>
      </c>
      <c r="O44" s="408"/>
      <c r="P44" s="398">
        <f>H44+J44+L44+N44</f>
        <v>3874159.39</v>
      </c>
      <c r="Q44" s="380"/>
      <c r="R44" s="413"/>
      <c r="S44"/>
    </row>
    <row r="45" spans="1:19" ht="17.25" customHeight="1" x14ac:dyDescent="0.25">
      <c r="A45" s="415" t="s">
        <v>212</v>
      </c>
      <c r="B45" s="390">
        <v>48853</v>
      </c>
      <c r="C45" s="379">
        <v>1</v>
      </c>
      <c r="D45" s="416"/>
      <c r="E45" s="379"/>
      <c r="F45" s="392"/>
      <c r="G45" s="379"/>
      <c r="H45" s="398">
        <v>958693.61</v>
      </c>
      <c r="I45" s="379"/>
      <c r="J45" s="398">
        <v>0</v>
      </c>
      <c r="K45" s="394"/>
      <c r="L45" s="398">
        <v>0</v>
      </c>
      <c r="M45" s="401"/>
      <c r="N45" s="398">
        <v>0</v>
      </c>
      <c r="O45" s="380"/>
      <c r="P45" s="398">
        <f>H45+J45+L45+N45</f>
        <v>958693.61</v>
      </c>
      <c r="Q45" s="380"/>
      <c r="R45" s="413"/>
      <c r="S45"/>
    </row>
    <row r="46" spans="1:19" s="332" customFormat="1" ht="30.75" x14ac:dyDescent="0.25">
      <c r="A46" s="415" t="s">
        <v>213</v>
      </c>
      <c r="B46" s="390">
        <v>48853</v>
      </c>
      <c r="C46" s="379">
        <v>1</v>
      </c>
      <c r="D46" s="416"/>
      <c r="E46" s="379"/>
      <c r="F46" s="392"/>
      <c r="G46" s="379"/>
      <c r="H46" s="398">
        <v>954884.95</v>
      </c>
      <c r="I46" s="379"/>
      <c r="J46" s="398">
        <v>0</v>
      </c>
      <c r="K46" s="394"/>
      <c r="L46" s="398">
        <v>0</v>
      </c>
      <c r="M46" s="401"/>
      <c r="N46" s="398">
        <v>0</v>
      </c>
      <c r="O46" s="380"/>
      <c r="P46" s="398">
        <f>H46+J46+L46+N46</f>
        <v>954884.95</v>
      </c>
      <c r="Q46" s="380"/>
      <c r="R46" s="413"/>
      <c r="S46"/>
    </row>
    <row r="47" spans="1:19" s="332" customFormat="1" ht="17.25" customHeight="1" thickBot="1" x14ac:dyDescent="0.3">
      <c r="A47" s="415" t="s">
        <v>274</v>
      </c>
      <c r="B47" s="390">
        <v>48853</v>
      </c>
      <c r="C47" s="379" t="s">
        <v>275</v>
      </c>
      <c r="D47" s="416"/>
      <c r="E47" s="379"/>
      <c r="F47" s="392"/>
      <c r="G47" s="379"/>
      <c r="H47" s="398">
        <v>0</v>
      </c>
      <c r="I47" s="379"/>
      <c r="J47" s="398">
        <v>0</v>
      </c>
      <c r="K47" s="394"/>
      <c r="L47" s="398">
        <v>0</v>
      </c>
      <c r="M47" s="401"/>
      <c r="N47" s="398">
        <v>0</v>
      </c>
      <c r="O47" s="380"/>
      <c r="P47" s="398">
        <f>H47+J47+L47+N47</f>
        <v>0</v>
      </c>
      <c r="Q47" s="380"/>
      <c r="R47" s="413"/>
      <c r="S47"/>
    </row>
    <row r="48" spans="1:19" s="332" customFormat="1" ht="17.25" customHeight="1" thickBot="1" x14ac:dyDescent="0.3">
      <c r="A48" s="403" t="s">
        <v>276</v>
      </c>
      <c r="B48" s="390"/>
      <c r="C48" s="379"/>
      <c r="D48" s="380"/>
      <c r="E48" s="379"/>
      <c r="F48" s="392"/>
      <c r="G48" s="379"/>
      <c r="H48" s="406">
        <f>SUM(H44:H47)</f>
        <v>5787737.9500000002</v>
      </c>
      <c r="I48" s="407"/>
      <c r="J48" s="406">
        <f>SUM(J44:J47)</f>
        <v>0</v>
      </c>
      <c r="K48" s="407"/>
      <c r="L48" s="406">
        <f>SUM(L44:L47)</f>
        <v>0</v>
      </c>
      <c r="M48" s="407"/>
      <c r="N48" s="406">
        <f>SUM(N44:N47)</f>
        <v>0</v>
      </c>
      <c r="O48" s="408"/>
      <c r="P48" s="406">
        <f>SUM(P44:P47)</f>
        <v>5787737.9500000002</v>
      </c>
      <c r="Q48" s="380"/>
      <c r="R48" s="409">
        <f>ROUND(+P48/F54,5)</f>
        <v>3.5500000000000002E-3</v>
      </c>
      <c r="S48"/>
    </row>
    <row r="49" spans="1:21" ht="17.25" customHeight="1" x14ac:dyDescent="0.25">
      <c r="A49" s="384"/>
      <c r="B49" s="390"/>
      <c r="C49" s="379"/>
      <c r="D49" s="380"/>
      <c r="E49" s="379"/>
      <c r="F49" s="417"/>
      <c r="G49" s="379"/>
      <c r="H49" s="392"/>
      <c r="I49" s="379"/>
      <c r="J49" s="393"/>
      <c r="K49" s="394"/>
      <c r="L49" s="393"/>
      <c r="M49" s="394"/>
      <c r="N49" s="393"/>
      <c r="O49" s="380"/>
      <c r="P49" s="392"/>
      <c r="Q49" s="380"/>
      <c r="R49" s="399"/>
      <c r="S49"/>
    </row>
    <row r="50" spans="1:21" x14ac:dyDescent="0.25">
      <c r="A50" s="384" t="s">
        <v>119</v>
      </c>
      <c r="B50" s="390"/>
      <c r="C50" s="400"/>
      <c r="D50" s="396"/>
      <c r="E50" s="379"/>
      <c r="F50" s="408">
        <v>0</v>
      </c>
      <c r="G50" s="407"/>
      <c r="H50" s="408">
        <v>0</v>
      </c>
      <c r="I50" s="407"/>
      <c r="J50" s="408">
        <v>0</v>
      </c>
      <c r="K50" s="407"/>
      <c r="L50" s="408">
        <v>0</v>
      </c>
      <c r="M50" s="407"/>
      <c r="N50" s="408">
        <v>0</v>
      </c>
      <c r="O50" s="408"/>
      <c r="P50" s="408">
        <f>SUM(H50,J50,N50)</f>
        <v>0</v>
      </c>
      <c r="Q50" s="380"/>
      <c r="R50" s="399"/>
      <c r="S50"/>
    </row>
    <row r="51" spans="1:21" ht="16.5" thickBot="1" x14ac:dyDescent="0.3">
      <c r="A51" s="384"/>
      <c r="B51" s="390"/>
      <c r="C51" s="379"/>
      <c r="D51" s="396"/>
      <c r="E51" s="379"/>
      <c r="F51" s="398"/>
      <c r="G51" s="379"/>
      <c r="H51" s="392"/>
      <c r="I51" s="379"/>
      <c r="J51" s="398">
        <v>0</v>
      </c>
      <c r="K51" s="418"/>
      <c r="L51" s="398">
        <v>0</v>
      </c>
      <c r="M51" s="401"/>
      <c r="N51" s="398">
        <v>0</v>
      </c>
      <c r="O51" s="380"/>
      <c r="P51" s="398">
        <f>SUM(H51,J51,N51)</f>
        <v>0</v>
      </c>
      <c r="Q51" s="380"/>
      <c r="R51" s="399"/>
      <c r="S51"/>
    </row>
    <row r="52" spans="1:21" ht="16.5" thickBot="1" x14ac:dyDescent="0.3">
      <c r="A52" s="403" t="s">
        <v>120</v>
      </c>
      <c r="B52" s="390"/>
      <c r="C52" s="379"/>
      <c r="D52" s="391"/>
      <c r="E52" s="379"/>
      <c r="F52" s="406">
        <f>SUM(F50:F51)</f>
        <v>0</v>
      </c>
      <c r="G52" s="407"/>
      <c r="H52" s="406">
        <f>SUM(H50:H51)</f>
        <v>0</v>
      </c>
      <c r="I52" s="407"/>
      <c r="J52" s="406">
        <f>SUM(J51:J51)</f>
        <v>0</v>
      </c>
      <c r="K52" s="407"/>
      <c r="L52" s="406">
        <f>SUM(L51:L51)</f>
        <v>0</v>
      </c>
      <c r="M52" s="407"/>
      <c r="N52" s="406">
        <f>SUM(N51:N51)</f>
        <v>0</v>
      </c>
      <c r="O52" s="408"/>
      <c r="P52" s="406">
        <f>SUM(P50:P51)</f>
        <v>0</v>
      </c>
      <c r="Q52" s="380"/>
      <c r="R52" s="409">
        <f>ROUND(+P52/F54,5)</f>
        <v>0</v>
      </c>
      <c r="S52"/>
      <c r="U52" s="209"/>
    </row>
    <row r="53" spans="1:21" ht="16.5" thickBot="1" x14ac:dyDescent="0.3">
      <c r="A53" s="384"/>
      <c r="B53" s="378"/>
      <c r="C53" s="379"/>
      <c r="D53" s="405"/>
      <c r="E53" s="379"/>
      <c r="F53" s="392"/>
      <c r="G53" s="379"/>
      <c r="H53" s="392"/>
      <c r="I53" s="379"/>
      <c r="J53" s="393"/>
      <c r="K53" s="394"/>
      <c r="L53" s="392"/>
      <c r="M53" s="395"/>
      <c r="N53" s="392"/>
      <c r="O53" s="392"/>
      <c r="P53" s="392"/>
      <c r="Q53" s="380"/>
      <c r="R53" s="399"/>
      <c r="S53"/>
    </row>
    <row r="54" spans="1:21" ht="16.5" thickBot="1" x14ac:dyDescent="0.3">
      <c r="A54" s="384"/>
      <c r="B54" s="378"/>
      <c r="C54" s="379"/>
      <c r="D54" s="405" t="s">
        <v>100</v>
      </c>
      <c r="E54" s="379"/>
      <c r="F54" s="419">
        <f>F25+F41+F52</f>
        <v>1629965613.3575001</v>
      </c>
      <c r="G54" s="408"/>
      <c r="H54" s="419">
        <f>H25+H41+H48+H52</f>
        <v>62964768.900543474</v>
      </c>
      <c r="I54" s="407"/>
      <c r="J54" s="419">
        <f>J25+J41+J48+J52</f>
        <v>1857062.2744565252</v>
      </c>
      <c r="K54" s="407"/>
      <c r="L54" s="419">
        <f>L25+L41+L48+L52</f>
        <v>974543.09673913021</v>
      </c>
      <c r="M54" s="407"/>
      <c r="N54" s="419">
        <f>N25+N41+N48+N52</f>
        <v>684847.38444444444</v>
      </c>
      <c r="O54" s="408"/>
      <c r="P54" s="419">
        <f>P25+P41+P48+P52</f>
        <v>66481221.656183571</v>
      </c>
      <c r="Q54" s="380"/>
      <c r="R54" s="409">
        <f>ROUND(+P54/F54,5)</f>
        <v>4.079E-2</v>
      </c>
      <c r="S54"/>
    </row>
    <row r="55" spans="1:21" ht="16.5" thickTop="1" x14ac:dyDescent="0.25">
      <c r="A55" s="420"/>
      <c r="B55" s="386"/>
      <c r="C55" s="421"/>
      <c r="D55" s="422"/>
      <c r="E55" s="421"/>
      <c r="F55" s="423"/>
      <c r="G55" s="424"/>
      <c r="H55" s="423"/>
      <c r="I55" s="421"/>
      <c r="J55" s="423"/>
      <c r="K55" s="425"/>
      <c r="L55" s="378"/>
      <c r="M55" s="379"/>
      <c r="N55" s="423"/>
      <c r="O55" s="423"/>
      <c r="P55" s="423"/>
      <c r="Q55" s="424"/>
      <c r="R55" s="426"/>
      <c r="S55"/>
    </row>
    <row r="56" spans="1:21" x14ac:dyDescent="0.25">
      <c r="A56" s="416"/>
      <c r="B56" s="427"/>
      <c r="C56" s="410"/>
      <c r="D56" s="428"/>
      <c r="E56" s="410"/>
      <c r="F56" s="429"/>
      <c r="G56" s="416"/>
      <c r="H56" s="429"/>
      <c r="I56" s="430"/>
      <c r="J56" s="429"/>
      <c r="K56" s="379"/>
      <c r="L56" s="431"/>
      <c r="M56" s="432"/>
      <c r="N56" s="429"/>
      <c r="O56" s="429"/>
      <c r="P56" s="429"/>
      <c r="Q56" s="416"/>
      <c r="R56" s="433"/>
      <c r="S56"/>
    </row>
    <row r="57" spans="1:21" x14ac:dyDescent="0.25">
      <c r="A57" s="416"/>
      <c r="B57" s="427"/>
      <c r="C57" s="410"/>
      <c r="D57" s="428"/>
      <c r="E57" s="410"/>
      <c r="F57" s="429"/>
      <c r="G57" s="416"/>
      <c r="H57" s="429"/>
      <c r="I57" s="430"/>
      <c r="J57" s="429"/>
      <c r="K57" s="379"/>
      <c r="L57" s="429"/>
      <c r="M57" s="434"/>
      <c r="N57" s="429"/>
      <c r="O57" s="429"/>
      <c r="P57" s="429"/>
      <c r="Q57" s="416"/>
      <c r="R57" s="433"/>
      <c r="S57"/>
    </row>
    <row r="58" spans="1:21" s="213" customFormat="1" x14ac:dyDescent="0.25">
      <c r="A58" s="435"/>
      <c r="B58" s="427"/>
      <c r="C58" s="410"/>
      <c r="D58" s="428"/>
      <c r="E58" s="410"/>
      <c r="F58" s="429"/>
      <c r="G58" s="416"/>
      <c r="H58" s="429"/>
      <c r="I58" s="430"/>
      <c r="J58" s="429"/>
      <c r="K58" s="434"/>
      <c r="L58" s="429"/>
      <c r="M58" s="434"/>
      <c r="N58" s="429"/>
      <c r="O58" s="429"/>
      <c r="P58" s="429"/>
      <c r="Q58" s="416"/>
      <c r="R58" s="433"/>
      <c r="S58"/>
    </row>
    <row r="59" spans="1:21" x14ac:dyDescent="0.25">
      <c r="A59" s="416"/>
      <c r="B59" s="427"/>
      <c r="C59" s="410"/>
      <c r="D59" s="428"/>
      <c r="E59" s="410"/>
      <c r="F59" s="429"/>
      <c r="G59" s="416"/>
      <c r="H59" s="429"/>
      <c r="I59" s="410"/>
      <c r="J59" s="429"/>
      <c r="K59" s="434"/>
      <c r="L59" s="429"/>
      <c r="M59" s="434"/>
      <c r="N59" s="429"/>
      <c r="O59" s="429"/>
      <c r="P59" s="429"/>
      <c r="Q59" s="416"/>
      <c r="R59" s="433"/>
      <c r="S59"/>
    </row>
    <row r="60" spans="1:21" x14ac:dyDescent="0.25">
      <c r="A60" s="652" t="s">
        <v>121</v>
      </c>
      <c r="B60" s="653"/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4"/>
      <c r="S60"/>
    </row>
    <row r="61" spans="1:21" x14ac:dyDescent="0.25">
      <c r="A61" s="384"/>
      <c r="B61" s="378"/>
      <c r="C61" s="379"/>
      <c r="D61" s="380"/>
      <c r="E61" s="379"/>
      <c r="F61" s="380"/>
      <c r="G61" s="380"/>
      <c r="H61" s="380"/>
      <c r="I61" s="379"/>
      <c r="J61" s="380"/>
      <c r="K61" s="379"/>
      <c r="L61" s="380"/>
      <c r="M61" s="379"/>
      <c r="N61" s="380"/>
      <c r="O61" s="380"/>
      <c r="P61" s="380"/>
      <c r="Q61" s="380"/>
      <c r="R61" s="381"/>
      <c r="S61"/>
    </row>
    <row r="62" spans="1:21" x14ac:dyDescent="0.25">
      <c r="A62" s="384"/>
      <c r="B62" s="378"/>
      <c r="C62" s="379"/>
      <c r="D62" s="380"/>
      <c r="E62" s="379"/>
      <c r="F62" s="380"/>
      <c r="G62" s="380"/>
      <c r="H62" s="655" t="s">
        <v>89</v>
      </c>
      <c r="I62" s="655"/>
      <c r="J62" s="655"/>
      <c r="K62" s="655"/>
      <c r="L62" s="655"/>
      <c r="M62" s="655"/>
      <c r="N62" s="655"/>
      <c r="O62" s="655"/>
      <c r="P62" s="655"/>
      <c r="Q62" s="380"/>
      <c r="R62" s="381"/>
      <c r="S62"/>
    </row>
    <row r="63" spans="1:21" x14ac:dyDescent="0.25">
      <c r="A63" s="384"/>
      <c r="B63" s="378"/>
      <c r="C63" s="379"/>
      <c r="D63" s="380"/>
      <c r="E63" s="379"/>
      <c r="F63" s="380"/>
      <c r="G63" s="380"/>
      <c r="H63" s="380"/>
      <c r="I63" s="379"/>
      <c r="J63" s="380"/>
      <c r="K63" s="379"/>
      <c r="L63" s="380"/>
      <c r="M63" s="379"/>
      <c r="N63" s="380"/>
      <c r="O63" s="380"/>
      <c r="P63" s="380"/>
      <c r="Q63" s="380"/>
      <c r="R63" s="383" t="s">
        <v>93</v>
      </c>
      <c r="S63"/>
    </row>
    <row r="64" spans="1:21" x14ac:dyDescent="0.25">
      <c r="A64" s="384"/>
      <c r="B64" s="378" t="s">
        <v>122</v>
      </c>
      <c r="C64" s="379"/>
      <c r="D64" s="385" t="s">
        <v>277</v>
      </c>
      <c r="E64" s="379"/>
      <c r="F64" s="385" t="s">
        <v>278</v>
      </c>
      <c r="G64" s="380"/>
      <c r="H64" s="385" t="s">
        <v>279</v>
      </c>
      <c r="I64" s="379"/>
      <c r="J64" s="385" t="s">
        <v>280</v>
      </c>
      <c r="K64" s="379"/>
      <c r="L64" s="385" t="s">
        <v>281</v>
      </c>
      <c r="M64" s="436"/>
      <c r="N64" s="385" t="s">
        <v>123</v>
      </c>
      <c r="O64" s="378"/>
      <c r="P64" s="385" t="s">
        <v>282</v>
      </c>
      <c r="Q64" s="380"/>
      <c r="R64" s="437" t="s">
        <v>283</v>
      </c>
      <c r="S64"/>
    </row>
    <row r="65" spans="1:20" x14ac:dyDescent="0.25">
      <c r="A65" s="384"/>
      <c r="B65" s="378"/>
      <c r="C65" s="379"/>
      <c r="D65" s="380"/>
      <c r="E65" s="379"/>
      <c r="F65" s="380"/>
      <c r="G65" s="380"/>
      <c r="H65" s="380"/>
      <c r="I65" s="379"/>
      <c r="J65" s="380"/>
      <c r="K65" s="379"/>
      <c r="L65" s="380"/>
      <c r="M65" s="379"/>
      <c r="N65" s="380"/>
      <c r="O65" s="380"/>
      <c r="P65" s="380"/>
      <c r="Q65" s="380"/>
      <c r="R65" s="381"/>
      <c r="S65"/>
    </row>
    <row r="66" spans="1:20" x14ac:dyDescent="0.25">
      <c r="A66" s="384" t="s">
        <v>124</v>
      </c>
      <c r="B66" s="378" t="s">
        <v>125</v>
      </c>
      <c r="C66" s="379"/>
      <c r="D66" s="396">
        <v>2.6800000000000001E-3</v>
      </c>
      <c r="E66" s="397" t="s">
        <v>103</v>
      </c>
      <c r="F66" s="438">
        <v>334783.61</v>
      </c>
      <c r="G66" s="408"/>
      <c r="H66" s="408">
        <f>ROUND(D66*F66,0)</f>
        <v>897</v>
      </c>
      <c r="I66" s="407"/>
      <c r="J66" s="439">
        <v>0</v>
      </c>
      <c r="K66" s="407"/>
      <c r="L66" s="439">
        <v>0</v>
      </c>
      <c r="M66" s="407"/>
      <c r="N66" s="439">
        <v>0</v>
      </c>
      <c r="O66" s="408"/>
      <c r="P66" s="408">
        <f>SUM(H66:N66)</f>
        <v>897</v>
      </c>
      <c r="Q66" s="380"/>
      <c r="R66" s="399">
        <f>IF(F66=0,0,(ROUND((P66/F66),5)))</f>
        <v>2.6800000000000001E-3</v>
      </c>
      <c r="S66"/>
    </row>
    <row r="67" spans="1:20" x14ac:dyDescent="0.25">
      <c r="A67" s="384" t="s">
        <v>126</v>
      </c>
      <c r="B67" s="378"/>
      <c r="C67" s="379"/>
      <c r="D67" s="396"/>
      <c r="E67" s="379"/>
      <c r="F67" s="398">
        <v>0</v>
      </c>
      <c r="G67" s="408"/>
      <c r="H67" s="398">
        <f t="shared" ref="H67" si="4">ROUND(D67*F67,0)</f>
        <v>0</v>
      </c>
      <c r="I67" s="407"/>
      <c r="J67" s="412">
        <v>0</v>
      </c>
      <c r="K67" s="407"/>
      <c r="L67" s="412">
        <v>0</v>
      </c>
      <c r="M67" s="401"/>
      <c r="N67" s="412">
        <v>0</v>
      </c>
      <c r="O67" s="408"/>
      <c r="P67" s="398">
        <f>SUM(H67:N67)</f>
        <v>0</v>
      </c>
      <c r="Q67" s="380"/>
      <c r="R67" s="399">
        <f>IF(F67=0,0,(ROUND((P67/F67),5)))</f>
        <v>0</v>
      </c>
      <c r="S67"/>
    </row>
    <row r="68" spans="1:20" x14ac:dyDescent="0.25">
      <c r="A68" s="384" t="s">
        <v>127</v>
      </c>
      <c r="B68" s="378" t="s">
        <v>128</v>
      </c>
      <c r="C68" s="379"/>
      <c r="D68" s="396">
        <v>1.1835E-2</v>
      </c>
      <c r="E68" s="379"/>
      <c r="F68" s="440">
        <v>165223785.66999999</v>
      </c>
      <c r="G68" s="380"/>
      <c r="H68" s="441">
        <f>F68*D68</f>
        <v>1955423.5034044499</v>
      </c>
      <c r="I68" s="379"/>
      <c r="J68" s="442">
        <v>0</v>
      </c>
      <c r="K68" s="379"/>
      <c r="L68" s="442">
        <v>0</v>
      </c>
      <c r="M68" s="401"/>
      <c r="N68" s="442">
        <v>0</v>
      </c>
      <c r="O68" s="380"/>
      <c r="P68" s="441">
        <f>SUM(H68:N68)</f>
        <v>1955423.5034044499</v>
      </c>
      <c r="Q68" s="380"/>
      <c r="R68" s="443">
        <f>IF(F68=0,0,(ROUND((P68/F68),5)))</f>
        <v>1.184E-2</v>
      </c>
      <c r="S68"/>
    </row>
    <row r="69" spans="1:20" ht="16.5" thickBot="1" x14ac:dyDescent="0.3">
      <c r="A69" s="384"/>
      <c r="B69" s="378"/>
      <c r="C69" s="379"/>
      <c r="D69" s="380"/>
      <c r="E69" s="379"/>
      <c r="F69" s="393"/>
      <c r="G69" s="380"/>
      <c r="H69" s="393"/>
      <c r="I69" s="379"/>
      <c r="J69" s="380"/>
      <c r="K69" s="379"/>
      <c r="L69" s="393"/>
      <c r="M69" s="394"/>
      <c r="N69" s="393"/>
      <c r="O69" s="380"/>
      <c r="P69" s="393"/>
      <c r="Q69" s="380"/>
      <c r="R69" s="399"/>
      <c r="S69"/>
    </row>
    <row r="70" spans="1:20" ht="16.5" thickBot="1" x14ac:dyDescent="0.3">
      <c r="A70" s="384"/>
      <c r="B70" s="378"/>
      <c r="C70" s="379"/>
      <c r="D70" s="380" t="s">
        <v>100</v>
      </c>
      <c r="E70" s="379"/>
      <c r="F70" s="444">
        <f>SUM(F66:F69)</f>
        <v>165558569.28</v>
      </c>
      <c r="G70" s="408"/>
      <c r="H70" s="419">
        <f>SUM(H66:H69)</f>
        <v>1956320.5034044499</v>
      </c>
      <c r="I70" s="407"/>
      <c r="J70" s="445">
        <f>SUM(J68:J69)</f>
        <v>0</v>
      </c>
      <c r="K70" s="407"/>
      <c r="L70" s="445">
        <f>SUM(L68:L69)</f>
        <v>0</v>
      </c>
      <c r="M70" s="407"/>
      <c r="N70" s="445">
        <f>SUM(N68:N69)</f>
        <v>0</v>
      </c>
      <c r="O70" s="408"/>
      <c r="P70" s="419">
        <f>SUM(P66:P69)</f>
        <v>1956320.5034044499</v>
      </c>
      <c r="Q70" s="380"/>
      <c r="R70" s="446">
        <f>IF(F70=0,0,(ROUND(P70/F70,5)))</f>
        <v>1.1820000000000001E-2</v>
      </c>
      <c r="S70"/>
    </row>
    <row r="71" spans="1:20" ht="16.5" thickTop="1" x14ac:dyDescent="0.25">
      <c r="A71" s="420"/>
      <c r="B71" s="386"/>
      <c r="C71" s="421"/>
      <c r="D71" s="424"/>
      <c r="E71" s="421"/>
      <c r="F71" s="424"/>
      <c r="G71" s="424"/>
      <c r="H71" s="447"/>
      <c r="I71" s="421"/>
      <c r="J71" s="424"/>
      <c r="K71" s="421"/>
      <c r="L71" s="447"/>
      <c r="M71" s="448"/>
      <c r="N71" s="447"/>
      <c r="O71" s="424"/>
      <c r="P71" s="424"/>
      <c r="Q71" s="424"/>
      <c r="R71" s="443"/>
      <c r="S71"/>
    </row>
    <row r="72" spans="1:20" ht="16.5" thickBot="1" x14ac:dyDescent="0.3">
      <c r="A72" s="416"/>
      <c r="B72" s="427"/>
      <c r="C72" s="410"/>
      <c r="D72" s="428"/>
      <c r="E72" s="410"/>
      <c r="F72" s="429"/>
      <c r="G72" s="416"/>
      <c r="H72" s="429"/>
      <c r="I72" s="410"/>
      <c r="J72" s="416"/>
      <c r="K72" s="410"/>
      <c r="L72" s="416"/>
      <c r="M72" s="410"/>
      <c r="N72" s="416"/>
      <c r="O72" s="416"/>
      <c r="P72" s="429"/>
      <c r="Q72" s="416"/>
      <c r="R72" s="449"/>
      <c r="S72"/>
    </row>
    <row r="73" spans="1:20" ht="16.5" thickBot="1" x14ac:dyDescent="0.3">
      <c r="A73" s="416" t="s">
        <v>129</v>
      </c>
      <c r="B73" s="427"/>
      <c r="C73" s="410"/>
      <c r="D73" s="428"/>
      <c r="E73" s="410"/>
      <c r="F73" s="450">
        <f>F54+F70</f>
        <v>1795524182.6375</v>
      </c>
      <c r="G73" s="451"/>
      <c r="H73" s="450">
        <f>H54+H70</f>
        <v>64921089.403947927</v>
      </c>
      <c r="I73" s="452"/>
      <c r="J73" s="450">
        <f>J54+J70</f>
        <v>1857062.2744565252</v>
      </c>
      <c r="K73" s="453"/>
      <c r="L73" s="450">
        <f>L54+L70</f>
        <v>974543.09673913021</v>
      </c>
      <c r="M73" s="407"/>
      <c r="N73" s="450">
        <f>N54+N70</f>
        <v>684847.38444444444</v>
      </c>
      <c r="O73" s="451"/>
      <c r="P73" s="450">
        <f>P54+P70</f>
        <v>68437542.159588024</v>
      </c>
      <c r="Q73" s="416"/>
      <c r="R73" s="446">
        <f>ROUND(P73/(F54+F70),5)</f>
        <v>3.8120000000000001E-2</v>
      </c>
      <c r="S73"/>
    </row>
    <row r="74" spans="1:20" ht="16.5" thickTop="1" x14ac:dyDescent="0.25">
      <c r="A74" s="416"/>
      <c r="B74" s="427"/>
      <c r="C74" s="410"/>
      <c r="D74" s="428"/>
      <c r="E74" s="410"/>
      <c r="F74" s="429"/>
      <c r="G74" s="416"/>
      <c r="H74" s="429"/>
      <c r="I74" s="410"/>
      <c r="J74" s="416"/>
      <c r="K74" s="410"/>
      <c r="L74" s="416"/>
      <c r="M74" s="410"/>
      <c r="N74" s="416"/>
      <c r="O74" s="416"/>
      <c r="P74" s="429"/>
      <c r="Q74" s="416"/>
      <c r="R74" s="454"/>
      <c r="S74"/>
    </row>
    <row r="75" spans="1:20" x14ac:dyDescent="0.25">
      <c r="A75" s="416" t="s">
        <v>130</v>
      </c>
      <c r="B75" s="427"/>
      <c r="C75" s="410"/>
      <c r="D75" s="428"/>
      <c r="E75" s="410"/>
      <c r="F75" s="429"/>
      <c r="G75" s="416"/>
      <c r="H75" s="429"/>
      <c r="I75" s="410"/>
      <c r="J75" s="416"/>
      <c r="K75" s="410"/>
      <c r="L75" s="416"/>
      <c r="M75" s="410"/>
      <c r="N75" s="416"/>
      <c r="O75" s="416"/>
      <c r="P75" s="455"/>
      <c r="Q75" s="416"/>
      <c r="R75" s="449"/>
      <c r="S75"/>
    </row>
    <row r="76" spans="1:20" ht="15" customHeight="1" x14ac:dyDescent="0.25">
      <c r="A76" s="416" t="s">
        <v>131</v>
      </c>
      <c r="B76" s="427"/>
      <c r="C76" s="410"/>
      <c r="D76" s="416"/>
      <c r="E76" s="410"/>
      <c r="F76" s="416"/>
      <c r="G76" s="416"/>
      <c r="H76" s="416"/>
      <c r="I76" s="410"/>
      <c r="J76" s="416"/>
      <c r="K76" s="410"/>
      <c r="L76" s="416"/>
      <c r="M76" s="410"/>
      <c r="N76" s="416"/>
      <c r="O76" s="416"/>
      <c r="P76" s="416"/>
      <c r="Q76" s="416"/>
      <c r="R76" s="449"/>
      <c r="S76"/>
    </row>
    <row r="77" spans="1:20" x14ac:dyDescent="0.25">
      <c r="A77" s="416"/>
      <c r="B77" s="427"/>
      <c r="C77" s="410"/>
      <c r="D77" s="416"/>
      <c r="E77" s="410"/>
      <c r="F77" s="416"/>
      <c r="G77" s="416"/>
      <c r="H77" s="416"/>
      <c r="I77" s="410"/>
      <c r="J77" s="416"/>
      <c r="K77" s="410"/>
      <c r="L77" s="416"/>
      <c r="M77" s="410"/>
      <c r="N77" s="416"/>
      <c r="O77" s="416"/>
      <c r="P77" s="416"/>
      <c r="Q77" s="416"/>
      <c r="R77" s="433"/>
      <c r="S77"/>
      <c r="T77" s="214"/>
    </row>
    <row r="78" spans="1:20" x14ac:dyDescent="0.25">
      <c r="A78" s="416" t="s">
        <v>214</v>
      </c>
      <c r="B78" s="427"/>
      <c r="C78" s="410"/>
      <c r="D78" s="416"/>
      <c r="E78" s="410"/>
      <c r="F78" s="429"/>
      <c r="G78" s="416"/>
      <c r="H78" s="429"/>
      <c r="I78" s="410"/>
      <c r="J78" s="427" t="s">
        <v>215</v>
      </c>
      <c r="K78" s="410"/>
      <c r="L78" s="455" t="s">
        <v>216</v>
      </c>
      <c r="M78" s="434"/>
      <c r="N78" s="455" t="s">
        <v>216</v>
      </c>
      <c r="O78" s="416"/>
      <c r="P78" s="427" t="s">
        <v>217</v>
      </c>
      <c r="Q78" s="416"/>
      <c r="R78" s="433"/>
      <c r="S78"/>
    </row>
    <row r="79" spans="1:20" ht="15.75" customHeight="1" x14ac:dyDescent="0.25">
      <c r="A79" s="416"/>
      <c r="B79" s="427"/>
      <c r="C79" s="410"/>
      <c r="D79" s="416"/>
      <c r="E79" s="410"/>
      <c r="F79" s="429"/>
      <c r="G79" s="416"/>
      <c r="H79" s="429"/>
      <c r="I79" s="410"/>
      <c r="J79" s="427" t="s">
        <v>218</v>
      </c>
      <c r="K79" s="410"/>
      <c r="L79" s="455" t="s">
        <v>219</v>
      </c>
      <c r="M79" s="434"/>
      <c r="N79" s="455" t="s">
        <v>219</v>
      </c>
      <c r="O79" s="416"/>
      <c r="P79" s="427" t="s">
        <v>220</v>
      </c>
      <c r="Q79" s="416"/>
      <c r="R79" s="433"/>
      <c r="S79"/>
    </row>
    <row r="80" spans="1:20" x14ac:dyDescent="0.25">
      <c r="A80" s="456"/>
      <c r="B80" s="457" t="s">
        <v>284</v>
      </c>
      <c r="C80" s="410"/>
      <c r="D80" s="456"/>
      <c r="E80" s="410"/>
      <c r="F80" s="416"/>
      <c r="G80" s="416"/>
      <c r="H80" s="458" t="s">
        <v>285</v>
      </c>
      <c r="I80" s="410"/>
      <c r="J80" s="459" t="s">
        <v>286</v>
      </c>
      <c r="K80" s="410"/>
      <c r="L80" s="459" t="s">
        <v>287</v>
      </c>
      <c r="M80" s="460"/>
      <c r="N80" s="459" t="s">
        <v>287</v>
      </c>
      <c r="O80" s="416"/>
      <c r="P80" s="461" t="s">
        <v>288</v>
      </c>
      <c r="Q80" s="416"/>
      <c r="R80" s="433"/>
      <c r="S80"/>
    </row>
    <row r="81" spans="1:19" x14ac:dyDescent="0.25">
      <c r="A81" s="416"/>
      <c r="B81" s="462" t="s">
        <v>221</v>
      </c>
      <c r="C81" s="410"/>
      <c r="D81" s="416"/>
      <c r="E81" s="410"/>
      <c r="F81" s="429"/>
      <c r="G81" s="416"/>
      <c r="H81" s="429">
        <v>83335000</v>
      </c>
      <c r="I81" s="410"/>
      <c r="J81" s="463">
        <v>44136</v>
      </c>
      <c r="K81" s="464"/>
      <c r="L81" s="465">
        <v>5.4949999999999999E-2</v>
      </c>
      <c r="M81" s="466"/>
      <c r="N81" s="465">
        <v>5.4949999999999999E-2</v>
      </c>
      <c r="O81" s="416"/>
      <c r="P81" s="416" t="s">
        <v>222</v>
      </c>
      <c r="Q81" s="416"/>
      <c r="R81" s="433"/>
      <c r="S81"/>
    </row>
    <row r="82" spans="1:19" x14ac:dyDescent="0.25">
      <c r="A82" s="416"/>
      <c r="B82" s="462" t="s">
        <v>223</v>
      </c>
      <c r="C82" s="410"/>
      <c r="D82" s="416"/>
      <c r="E82" s="410"/>
      <c r="F82" s="429"/>
      <c r="G82" s="416"/>
      <c r="H82" s="429">
        <v>32000000</v>
      </c>
      <c r="I82" s="410"/>
      <c r="J82" s="463">
        <v>48853</v>
      </c>
      <c r="K82" s="464"/>
      <c r="L82" s="465">
        <v>3.6569999999999998E-2</v>
      </c>
      <c r="M82" s="466"/>
      <c r="N82" s="465">
        <v>3.6569999999999998E-2</v>
      </c>
      <c r="O82" s="416"/>
      <c r="P82" s="462" t="s">
        <v>224</v>
      </c>
      <c r="Q82" s="416"/>
      <c r="R82" s="433"/>
      <c r="S82"/>
    </row>
    <row r="83" spans="1:19" x14ac:dyDescent="0.25">
      <c r="A83" s="416"/>
      <c r="B83" s="462" t="s">
        <v>223</v>
      </c>
      <c r="C83" s="410"/>
      <c r="D83" s="416"/>
      <c r="E83" s="410"/>
      <c r="F83" s="429"/>
      <c r="G83" s="416"/>
      <c r="H83" s="429">
        <v>32000000</v>
      </c>
      <c r="I83" s="410"/>
      <c r="J83" s="463">
        <v>48853</v>
      </c>
      <c r="K83" s="464"/>
      <c r="L83" s="465">
        <v>3.6450000000000003E-2</v>
      </c>
      <c r="M83" s="466"/>
      <c r="N83" s="465">
        <v>3.6450000000000003E-2</v>
      </c>
      <c r="O83" s="416"/>
      <c r="P83" s="462" t="s">
        <v>224</v>
      </c>
      <c r="Q83" s="416"/>
      <c r="R83" s="433"/>
      <c r="S83"/>
    </row>
    <row r="84" spans="1:19" x14ac:dyDescent="0.25">
      <c r="A84" s="416"/>
      <c r="B84" s="462"/>
      <c r="C84" s="410"/>
      <c r="D84" s="416"/>
      <c r="E84" s="410"/>
      <c r="F84" s="429"/>
      <c r="G84" s="416"/>
      <c r="H84" s="423"/>
      <c r="I84" s="462"/>
      <c r="J84" s="463"/>
      <c r="K84" s="464"/>
      <c r="L84" s="465"/>
      <c r="M84" s="466"/>
      <c r="N84" s="465"/>
      <c r="O84" s="416"/>
      <c r="P84" s="462"/>
      <c r="Q84" s="416"/>
      <c r="R84" s="433"/>
      <c r="S84"/>
    </row>
    <row r="85" spans="1:19" ht="16.5" thickBot="1" x14ac:dyDescent="0.3">
      <c r="A85" s="416"/>
      <c r="B85" s="427"/>
      <c r="C85" s="410"/>
      <c r="D85" s="416"/>
      <c r="E85" s="410"/>
      <c r="F85" s="429"/>
      <c r="G85" s="416"/>
      <c r="H85" s="467">
        <v>147335000</v>
      </c>
      <c r="I85" s="410"/>
      <c r="J85" s="416"/>
      <c r="K85" s="410"/>
      <c r="L85" s="468"/>
      <c r="M85" s="466"/>
      <c r="N85" s="468"/>
      <c r="O85" s="416"/>
      <c r="P85" s="416"/>
      <c r="Q85" s="416"/>
      <c r="R85" s="433"/>
      <c r="S85"/>
    </row>
    <row r="86" spans="1:19" ht="16.5" thickTop="1" x14ac:dyDescent="0.25">
      <c r="A86" s="656" t="s">
        <v>289</v>
      </c>
      <c r="B86" s="656"/>
      <c r="C86" s="656"/>
      <c r="D86" s="656"/>
      <c r="E86" s="656"/>
      <c r="F86" s="656"/>
      <c r="G86" s="656"/>
      <c r="H86" s="656"/>
      <c r="I86" s="410"/>
      <c r="J86" s="416"/>
      <c r="K86" s="410"/>
      <c r="L86" s="429"/>
      <c r="M86" s="434"/>
      <c r="N86" s="429"/>
      <c r="O86" s="429"/>
      <c r="P86" s="416"/>
      <c r="Q86" s="416"/>
      <c r="R86" s="433"/>
      <c r="S86"/>
    </row>
    <row r="87" spans="1:19" s="373" customFormat="1" x14ac:dyDescent="0.25">
      <c r="A87" s="469"/>
      <c r="B87" s="469"/>
      <c r="C87" s="469"/>
      <c r="D87" s="469"/>
      <c r="E87" s="469"/>
      <c r="F87" s="469"/>
      <c r="G87" s="469"/>
      <c r="H87" s="469"/>
      <c r="I87" s="410"/>
      <c r="J87" s="416"/>
      <c r="K87" s="410"/>
      <c r="L87" s="429"/>
      <c r="M87" s="434"/>
      <c r="N87" s="429"/>
      <c r="O87" s="429"/>
      <c r="P87" s="416"/>
      <c r="Q87" s="416"/>
      <c r="R87" s="433"/>
      <c r="S87"/>
    </row>
    <row r="88" spans="1:19" s="373" customFormat="1" x14ac:dyDescent="0.25">
      <c r="A88" s="416" t="s">
        <v>132</v>
      </c>
      <c r="B88" s="427"/>
      <c r="C88" s="410"/>
      <c r="D88" s="416"/>
      <c r="E88" s="410"/>
      <c r="F88" s="416"/>
      <c r="G88" s="416"/>
      <c r="H88" s="416"/>
      <c r="I88" s="410"/>
      <c r="J88" s="416"/>
      <c r="K88" s="410"/>
      <c r="L88" s="416"/>
      <c r="M88" s="410"/>
      <c r="N88" s="416"/>
      <c r="O88" s="416"/>
      <c r="P88" s="416"/>
      <c r="Q88" s="416"/>
      <c r="R88" s="433"/>
      <c r="S88"/>
    </row>
    <row r="89" spans="1:19" x14ac:dyDescent="0.25">
      <c r="A89" s="416" t="s">
        <v>225</v>
      </c>
      <c r="B89" s="427"/>
      <c r="C89" s="410"/>
      <c r="D89" s="416"/>
      <c r="E89" s="410"/>
      <c r="F89" s="416"/>
      <c r="G89" s="416"/>
      <c r="H89" s="416"/>
      <c r="I89" s="410"/>
      <c r="J89" s="416"/>
      <c r="K89" s="410"/>
      <c r="L89" s="416"/>
      <c r="M89" s="410"/>
      <c r="N89" s="416"/>
      <c r="O89" s="416"/>
      <c r="P89" s="416"/>
      <c r="Q89" s="416"/>
      <c r="R89" s="433"/>
      <c r="S89"/>
    </row>
    <row r="90" spans="1:19" ht="19.5" customHeight="1" x14ac:dyDescent="0.25">
      <c r="A90" s="416" t="s">
        <v>290</v>
      </c>
      <c r="B90" s="427"/>
      <c r="C90" s="410"/>
      <c r="D90" s="416"/>
      <c r="E90" s="410"/>
      <c r="F90" s="416"/>
      <c r="G90" s="416"/>
      <c r="H90" s="416"/>
      <c r="I90" s="410"/>
      <c r="J90" s="416"/>
      <c r="K90" s="410"/>
      <c r="L90" s="416"/>
      <c r="M90" s="410"/>
      <c r="N90" s="416"/>
      <c r="O90" s="416"/>
      <c r="P90" s="416"/>
      <c r="Q90" s="416"/>
      <c r="R90" s="433"/>
      <c r="S90"/>
    </row>
    <row r="91" spans="1:19" x14ac:dyDescent="0.25">
      <c r="A91" s="416" t="s">
        <v>291</v>
      </c>
      <c r="B91" s="427"/>
      <c r="C91" s="410"/>
      <c r="D91" s="416"/>
      <c r="E91" s="410"/>
      <c r="F91" s="416"/>
      <c r="G91" s="416"/>
      <c r="H91" s="416"/>
      <c r="I91" s="410"/>
      <c r="J91" s="416"/>
      <c r="K91" s="410"/>
      <c r="L91" s="416"/>
      <c r="M91" s="410"/>
      <c r="N91" s="416"/>
      <c r="O91" s="416"/>
      <c r="P91" s="416"/>
      <c r="Q91" s="416"/>
      <c r="R91" s="433"/>
      <c r="S91"/>
    </row>
    <row r="92" spans="1:1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</sheetData>
  <mergeCells count="5">
    <mergeCell ref="A6:R6"/>
    <mergeCell ref="H8:P8"/>
    <mergeCell ref="A60:R60"/>
    <mergeCell ref="H62:P62"/>
    <mergeCell ref="A86:H86"/>
  </mergeCells>
  <printOptions horizontalCentered="1"/>
  <pageMargins left="0.5" right="0" top="0.75" bottom="0.75" header="0.5" footer="0.25"/>
  <pageSetup scale="42" orientation="portrait" r:id="rId1"/>
  <headerFooter scaleWithDoc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U109"/>
  <sheetViews>
    <sheetView topLeftCell="A7" zoomScale="90" zoomScaleNormal="90" workbookViewId="0">
      <selection activeCell="J43" activeCellId="1" sqref="F36 J43"/>
    </sheetView>
  </sheetViews>
  <sheetFormatPr defaultRowHeight="15" x14ac:dyDescent="0.2"/>
  <cols>
    <col min="1" max="1" width="57.33203125" style="478" customWidth="1"/>
    <col min="2" max="2" width="18.5" style="505" customWidth="1"/>
    <col min="3" max="3" width="6.5" style="506" customWidth="1"/>
    <col min="4" max="4" width="14.83203125" style="478" customWidth="1"/>
    <col min="5" max="5" width="6.5" style="506" customWidth="1"/>
    <col min="6" max="6" width="26.1640625" style="478" customWidth="1"/>
    <col min="7" max="7" width="6.5" style="478" customWidth="1"/>
    <col min="8" max="8" width="23.1640625" style="478" customWidth="1"/>
    <col min="9" max="9" width="6.5" style="506" customWidth="1"/>
    <col min="10" max="10" width="19.6640625" style="478" customWidth="1"/>
    <col min="11" max="11" width="6.5" style="506" customWidth="1"/>
    <col min="12" max="12" width="18.6640625" style="478" customWidth="1"/>
    <col min="13" max="13" width="6.5" style="506" customWidth="1"/>
    <col min="14" max="14" width="19.33203125" style="478" customWidth="1"/>
    <col min="15" max="15" width="2.83203125" style="478" customWidth="1"/>
    <col min="16" max="16" width="21.5" style="478" bestFit="1" customWidth="1"/>
    <col min="17" max="17" width="1.1640625" style="478" customWidth="1"/>
    <col min="18" max="18" width="18" style="512" bestFit="1" customWidth="1"/>
    <col min="19" max="16384" width="9.33203125" style="536"/>
  </cols>
  <sheetData>
    <row r="1" spans="1:18" ht="15.75" x14ac:dyDescent="0.25">
      <c r="A1" s="60" t="str">
        <f>'Input Tab'!B2</f>
        <v>Louisville Gas &amp; Electric Company</v>
      </c>
      <c r="B1" s="28"/>
      <c r="C1" s="28"/>
      <c r="D1" s="28"/>
      <c r="E1" s="28"/>
      <c r="F1" s="28"/>
      <c r="G1" s="28"/>
      <c r="H1" s="28"/>
      <c r="I1" s="28"/>
      <c r="J1" s="28"/>
      <c r="K1" s="329"/>
      <c r="L1" s="28"/>
      <c r="M1" s="28"/>
      <c r="N1" s="28"/>
      <c r="O1" s="28"/>
      <c r="P1" s="28"/>
      <c r="Q1" s="28"/>
      <c r="R1" s="62" t="s">
        <v>341</v>
      </c>
    </row>
    <row r="2" spans="1:18" ht="15.75" x14ac:dyDescent="0.25">
      <c r="A2" s="65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329"/>
      <c r="L2" s="28"/>
      <c r="M2" s="28"/>
      <c r="N2" s="28"/>
      <c r="O2" s="28"/>
      <c r="P2" s="28"/>
      <c r="Q2" s="28"/>
      <c r="R2" s="62" t="s">
        <v>329</v>
      </c>
    </row>
    <row r="3" spans="1:18" ht="15.75" x14ac:dyDescent="0.25">
      <c r="A3" s="372" t="s">
        <v>340</v>
      </c>
      <c r="B3" s="28"/>
      <c r="C3" s="28"/>
      <c r="D3" s="28"/>
      <c r="E3" s="28"/>
      <c r="F3" s="218"/>
      <c r="G3" s="28"/>
      <c r="H3" s="28"/>
      <c r="I3" s="28"/>
      <c r="J3" s="28"/>
      <c r="K3" s="329"/>
      <c r="L3" s="28"/>
      <c r="M3" s="28"/>
      <c r="N3" s="28"/>
      <c r="O3" s="28"/>
      <c r="P3" s="28"/>
      <c r="Q3" s="28"/>
      <c r="R3" s="64" t="str">
        <f>'Q1 p.2 - Rate of Return Adj'!I3</f>
        <v>Rahn/Metts</v>
      </c>
    </row>
    <row r="4" spans="1:18" ht="15.75" x14ac:dyDescent="0.25">
      <c r="A4" s="258" t="s">
        <v>159</v>
      </c>
      <c r="B4" s="202"/>
      <c r="C4" s="202"/>
      <c r="D4" s="202"/>
      <c r="E4" s="202"/>
      <c r="F4" s="202"/>
      <c r="G4" s="202"/>
      <c r="H4" s="202"/>
      <c r="I4" s="202"/>
      <c r="J4" s="202"/>
      <c r="K4" s="330"/>
      <c r="L4" s="202"/>
      <c r="M4" s="202"/>
      <c r="N4" s="202"/>
      <c r="O4" s="202"/>
      <c r="P4" s="202"/>
      <c r="Q4" s="202"/>
      <c r="R4" s="202"/>
    </row>
    <row r="6" spans="1:18" s="472" customFormat="1" ht="15.75" x14ac:dyDescent="0.25">
      <c r="A6" s="657" t="s">
        <v>271</v>
      </c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3"/>
    </row>
    <row r="7" spans="1:18" s="478" customFormat="1" ht="15.75" x14ac:dyDescent="0.25">
      <c r="A7" s="473"/>
      <c r="B7" s="474"/>
      <c r="C7" s="475"/>
      <c r="D7" s="476"/>
      <c r="E7" s="475"/>
      <c r="F7" s="476"/>
      <c r="G7" s="476"/>
      <c r="H7" s="476"/>
      <c r="I7" s="475"/>
      <c r="J7" s="476"/>
      <c r="K7" s="475"/>
      <c r="L7" s="476"/>
      <c r="M7" s="475"/>
      <c r="N7" s="476"/>
      <c r="O7" s="476"/>
      <c r="P7" s="476"/>
      <c r="Q7" s="476"/>
      <c r="R7" s="477"/>
    </row>
    <row r="8" spans="1:18" s="478" customFormat="1" x14ac:dyDescent="0.2">
      <c r="A8" s="382"/>
      <c r="B8" s="474"/>
      <c r="C8" s="475"/>
      <c r="D8" s="476"/>
      <c r="E8" s="475"/>
      <c r="F8" s="476"/>
      <c r="G8" s="476"/>
      <c r="H8" s="660" t="s">
        <v>89</v>
      </c>
      <c r="I8" s="660"/>
      <c r="J8" s="660"/>
      <c r="K8" s="660"/>
      <c r="L8" s="660"/>
      <c r="M8" s="660"/>
      <c r="N8" s="660"/>
      <c r="O8" s="660"/>
      <c r="P8" s="660"/>
      <c r="Q8" s="474"/>
      <c r="R8" s="479"/>
    </row>
    <row r="9" spans="1:18" s="478" customFormat="1" x14ac:dyDescent="0.2">
      <c r="A9" s="480"/>
      <c r="B9" s="474"/>
      <c r="C9" s="475"/>
      <c r="D9" s="476"/>
      <c r="E9" s="475"/>
      <c r="F9" s="476"/>
      <c r="G9" s="476"/>
      <c r="H9" s="476"/>
      <c r="I9" s="475"/>
      <c r="J9" s="474" t="s">
        <v>90</v>
      </c>
      <c r="K9" s="475"/>
      <c r="L9" s="474" t="s">
        <v>91</v>
      </c>
      <c r="M9" s="475"/>
      <c r="N9" s="474" t="s">
        <v>92</v>
      </c>
      <c r="O9" s="476"/>
      <c r="P9" s="474"/>
      <c r="Q9" s="474"/>
      <c r="R9" s="479" t="s">
        <v>93</v>
      </c>
    </row>
    <row r="10" spans="1:18" s="478" customFormat="1" ht="30" x14ac:dyDescent="0.2">
      <c r="A10" s="480"/>
      <c r="B10" s="481" t="s">
        <v>94</v>
      </c>
      <c r="C10" s="475"/>
      <c r="D10" s="481" t="s">
        <v>73</v>
      </c>
      <c r="E10" s="475"/>
      <c r="F10" s="481" t="s">
        <v>95</v>
      </c>
      <c r="G10" s="476"/>
      <c r="H10" s="612" t="s">
        <v>96</v>
      </c>
      <c r="I10" s="475"/>
      <c r="J10" s="482" t="s">
        <v>97</v>
      </c>
      <c r="K10" s="475"/>
      <c r="L10" s="482" t="s">
        <v>98</v>
      </c>
      <c r="M10" s="483"/>
      <c r="N10" s="612" t="s">
        <v>99</v>
      </c>
      <c r="O10" s="476"/>
      <c r="P10" s="612" t="s">
        <v>100</v>
      </c>
      <c r="Q10" s="474"/>
      <c r="R10" s="484" t="s">
        <v>101</v>
      </c>
    </row>
    <row r="11" spans="1:18" s="478" customFormat="1" x14ac:dyDescent="0.2">
      <c r="A11" s="480" t="s">
        <v>102</v>
      </c>
      <c r="B11" s="485"/>
      <c r="C11" s="475"/>
      <c r="D11" s="486"/>
      <c r="E11" s="475"/>
      <c r="F11" s="487"/>
      <c r="G11" s="475"/>
      <c r="H11" s="487"/>
      <c r="I11" s="475"/>
      <c r="J11" s="488"/>
      <c r="K11" s="489"/>
      <c r="L11" s="487"/>
      <c r="M11" s="490"/>
      <c r="N11" s="487"/>
      <c r="O11" s="487"/>
      <c r="P11" s="487"/>
      <c r="Q11" s="476"/>
      <c r="R11" s="477"/>
    </row>
    <row r="12" spans="1:18" s="478" customFormat="1" ht="17.25" customHeight="1" x14ac:dyDescent="0.2">
      <c r="A12" s="480" t="s">
        <v>200</v>
      </c>
      <c r="B12" s="485">
        <v>46631</v>
      </c>
      <c r="C12" s="475"/>
      <c r="D12" s="396">
        <v>1.745E-2</v>
      </c>
      <c r="E12" s="397" t="s">
        <v>103</v>
      </c>
      <c r="F12" s="398">
        <v>10104000</v>
      </c>
      <c r="G12" s="379"/>
      <c r="H12" s="398">
        <f t="shared" ref="H12:H21" si="0">ROUND(D12*F12,0)</f>
        <v>176315</v>
      </c>
      <c r="I12" s="379"/>
      <c r="J12" s="398">
        <v>19076.030706521768</v>
      </c>
      <c r="K12" s="379"/>
      <c r="L12" s="398">
        <v>0</v>
      </c>
      <c r="M12" s="379"/>
      <c r="N12" s="398">
        <v>30402.94</v>
      </c>
      <c r="O12" s="380" t="s">
        <v>117</v>
      </c>
      <c r="P12" s="398">
        <f t="shared" ref="P12:P23" si="1">H12+J12+L12+N12</f>
        <v>225793.97070652177</v>
      </c>
      <c r="Q12" s="380"/>
      <c r="R12" s="399">
        <f t="shared" ref="R12:R22" si="2">ROUND((P12/F12),5)</f>
        <v>2.2349999999999998E-2</v>
      </c>
    </row>
    <row r="13" spans="1:18" s="478" customFormat="1" ht="17.25" customHeight="1" x14ac:dyDescent="0.2">
      <c r="A13" s="480" t="s">
        <v>200</v>
      </c>
      <c r="B13" s="485">
        <v>46266</v>
      </c>
      <c r="C13" s="475"/>
      <c r="D13" s="396">
        <v>9.2999999999999992E-3</v>
      </c>
      <c r="E13" s="397" t="s">
        <v>103</v>
      </c>
      <c r="F13" s="398">
        <v>22500000</v>
      </c>
      <c r="G13" s="379"/>
      <c r="H13" s="398">
        <f t="shared" si="0"/>
        <v>209250</v>
      </c>
      <c r="I13" s="379"/>
      <c r="J13" s="398">
        <v>9981.2820652174123</v>
      </c>
      <c r="K13" s="379"/>
      <c r="L13" s="398">
        <v>77400.570923913256</v>
      </c>
      <c r="M13" s="379"/>
      <c r="N13" s="398">
        <v>22500</v>
      </c>
      <c r="O13" s="380" t="s">
        <v>104</v>
      </c>
      <c r="P13" s="398">
        <f t="shared" si="1"/>
        <v>319131.85298913065</v>
      </c>
      <c r="Q13" s="380"/>
      <c r="R13" s="399">
        <f t="shared" si="2"/>
        <v>1.418E-2</v>
      </c>
    </row>
    <row r="14" spans="1:18" s="478" customFormat="1" ht="17.25" customHeight="1" x14ac:dyDescent="0.2">
      <c r="A14" s="480" t="s">
        <v>201</v>
      </c>
      <c r="B14" s="485">
        <v>46266</v>
      </c>
      <c r="C14" s="475"/>
      <c r="D14" s="396">
        <v>1.0500000000000001E-2</v>
      </c>
      <c r="E14" s="397"/>
      <c r="F14" s="398">
        <v>27500000</v>
      </c>
      <c r="G14" s="379"/>
      <c r="H14" s="398">
        <f t="shared" si="0"/>
        <v>288750</v>
      </c>
      <c r="I14" s="379"/>
      <c r="J14" s="398">
        <v>56071.597554347849</v>
      </c>
      <c r="K14" s="379"/>
      <c r="L14" s="398">
        <v>76158.360869565251</v>
      </c>
      <c r="M14" s="379"/>
      <c r="N14" s="398">
        <v>0</v>
      </c>
      <c r="O14" s="380"/>
      <c r="P14" s="398">
        <f t="shared" si="1"/>
        <v>420979.95842391311</v>
      </c>
      <c r="Q14" s="380"/>
      <c r="R14" s="399">
        <f t="shared" si="2"/>
        <v>1.5310000000000001E-2</v>
      </c>
    </row>
    <row r="15" spans="1:18" s="478" customFormat="1" ht="17.25" customHeight="1" x14ac:dyDescent="0.2">
      <c r="A15" s="480" t="s">
        <v>202</v>
      </c>
      <c r="B15" s="485">
        <v>46692</v>
      </c>
      <c r="C15" s="475"/>
      <c r="D15" s="396">
        <v>1.35E-2</v>
      </c>
      <c r="E15" s="397"/>
      <c r="F15" s="398">
        <v>35000000</v>
      </c>
      <c r="G15" s="379"/>
      <c r="H15" s="398">
        <f t="shared" si="0"/>
        <v>472500</v>
      </c>
      <c r="I15" s="379"/>
      <c r="J15" s="398">
        <v>60426.841032608696</v>
      </c>
      <c r="K15" s="379"/>
      <c r="L15" s="398">
        <v>60025.360869565215</v>
      </c>
      <c r="M15" s="379"/>
      <c r="N15" s="398">
        <v>0</v>
      </c>
      <c r="O15" s="380"/>
      <c r="P15" s="398">
        <f t="shared" si="1"/>
        <v>592952.20190217381</v>
      </c>
      <c r="Q15" s="380"/>
      <c r="R15" s="399">
        <f t="shared" si="2"/>
        <v>1.694E-2</v>
      </c>
    </row>
    <row r="16" spans="1:18" s="478" customFormat="1" ht="17.25" customHeight="1" x14ac:dyDescent="0.2">
      <c r="A16" s="480" t="s">
        <v>203</v>
      </c>
      <c r="B16" s="485">
        <v>46692</v>
      </c>
      <c r="C16" s="475"/>
      <c r="D16" s="396">
        <v>1.35E-2</v>
      </c>
      <c r="E16" s="397"/>
      <c r="F16" s="398">
        <v>35000000</v>
      </c>
      <c r="G16" s="379"/>
      <c r="H16" s="398">
        <f t="shared" si="0"/>
        <v>472500</v>
      </c>
      <c r="I16" s="379"/>
      <c r="J16" s="398">
        <v>60266.617934782618</v>
      </c>
      <c r="K16" s="379"/>
      <c r="L16" s="398">
        <v>59843.317119565239</v>
      </c>
      <c r="M16" s="379"/>
      <c r="N16" s="398">
        <v>0</v>
      </c>
      <c r="O16" s="380"/>
      <c r="P16" s="398">
        <f t="shared" si="1"/>
        <v>592609.93505434785</v>
      </c>
      <c r="Q16" s="380"/>
      <c r="R16" s="399">
        <f t="shared" si="2"/>
        <v>1.6930000000000001E-2</v>
      </c>
    </row>
    <row r="17" spans="1:21" s="478" customFormat="1" ht="17.25" customHeight="1" x14ac:dyDescent="0.25">
      <c r="A17" s="480" t="s">
        <v>204</v>
      </c>
      <c r="B17" s="485">
        <v>12328</v>
      </c>
      <c r="C17" s="475"/>
      <c r="D17" s="396">
        <v>1.4999999999999999E-2</v>
      </c>
      <c r="E17" s="397"/>
      <c r="F17" s="398">
        <v>128000000</v>
      </c>
      <c r="G17" s="400"/>
      <c r="H17" s="398">
        <f t="shared" si="0"/>
        <v>1920000</v>
      </c>
      <c r="I17" s="379"/>
      <c r="J17" s="398">
        <v>180005.24483695661</v>
      </c>
      <c r="K17" s="379"/>
      <c r="L17" s="398">
        <v>313571.77771739184</v>
      </c>
      <c r="M17" s="401"/>
      <c r="N17" s="398">
        <v>0</v>
      </c>
      <c r="O17" s="380"/>
      <c r="P17" s="398">
        <f t="shared" si="1"/>
        <v>2413577.0225543487</v>
      </c>
      <c r="Q17" s="380"/>
      <c r="R17" s="399">
        <f t="shared" si="2"/>
        <v>1.8859999999999998E-2</v>
      </c>
    </row>
    <row r="18" spans="1:21" s="478" customFormat="1" ht="17.25" customHeight="1" x14ac:dyDescent="0.2">
      <c r="A18" s="480" t="s">
        <v>205</v>
      </c>
      <c r="B18" s="485">
        <v>12816</v>
      </c>
      <c r="C18" s="475"/>
      <c r="D18" s="396">
        <v>2.1999999999999999E-2</v>
      </c>
      <c r="E18" s="397"/>
      <c r="F18" s="398">
        <v>40000000</v>
      </c>
      <c r="G18" s="379"/>
      <c r="H18" s="398">
        <f t="shared" si="0"/>
        <v>880000</v>
      </c>
      <c r="I18" s="379"/>
      <c r="J18" s="398">
        <v>72179.483967391294</v>
      </c>
      <c r="K18" s="379"/>
      <c r="L18" s="398">
        <v>84561.890760869486</v>
      </c>
      <c r="M18" s="401"/>
      <c r="N18" s="398">
        <v>0</v>
      </c>
      <c r="O18" s="380"/>
      <c r="P18" s="398">
        <f t="shared" si="1"/>
        <v>1036741.3747282608</v>
      </c>
      <c r="Q18" s="380"/>
      <c r="R18" s="399">
        <f t="shared" si="2"/>
        <v>2.5919999999999999E-2</v>
      </c>
    </row>
    <row r="19" spans="1:21" s="478" customFormat="1" ht="17.25" customHeight="1" x14ac:dyDescent="0.2">
      <c r="A19" s="480" t="s">
        <v>295</v>
      </c>
      <c r="B19" s="485">
        <v>48731</v>
      </c>
      <c r="C19" s="475"/>
      <c r="D19" s="396">
        <v>3.7499999999999999E-2</v>
      </c>
      <c r="E19" s="397"/>
      <c r="F19" s="398">
        <v>60000000</v>
      </c>
      <c r="G19" s="379"/>
      <c r="H19" s="398">
        <f t="shared" si="0"/>
        <v>2250000</v>
      </c>
      <c r="I19" s="379"/>
      <c r="J19" s="398">
        <v>35968.686956521655</v>
      </c>
      <c r="K19" s="379"/>
      <c r="L19" s="398">
        <v>71344.38777173897</v>
      </c>
      <c r="M19" s="401"/>
      <c r="N19" s="398">
        <v>0</v>
      </c>
      <c r="O19" s="380"/>
      <c r="P19" s="398">
        <f t="shared" si="1"/>
        <v>2357313.0747282607</v>
      </c>
      <c r="Q19" s="380"/>
      <c r="R19" s="399">
        <f t="shared" si="2"/>
        <v>3.9289999999999999E-2</v>
      </c>
    </row>
    <row r="20" spans="1:21" s="478" customFormat="1" ht="17.25" customHeight="1" x14ac:dyDescent="0.25">
      <c r="A20" s="480" t="s">
        <v>206</v>
      </c>
      <c r="B20" s="485">
        <v>48731</v>
      </c>
      <c r="C20" s="475"/>
      <c r="D20" s="396">
        <v>1.2500000000000001E-2</v>
      </c>
      <c r="E20" s="397"/>
      <c r="F20" s="398">
        <v>31000000</v>
      </c>
      <c r="G20" s="400"/>
      <c r="H20" s="398">
        <f t="shared" si="0"/>
        <v>387500</v>
      </c>
      <c r="I20" s="379"/>
      <c r="J20" s="398">
        <v>54465.617391304389</v>
      </c>
      <c r="K20" s="379"/>
      <c r="L20" s="402">
        <v>35349.039945652141</v>
      </c>
      <c r="M20" s="401"/>
      <c r="N20" s="398">
        <v>0</v>
      </c>
      <c r="O20" s="380"/>
      <c r="P20" s="398">
        <f t="shared" si="1"/>
        <v>477314.65733695653</v>
      </c>
      <c r="Q20" s="380"/>
      <c r="R20" s="399">
        <f t="shared" si="2"/>
        <v>1.54E-2</v>
      </c>
    </row>
    <row r="21" spans="1:21" s="478" customFormat="1" ht="17.25" customHeight="1" x14ac:dyDescent="0.25">
      <c r="A21" s="480" t="s">
        <v>207</v>
      </c>
      <c r="B21" s="485">
        <v>48731</v>
      </c>
      <c r="C21" s="475"/>
      <c r="D21" s="396">
        <v>1.2500000000000001E-2</v>
      </c>
      <c r="E21" s="397"/>
      <c r="F21" s="398">
        <v>35200000</v>
      </c>
      <c r="G21" s="400"/>
      <c r="H21" s="398">
        <f t="shared" si="0"/>
        <v>440000</v>
      </c>
      <c r="I21" s="379"/>
      <c r="J21" s="398">
        <v>50183.25489130427</v>
      </c>
      <c r="K21" s="379"/>
      <c r="L21" s="398">
        <v>32821.831521739063</v>
      </c>
      <c r="M21" s="401"/>
      <c r="N21" s="398">
        <v>0</v>
      </c>
      <c r="O21" s="380"/>
      <c r="P21" s="398">
        <f t="shared" si="1"/>
        <v>523005.08641304338</v>
      </c>
      <c r="Q21" s="380"/>
      <c r="R21" s="399">
        <f t="shared" si="2"/>
        <v>1.486E-2</v>
      </c>
    </row>
    <row r="22" spans="1:21" s="478" customFormat="1" ht="17.25" customHeight="1" x14ac:dyDescent="0.25">
      <c r="A22" s="480" t="s">
        <v>208</v>
      </c>
      <c r="B22" s="485">
        <v>16316</v>
      </c>
      <c r="C22" s="475"/>
      <c r="D22" s="396">
        <v>8.7200000000000003E-3</v>
      </c>
      <c r="E22" s="397" t="s">
        <v>103</v>
      </c>
      <c r="F22" s="398">
        <v>125000000</v>
      </c>
      <c r="G22" s="400"/>
      <c r="H22" s="398">
        <f>ROUND(D22*F22,0)</f>
        <v>1090000</v>
      </c>
      <c r="I22" s="379"/>
      <c r="J22" s="398">
        <v>30697.960000000181</v>
      </c>
      <c r="K22" s="379"/>
      <c r="L22" s="398">
        <v>143959.03505434783</v>
      </c>
      <c r="M22" s="379"/>
      <c r="N22" s="398">
        <v>125000</v>
      </c>
      <c r="O22" s="380" t="s">
        <v>209</v>
      </c>
      <c r="P22" s="398">
        <f t="shared" si="1"/>
        <v>1389656.9950543479</v>
      </c>
      <c r="Q22" s="380"/>
      <c r="R22" s="399">
        <f t="shared" si="2"/>
        <v>1.112E-2</v>
      </c>
    </row>
    <row r="23" spans="1:21" s="478" customFormat="1" ht="17.25" customHeight="1" x14ac:dyDescent="0.2">
      <c r="A23" s="480" t="s">
        <v>106</v>
      </c>
      <c r="B23" s="485"/>
      <c r="C23" s="475"/>
      <c r="D23" s="391"/>
      <c r="E23" s="379"/>
      <c r="F23" s="398">
        <v>0</v>
      </c>
      <c r="G23" s="379"/>
      <c r="H23" s="398">
        <v>0</v>
      </c>
      <c r="I23" s="379"/>
      <c r="J23" s="398">
        <v>0</v>
      </c>
      <c r="K23" s="379"/>
      <c r="L23" s="398">
        <v>0</v>
      </c>
      <c r="M23" s="401"/>
      <c r="N23" s="398"/>
      <c r="O23" s="380"/>
      <c r="P23" s="398">
        <f t="shared" si="1"/>
        <v>0</v>
      </c>
      <c r="Q23" s="380"/>
      <c r="R23" s="399"/>
    </row>
    <row r="24" spans="1:21" s="478" customFormat="1" ht="17.25" customHeight="1" thickBot="1" x14ac:dyDescent="0.25">
      <c r="A24" s="480"/>
      <c r="B24" s="485"/>
      <c r="C24" s="475"/>
      <c r="D24" s="391"/>
      <c r="E24" s="379"/>
      <c r="F24" s="398"/>
      <c r="G24" s="379"/>
      <c r="H24" s="398"/>
      <c r="I24" s="379"/>
      <c r="J24" s="398"/>
      <c r="K24" s="379"/>
      <c r="L24" s="398"/>
      <c r="M24" s="401"/>
      <c r="N24" s="398"/>
      <c r="O24" s="380"/>
      <c r="P24" s="398"/>
      <c r="Q24" s="380"/>
      <c r="R24" s="399"/>
    </row>
    <row r="25" spans="1:21" s="478" customFormat="1" ht="16.5" thickBot="1" x14ac:dyDescent="0.3">
      <c r="A25" s="491" t="s">
        <v>107</v>
      </c>
      <c r="B25" s="404"/>
      <c r="C25" s="475"/>
      <c r="D25" s="405"/>
      <c r="E25" s="379"/>
      <c r="F25" s="406">
        <f>SUM(F12:F24)</f>
        <v>549304000</v>
      </c>
      <c r="G25" s="407"/>
      <c r="H25" s="406">
        <f>SUM(H12:H24)</f>
        <v>8586815</v>
      </c>
      <c r="I25" s="407"/>
      <c r="J25" s="406">
        <f>SUM(J12:J24)</f>
        <v>629322.61733695678</v>
      </c>
      <c r="K25" s="407"/>
      <c r="L25" s="406">
        <f>SUM(L12:L24)</f>
        <v>955035.57255434815</v>
      </c>
      <c r="M25" s="407"/>
      <c r="N25" s="406">
        <f>SUM(N12:N24)</f>
        <v>177902.94</v>
      </c>
      <c r="O25" s="408"/>
      <c r="P25" s="406">
        <f>SUM(P12:P24)</f>
        <v>10349076.129891304</v>
      </c>
      <c r="Q25" s="380"/>
      <c r="R25" s="409">
        <f>ROUND(+P25/F25,5)</f>
        <v>1.8839999999999999E-2</v>
      </c>
      <c r="U25" s="492"/>
    </row>
    <row r="26" spans="1:21" s="478" customFormat="1" ht="30" customHeight="1" x14ac:dyDescent="0.2">
      <c r="A26" s="480" t="s">
        <v>108</v>
      </c>
      <c r="B26" s="485"/>
      <c r="C26" s="475"/>
      <c r="D26" s="391"/>
      <c r="E26" s="379"/>
      <c r="F26" s="398"/>
      <c r="G26" s="379"/>
      <c r="H26" s="398"/>
      <c r="I26" s="379"/>
      <c r="J26" s="398"/>
      <c r="K26" s="394"/>
      <c r="L26" s="398"/>
      <c r="M26" s="401"/>
      <c r="N26" s="398"/>
      <c r="O26" s="380"/>
      <c r="P26" s="398"/>
      <c r="Q26" s="380"/>
      <c r="R26" s="399"/>
    </row>
    <row r="27" spans="1:21" s="478" customFormat="1" ht="17.25" customHeight="1" x14ac:dyDescent="0.2">
      <c r="A27" s="480" t="s">
        <v>110</v>
      </c>
      <c r="B27" s="485">
        <v>51455</v>
      </c>
      <c r="C27" s="475"/>
      <c r="D27" s="396">
        <v>5.1249999999999997E-2</v>
      </c>
      <c r="E27" s="379"/>
      <c r="F27" s="398">
        <v>285000000</v>
      </c>
      <c r="G27" s="410"/>
      <c r="H27" s="398">
        <f>ROUND(D27*F27,0)</f>
        <v>14606250</v>
      </c>
      <c r="I27" s="379"/>
      <c r="J27" s="398">
        <v>119144.21250000074</v>
      </c>
      <c r="K27" s="394" t="s">
        <v>272</v>
      </c>
      <c r="L27" s="398">
        <v>0</v>
      </c>
      <c r="M27" s="401"/>
      <c r="N27" s="398">
        <v>0</v>
      </c>
      <c r="O27" s="380"/>
      <c r="P27" s="398">
        <f t="shared" ref="P27:P37" si="3">H27+J27+L27+N27</f>
        <v>14725394.2125</v>
      </c>
      <c r="Q27" s="380"/>
      <c r="R27" s="399">
        <f>ROUND((P27/F27),5)</f>
        <v>5.1670000000000001E-2</v>
      </c>
    </row>
    <row r="28" spans="1:21" s="478" customFormat="1" ht="17.25" customHeight="1" x14ac:dyDescent="0.2">
      <c r="A28" s="480" t="s">
        <v>109</v>
      </c>
      <c r="B28" s="485">
        <v>51455</v>
      </c>
      <c r="C28" s="475"/>
      <c r="D28" s="396">
        <f>+D27</f>
        <v>5.1249999999999997E-2</v>
      </c>
      <c r="E28" s="379"/>
      <c r="F28" s="398">
        <v>-2424760.1871428574</v>
      </c>
      <c r="G28" s="410"/>
      <c r="H28" s="398"/>
      <c r="I28" s="379"/>
      <c r="J28" s="398">
        <v>103293.9684782613</v>
      </c>
      <c r="K28" s="394" t="s">
        <v>272</v>
      </c>
      <c r="L28" s="398"/>
      <c r="M28" s="401"/>
      <c r="N28" s="398"/>
      <c r="O28" s="380"/>
      <c r="P28" s="398">
        <f t="shared" si="3"/>
        <v>103293.9684782613</v>
      </c>
      <c r="Q28" s="380"/>
      <c r="R28" s="399">
        <f>ROUND((P28/F28),5)</f>
        <v>-4.2599999999999999E-2</v>
      </c>
    </row>
    <row r="29" spans="1:21" s="478" customFormat="1" ht="17.25" customHeight="1" x14ac:dyDescent="0.2">
      <c r="A29" s="480" t="s">
        <v>111</v>
      </c>
      <c r="B29" s="485">
        <v>16025</v>
      </c>
      <c r="C29" s="475"/>
      <c r="D29" s="396">
        <v>4.65E-2</v>
      </c>
      <c r="E29" s="379"/>
      <c r="F29" s="398">
        <v>250000000</v>
      </c>
      <c r="G29" s="410"/>
      <c r="H29" s="398">
        <f>ROUND(D29*F29,0)</f>
        <v>11625000</v>
      </c>
      <c r="I29" s="379"/>
      <c r="J29" s="398">
        <v>91178.825000000303</v>
      </c>
      <c r="K29" s="394" t="s">
        <v>272</v>
      </c>
      <c r="L29" s="398"/>
      <c r="M29" s="401"/>
      <c r="N29" s="398"/>
      <c r="O29" s="380"/>
      <c r="P29" s="398">
        <f t="shared" si="3"/>
        <v>11716178.825000001</v>
      </c>
      <c r="Q29" s="380"/>
      <c r="R29" s="399">
        <f>ROUND((P29/F29),5)</f>
        <v>4.6859999999999999E-2</v>
      </c>
    </row>
    <row r="30" spans="1:21" s="478" customFormat="1" ht="17.25" customHeight="1" x14ac:dyDescent="0.2">
      <c r="A30" s="480" t="s">
        <v>109</v>
      </c>
      <c r="B30" s="485">
        <v>52550</v>
      </c>
      <c r="C30" s="475"/>
      <c r="D30" s="396">
        <f>+D29</f>
        <v>4.65E-2</v>
      </c>
      <c r="E30" s="379"/>
      <c r="F30" s="398">
        <v>-1587302.1657142858</v>
      </c>
      <c r="G30" s="410"/>
      <c r="H30" s="398"/>
      <c r="I30" s="379"/>
      <c r="J30" s="398">
        <v>59956.209239130432</v>
      </c>
      <c r="K30" s="394" t="s">
        <v>272</v>
      </c>
      <c r="L30" s="398"/>
      <c r="M30" s="401"/>
      <c r="N30" s="398"/>
      <c r="O30" s="380"/>
      <c r="P30" s="398">
        <f t="shared" si="3"/>
        <v>59956.209239130432</v>
      </c>
      <c r="Q30" s="380"/>
      <c r="R30" s="399">
        <f>ROUND((P30/F30),5)</f>
        <v>-3.7769999999999998E-2</v>
      </c>
    </row>
    <row r="31" spans="1:21" s="478" customFormat="1" ht="17.25" customHeight="1" x14ac:dyDescent="0.2">
      <c r="A31" s="480" t="s">
        <v>112</v>
      </c>
      <c r="B31" s="485">
        <v>52550</v>
      </c>
      <c r="C31" s="475"/>
      <c r="D31" s="396"/>
      <c r="E31" s="379"/>
      <c r="F31" s="398"/>
      <c r="G31" s="379"/>
      <c r="H31" s="398">
        <v>-1433703.9320652178</v>
      </c>
      <c r="I31" s="379"/>
      <c r="J31" s="398"/>
      <c r="K31" s="394"/>
      <c r="L31" s="398"/>
      <c r="M31" s="401"/>
      <c r="N31" s="398"/>
      <c r="O31" s="380"/>
      <c r="P31" s="398">
        <f t="shared" si="3"/>
        <v>-1433703.9320652178</v>
      </c>
      <c r="Q31" s="380"/>
      <c r="R31" s="399"/>
    </row>
    <row r="32" spans="1:21" s="478" customFormat="1" ht="17.25" customHeight="1" x14ac:dyDescent="0.2">
      <c r="A32" s="480" t="s">
        <v>113</v>
      </c>
      <c r="B32" s="485">
        <v>45931</v>
      </c>
      <c r="C32" s="475"/>
      <c r="D32" s="396">
        <v>3.3000000000000002E-2</v>
      </c>
      <c r="E32" s="379"/>
      <c r="F32" s="398">
        <v>300000000</v>
      </c>
      <c r="G32" s="379"/>
      <c r="H32" s="398">
        <f>ROUND(D32*F32,0)</f>
        <v>9900000</v>
      </c>
      <c r="I32" s="379"/>
      <c r="J32" s="398">
        <v>237370.37065217347</v>
      </c>
      <c r="K32" s="394" t="s">
        <v>272</v>
      </c>
      <c r="L32" s="398"/>
      <c r="M32" s="401"/>
      <c r="N32" s="398"/>
      <c r="O32" s="380"/>
      <c r="P32" s="398">
        <f t="shared" si="3"/>
        <v>10137370.370652173</v>
      </c>
      <c r="Q32" s="380"/>
      <c r="R32" s="399">
        <f>ROUND((P32/F32),5)</f>
        <v>3.3790000000000001E-2</v>
      </c>
    </row>
    <row r="33" spans="1:21" s="478" customFormat="1" ht="17.25" customHeight="1" x14ac:dyDescent="0.2">
      <c r="A33" s="480" t="s">
        <v>109</v>
      </c>
      <c r="B33" s="485">
        <v>45931</v>
      </c>
      <c r="C33" s="475"/>
      <c r="D33" s="396">
        <f>+D32</f>
        <v>3.3000000000000002E-2</v>
      </c>
      <c r="E33" s="379"/>
      <c r="F33" s="398">
        <v>-107410.94999999998</v>
      </c>
      <c r="G33" s="379"/>
      <c r="H33" s="398"/>
      <c r="I33" s="379"/>
      <c r="J33" s="398">
        <v>12878.826630434776</v>
      </c>
      <c r="K33" s="394" t="s">
        <v>272</v>
      </c>
      <c r="L33" s="398"/>
      <c r="M33" s="401"/>
      <c r="N33" s="398"/>
      <c r="O33" s="380"/>
      <c r="P33" s="398">
        <f t="shared" si="3"/>
        <v>12878.826630434776</v>
      </c>
      <c r="Q33" s="380"/>
      <c r="R33" s="399">
        <f>ROUND((P33/F33),5)</f>
        <v>-0.11990000000000001</v>
      </c>
    </row>
    <row r="34" spans="1:21" s="478" customFormat="1" ht="17.25" customHeight="1" x14ac:dyDescent="0.2">
      <c r="A34" s="480" t="s">
        <v>114</v>
      </c>
      <c r="B34" s="485">
        <v>45931</v>
      </c>
      <c r="C34" s="475"/>
      <c r="D34" s="396"/>
      <c r="E34" s="379"/>
      <c r="F34" s="398"/>
      <c r="G34" s="379"/>
      <c r="H34" s="398">
        <v>1405379.6741847824</v>
      </c>
      <c r="I34" s="379"/>
      <c r="J34" s="398"/>
      <c r="K34" s="394"/>
      <c r="L34" s="398"/>
      <c r="M34" s="401"/>
      <c r="N34" s="398"/>
      <c r="O34" s="380"/>
      <c r="P34" s="398">
        <f t="shared" si="3"/>
        <v>1405379.6741847824</v>
      </c>
      <c r="Q34" s="380"/>
      <c r="R34" s="399"/>
    </row>
    <row r="35" spans="1:21" s="478" customFormat="1" ht="17.25" customHeight="1" x14ac:dyDescent="0.2">
      <c r="A35" s="480" t="s">
        <v>115</v>
      </c>
      <c r="B35" s="485">
        <v>53236</v>
      </c>
      <c r="C35" s="475"/>
      <c r="D35" s="396">
        <v>4.3749999999999997E-2</v>
      </c>
      <c r="E35" s="379"/>
      <c r="F35" s="398">
        <v>250000000</v>
      </c>
      <c r="G35" s="379"/>
      <c r="H35" s="398">
        <f>ROUND(D35*F35,0)</f>
        <v>10937500</v>
      </c>
      <c r="I35" s="379"/>
      <c r="J35" s="398">
        <v>85609.996195652435</v>
      </c>
      <c r="K35" s="394" t="s">
        <v>272</v>
      </c>
      <c r="L35" s="398"/>
      <c r="M35" s="401"/>
      <c r="N35" s="398"/>
      <c r="O35" s="380"/>
      <c r="P35" s="398">
        <f t="shared" si="3"/>
        <v>11023109.996195652</v>
      </c>
      <c r="Q35" s="380"/>
      <c r="R35" s="399">
        <f>ROUND((P35/F35),5)</f>
        <v>4.4089999999999997E-2</v>
      </c>
    </row>
    <row r="36" spans="1:21" s="478" customFormat="1" ht="17.25" customHeight="1" x14ac:dyDescent="0.2">
      <c r="A36" s="480" t="s">
        <v>109</v>
      </c>
      <c r="B36" s="485">
        <v>53236</v>
      </c>
      <c r="C36" s="475"/>
      <c r="D36" s="396">
        <f>+D35</f>
        <v>4.3749999999999997E-2</v>
      </c>
      <c r="E36" s="379"/>
      <c r="F36" s="398">
        <v>-195917.08285714284</v>
      </c>
      <c r="G36" s="379"/>
      <c r="H36" s="398"/>
      <c r="I36" s="379"/>
      <c r="J36" s="398">
        <v>6909.7277173913126</v>
      </c>
      <c r="K36" s="394" t="s">
        <v>272</v>
      </c>
      <c r="L36" s="398"/>
      <c r="M36" s="401"/>
      <c r="N36" s="398"/>
      <c r="O36" s="380"/>
      <c r="P36" s="398">
        <f t="shared" si="3"/>
        <v>6909.7277173913126</v>
      </c>
      <c r="Q36" s="380"/>
      <c r="R36" s="399">
        <f>ROUND((P36/F36),5)</f>
        <v>-3.5270000000000003E-2</v>
      </c>
    </row>
    <row r="37" spans="1:21" s="478" customFormat="1" ht="17.25" customHeight="1" x14ac:dyDescent="0.2">
      <c r="A37" s="480" t="s">
        <v>114</v>
      </c>
      <c r="B37" s="485">
        <v>53236</v>
      </c>
      <c r="C37" s="475"/>
      <c r="D37" s="396"/>
      <c r="E37" s="379"/>
      <c r="F37" s="398"/>
      <c r="G37" s="379"/>
      <c r="H37" s="398">
        <v>986056.18858695496</v>
      </c>
      <c r="I37" s="379"/>
      <c r="J37" s="398"/>
      <c r="K37" s="394"/>
      <c r="L37" s="398"/>
      <c r="M37" s="401"/>
      <c r="N37" s="398"/>
      <c r="O37" s="380"/>
      <c r="P37" s="398">
        <f t="shared" si="3"/>
        <v>986056.18858695496</v>
      </c>
      <c r="Q37" s="380"/>
      <c r="R37" s="399"/>
    </row>
    <row r="38" spans="1:21" s="478" customFormat="1" ht="17.25" customHeight="1" x14ac:dyDescent="0.2">
      <c r="A38" s="480"/>
      <c r="B38" s="485"/>
      <c r="C38" s="475"/>
      <c r="D38" s="396"/>
      <c r="E38" s="379"/>
      <c r="F38" s="398"/>
      <c r="G38" s="379"/>
      <c r="H38" s="398"/>
      <c r="I38" s="379"/>
      <c r="J38" s="398"/>
      <c r="K38" s="394"/>
      <c r="L38" s="398"/>
      <c r="M38" s="401"/>
      <c r="N38" s="398"/>
      <c r="O38" s="380"/>
      <c r="P38" s="398"/>
      <c r="Q38" s="380"/>
      <c r="R38" s="399"/>
    </row>
    <row r="39" spans="1:21" s="478" customFormat="1" ht="17.25" customHeight="1" x14ac:dyDescent="0.2">
      <c r="A39" s="480" t="s">
        <v>116</v>
      </c>
      <c r="B39" s="485">
        <v>44196</v>
      </c>
      <c r="C39" s="475"/>
      <c r="D39" s="411"/>
      <c r="E39" s="379"/>
      <c r="F39" s="398"/>
      <c r="G39" s="379"/>
      <c r="H39" s="398"/>
      <c r="I39" s="379"/>
      <c r="J39" s="412">
        <v>502780.20000000019</v>
      </c>
      <c r="K39" s="379">
        <v>2</v>
      </c>
      <c r="L39" s="398">
        <v>37551.775271739112</v>
      </c>
      <c r="M39" s="379"/>
      <c r="N39" s="398">
        <v>506944.44444444444</v>
      </c>
      <c r="O39" s="380" t="s">
        <v>273</v>
      </c>
      <c r="P39" s="398">
        <f>H39+J39+L39+N39</f>
        <v>1047276.4197161838</v>
      </c>
      <c r="Q39" s="380"/>
      <c r="R39" s="399"/>
    </row>
    <row r="40" spans="1:21" s="478" customFormat="1" ht="17.25" customHeight="1" thickBot="1" x14ac:dyDescent="0.25">
      <c r="A40" s="480"/>
      <c r="B40" s="485"/>
      <c r="C40" s="475"/>
      <c r="D40" s="396"/>
      <c r="E40" s="379"/>
      <c r="F40" s="398"/>
      <c r="G40" s="379"/>
      <c r="H40" s="398"/>
      <c r="I40" s="379"/>
      <c r="J40" s="398"/>
      <c r="K40" s="394"/>
      <c r="L40" s="398"/>
      <c r="M40" s="401"/>
      <c r="N40" s="398"/>
      <c r="O40" s="380"/>
      <c r="P40" s="398"/>
      <c r="Q40" s="380"/>
      <c r="R40" s="399"/>
    </row>
    <row r="41" spans="1:21" s="478" customFormat="1" ht="16.5" thickBot="1" x14ac:dyDescent="0.3">
      <c r="A41" s="491" t="s">
        <v>118</v>
      </c>
      <c r="B41" s="404"/>
      <c r="C41" s="475"/>
      <c r="D41" s="405"/>
      <c r="E41" s="379"/>
      <c r="F41" s="406">
        <f>SUM(F27:F40)</f>
        <v>1080684609.6142857</v>
      </c>
      <c r="G41" s="407"/>
      <c r="H41" s="406">
        <f>SUM(H27:H40)</f>
        <v>48026481.930706523</v>
      </c>
      <c r="I41" s="407"/>
      <c r="J41" s="406">
        <f>SUM(J27:J40)</f>
        <v>1219122.3364130449</v>
      </c>
      <c r="K41" s="407"/>
      <c r="L41" s="406">
        <f>SUM(L27:L40)</f>
        <v>37551.775271739112</v>
      </c>
      <c r="M41" s="407"/>
      <c r="N41" s="406">
        <f>SUM(N27:N40)</f>
        <v>506944.44444444444</v>
      </c>
      <c r="O41" s="408"/>
      <c r="P41" s="406">
        <f>SUM(P27:P40)</f>
        <v>49790100.486835755</v>
      </c>
      <c r="Q41" s="380"/>
      <c r="R41" s="409">
        <f>ROUND(+P41/F41,5)</f>
        <v>4.607E-2</v>
      </c>
      <c r="U41" s="492"/>
    </row>
    <row r="42" spans="1:21" s="478" customFormat="1" x14ac:dyDescent="0.2">
      <c r="A42" s="480"/>
      <c r="B42" s="404"/>
      <c r="C42" s="475"/>
      <c r="D42" s="405"/>
      <c r="E42" s="379"/>
      <c r="F42" s="393"/>
      <c r="G42" s="394"/>
      <c r="H42" s="393"/>
      <c r="I42" s="379"/>
      <c r="J42" s="393"/>
      <c r="K42" s="394"/>
      <c r="L42" s="392"/>
      <c r="M42" s="395"/>
      <c r="N42" s="392"/>
      <c r="O42" s="380"/>
      <c r="P42" s="392"/>
      <c r="Q42" s="380"/>
      <c r="R42" s="413"/>
      <c r="S42" s="493"/>
      <c r="T42" s="494"/>
    </row>
    <row r="43" spans="1:21" s="478" customFormat="1" x14ac:dyDescent="0.2">
      <c r="A43" s="480" t="s">
        <v>210</v>
      </c>
      <c r="B43" s="474"/>
      <c r="C43" s="475"/>
      <c r="D43" s="380"/>
      <c r="E43" s="379"/>
      <c r="F43" s="392"/>
      <c r="G43" s="379"/>
      <c r="H43" s="392"/>
      <c r="I43" s="379"/>
      <c r="J43" s="414"/>
      <c r="K43" s="394"/>
      <c r="L43" s="393"/>
      <c r="M43" s="394"/>
      <c r="N43" s="393"/>
      <c r="O43" s="380"/>
      <c r="P43" s="392"/>
      <c r="Q43" s="380"/>
      <c r="R43" s="413"/>
      <c r="S43" s="493"/>
    </row>
    <row r="44" spans="1:21" s="478" customFormat="1" ht="30" x14ac:dyDescent="0.2">
      <c r="A44" s="495" t="s">
        <v>211</v>
      </c>
      <c r="B44" s="485">
        <v>44136</v>
      </c>
      <c r="C44" s="475">
        <v>1</v>
      </c>
      <c r="D44" s="416"/>
      <c r="E44" s="379"/>
      <c r="F44" s="392"/>
      <c r="G44" s="379"/>
      <c r="H44" s="408">
        <v>3870309.79</v>
      </c>
      <c r="I44" s="407"/>
      <c r="J44" s="408">
        <v>0</v>
      </c>
      <c r="K44" s="407"/>
      <c r="L44" s="408">
        <v>0</v>
      </c>
      <c r="M44" s="407"/>
      <c r="N44" s="408">
        <v>0</v>
      </c>
      <c r="O44" s="408"/>
      <c r="P44" s="398">
        <f>H44+J44+L44+N44</f>
        <v>3870309.79</v>
      </c>
      <c r="Q44" s="380"/>
      <c r="R44" s="413"/>
    </row>
    <row r="45" spans="1:21" s="478" customFormat="1" ht="30" x14ac:dyDescent="0.2">
      <c r="A45" s="495" t="s">
        <v>212</v>
      </c>
      <c r="B45" s="485">
        <v>48853</v>
      </c>
      <c r="C45" s="475">
        <v>1</v>
      </c>
      <c r="D45" s="416"/>
      <c r="E45" s="379"/>
      <c r="F45" s="392"/>
      <c r="G45" s="379"/>
      <c r="H45" s="398">
        <v>930935.99</v>
      </c>
      <c r="I45" s="379"/>
      <c r="J45" s="398">
        <v>0</v>
      </c>
      <c r="K45" s="394"/>
      <c r="L45" s="398">
        <v>0</v>
      </c>
      <c r="M45" s="401"/>
      <c r="N45" s="398">
        <v>0</v>
      </c>
      <c r="O45" s="380"/>
      <c r="P45" s="398">
        <f>H45+J45+L45+N45</f>
        <v>930935.99</v>
      </c>
      <c r="Q45" s="380"/>
      <c r="R45" s="413"/>
      <c r="S45" s="493"/>
    </row>
    <row r="46" spans="1:21" s="478" customFormat="1" ht="30" x14ac:dyDescent="0.2">
      <c r="A46" s="495" t="s">
        <v>213</v>
      </c>
      <c r="B46" s="485">
        <v>48853</v>
      </c>
      <c r="C46" s="475">
        <v>1</v>
      </c>
      <c r="D46" s="416"/>
      <c r="E46" s="379"/>
      <c r="F46" s="392"/>
      <c r="G46" s="379"/>
      <c r="H46" s="398">
        <v>927127.32</v>
      </c>
      <c r="I46" s="379"/>
      <c r="J46" s="398">
        <v>0</v>
      </c>
      <c r="K46" s="394"/>
      <c r="L46" s="398">
        <v>0</v>
      </c>
      <c r="M46" s="401"/>
      <c r="N46" s="398">
        <v>0</v>
      </c>
      <c r="O46" s="380"/>
      <c r="P46" s="398">
        <f>H46+J46+L46+N46</f>
        <v>927127.32</v>
      </c>
      <c r="Q46" s="380"/>
      <c r="R46" s="413"/>
    </row>
    <row r="47" spans="1:21" s="478" customFormat="1" ht="30.75" thickBot="1" x14ac:dyDescent="0.25">
      <c r="A47" s="495" t="s">
        <v>343</v>
      </c>
      <c r="B47" s="485"/>
      <c r="C47" s="475"/>
      <c r="D47" s="416"/>
      <c r="E47" s="379"/>
      <c r="F47" s="392"/>
      <c r="G47" s="379"/>
      <c r="H47" s="398">
        <v>188341.86130434784</v>
      </c>
      <c r="I47" s="379"/>
      <c r="J47" s="398"/>
      <c r="K47" s="394"/>
      <c r="L47" s="398"/>
      <c r="M47" s="401"/>
      <c r="N47" s="398"/>
      <c r="O47" s="380"/>
      <c r="P47" s="398">
        <f>H47+J47+L47+N47</f>
        <v>188341.86130434784</v>
      </c>
      <c r="Q47" s="380"/>
      <c r="R47" s="413"/>
      <c r="S47" s="493"/>
    </row>
    <row r="48" spans="1:21" s="478" customFormat="1" ht="16.5" thickBot="1" x14ac:dyDescent="0.3">
      <c r="A48" s="491" t="s">
        <v>276</v>
      </c>
      <c r="B48" s="485"/>
      <c r="C48" s="475"/>
      <c r="D48" s="380"/>
      <c r="E48" s="379"/>
      <c r="F48" s="392"/>
      <c r="G48" s="379"/>
      <c r="H48" s="406">
        <f>SUM(H44:H47)</f>
        <v>5916714.961304348</v>
      </c>
      <c r="I48" s="407"/>
      <c r="J48" s="406">
        <f>SUM(J44:J47)</f>
        <v>0</v>
      </c>
      <c r="K48" s="407"/>
      <c r="L48" s="406">
        <f>SUM(L44:L47)</f>
        <v>0</v>
      </c>
      <c r="M48" s="407"/>
      <c r="N48" s="406">
        <f>SUM(N44:N47)</f>
        <v>0</v>
      </c>
      <c r="O48" s="408"/>
      <c r="P48" s="406">
        <f>SUM(P44:P47)</f>
        <v>5916714.961304348</v>
      </c>
      <c r="Q48" s="380"/>
      <c r="R48" s="409">
        <f>ROUND(+P48/F54,5)</f>
        <v>3.63E-3</v>
      </c>
    </row>
    <row r="49" spans="1:20" s="478" customFormat="1" x14ac:dyDescent="0.2">
      <c r="A49" s="480"/>
      <c r="B49" s="485"/>
      <c r="C49" s="475"/>
      <c r="D49" s="380"/>
      <c r="E49" s="379"/>
      <c r="F49" s="417"/>
      <c r="G49" s="379"/>
      <c r="H49" s="392"/>
      <c r="I49" s="379"/>
      <c r="J49" s="393"/>
      <c r="K49" s="394"/>
      <c r="L49" s="393"/>
      <c r="M49" s="394"/>
      <c r="N49" s="393"/>
      <c r="O49" s="380"/>
      <c r="P49" s="392"/>
      <c r="Q49" s="380"/>
      <c r="R49" s="399"/>
      <c r="S49" s="493"/>
    </row>
    <row r="50" spans="1:20" s="478" customFormat="1" ht="15.75" x14ac:dyDescent="0.25">
      <c r="A50" s="480" t="s">
        <v>119</v>
      </c>
      <c r="B50" s="485"/>
      <c r="C50" s="496"/>
      <c r="D50" s="396"/>
      <c r="E50" s="379"/>
      <c r="F50" s="408">
        <v>0</v>
      </c>
      <c r="G50" s="407"/>
      <c r="H50" s="408">
        <v>0</v>
      </c>
      <c r="I50" s="407"/>
      <c r="J50" s="408">
        <v>0</v>
      </c>
      <c r="K50" s="407"/>
      <c r="L50" s="408">
        <v>0</v>
      </c>
      <c r="M50" s="407"/>
      <c r="N50" s="408">
        <v>0</v>
      </c>
      <c r="O50" s="408"/>
      <c r="P50" s="408">
        <f>SUM(H50,J50,N50)</f>
        <v>0</v>
      </c>
      <c r="Q50" s="380"/>
      <c r="R50" s="399"/>
    </row>
    <row r="51" spans="1:20" s="478" customFormat="1" ht="15.75" thickBot="1" x14ac:dyDescent="0.25">
      <c r="A51" s="480"/>
      <c r="B51" s="485"/>
      <c r="C51" s="475"/>
      <c r="D51" s="396"/>
      <c r="E51" s="379"/>
      <c r="F51" s="398"/>
      <c r="G51" s="379"/>
      <c r="H51" s="392"/>
      <c r="I51" s="379"/>
      <c r="J51" s="398">
        <v>0</v>
      </c>
      <c r="K51" s="418"/>
      <c r="L51" s="398">
        <v>0</v>
      </c>
      <c r="M51" s="401"/>
      <c r="N51" s="398">
        <v>0</v>
      </c>
      <c r="O51" s="380"/>
      <c r="P51" s="398">
        <f>SUM(H51,J51,N51)</f>
        <v>0</v>
      </c>
      <c r="Q51" s="380"/>
      <c r="R51" s="399"/>
    </row>
    <row r="52" spans="1:20" s="478" customFormat="1" ht="16.5" thickBot="1" x14ac:dyDescent="0.3">
      <c r="A52" s="491" t="s">
        <v>120</v>
      </c>
      <c r="B52" s="485"/>
      <c r="C52" s="475"/>
      <c r="D52" s="391"/>
      <c r="E52" s="379"/>
      <c r="F52" s="406">
        <f>SUM(F50:F51)</f>
        <v>0</v>
      </c>
      <c r="G52" s="407"/>
      <c r="H52" s="406">
        <f>SUM(H50:H51)</f>
        <v>0</v>
      </c>
      <c r="I52" s="407"/>
      <c r="J52" s="406">
        <f>SUM(J51:J51)</f>
        <v>0</v>
      </c>
      <c r="K52" s="407"/>
      <c r="L52" s="406">
        <f>SUM(L51:L51)</f>
        <v>0</v>
      </c>
      <c r="M52" s="407"/>
      <c r="N52" s="406">
        <f>SUM(N51:N51)</f>
        <v>0</v>
      </c>
      <c r="O52" s="408"/>
      <c r="P52" s="406">
        <f>SUM(P50:P51)</f>
        <v>0</v>
      </c>
      <c r="Q52" s="380"/>
      <c r="R52" s="409">
        <f>ROUND(+P52/F54,5)</f>
        <v>0</v>
      </c>
    </row>
    <row r="53" spans="1:20" s="478" customFormat="1" ht="15.75" thickBot="1" x14ac:dyDescent="0.25">
      <c r="A53" s="480"/>
      <c r="B53" s="474"/>
      <c r="C53" s="475"/>
      <c r="D53" s="405"/>
      <c r="E53" s="379"/>
      <c r="F53" s="392"/>
      <c r="G53" s="379"/>
      <c r="H53" s="392"/>
      <c r="I53" s="379"/>
      <c r="J53" s="393"/>
      <c r="K53" s="394"/>
      <c r="L53" s="392"/>
      <c r="M53" s="395"/>
      <c r="N53" s="392"/>
      <c r="O53" s="392"/>
      <c r="P53" s="392"/>
      <c r="Q53" s="380"/>
      <c r="R53" s="399"/>
    </row>
    <row r="54" spans="1:20" s="478" customFormat="1" ht="16.5" thickBot="1" x14ac:dyDescent="0.3">
      <c r="A54" s="480"/>
      <c r="B54" s="474"/>
      <c r="C54" s="475"/>
      <c r="D54" s="405" t="s">
        <v>100</v>
      </c>
      <c r="E54" s="379"/>
      <c r="F54" s="419">
        <f>F25+F41+F52</f>
        <v>1629988609.6142857</v>
      </c>
      <c r="G54" s="408"/>
      <c r="H54" s="419">
        <f>H25+H41+H48+H52</f>
        <v>62530011.892010868</v>
      </c>
      <c r="I54" s="407"/>
      <c r="J54" s="419">
        <f>J25+J41+J48+J52</f>
        <v>1848444.9537500017</v>
      </c>
      <c r="K54" s="407"/>
      <c r="L54" s="419">
        <f>L25+L41+L48+L52</f>
        <v>992587.34782608727</v>
      </c>
      <c r="M54" s="407"/>
      <c r="N54" s="419">
        <f>N25+N41+N48+N52</f>
        <v>684847.38444444444</v>
      </c>
      <c r="O54" s="408"/>
      <c r="P54" s="419">
        <f>P25+P41+P48+P52</f>
        <v>66055891.578031406</v>
      </c>
      <c r="Q54" s="380"/>
      <c r="R54" s="409">
        <f>ROUND(+P54/F54,5)</f>
        <v>4.0529999999999997E-2</v>
      </c>
      <c r="T54" s="497"/>
    </row>
    <row r="55" spans="1:20" s="478" customFormat="1" ht="15.75" thickTop="1" x14ac:dyDescent="0.2">
      <c r="A55" s="498"/>
      <c r="B55" s="612"/>
      <c r="C55" s="499"/>
      <c r="D55" s="500"/>
      <c r="E55" s="499"/>
      <c r="F55" s="501"/>
      <c r="G55" s="502"/>
      <c r="H55" s="501"/>
      <c r="I55" s="499"/>
      <c r="J55" s="501"/>
      <c r="K55" s="503"/>
      <c r="L55" s="474"/>
      <c r="M55" s="475"/>
      <c r="N55" s="501"/>
      <c r="O55" s="501"/>
      <c r="P55" s="501"/>
      <c r="Q55" s="502"/>
      <c r="R55" s="504"/>
    </row>
    <row r="56" spans="1:20" s="478" customFormat="1" ht="15.75" x14ac:dyDescent="0.25">
      <c r="B56" s="505"/>
      <c r="C56" s="506"/>
      <c r="D56" s="507"/>
      <c r="E56" s="506"/>
      <c r="F56" s="508"/>
      <c r="H56" s="508"/>
      <c r="I56" s="509"/>
      <c r="J56" s="508"/>
      <c r="K56" s="475"/>
      <c r="L56" s="510"/>
      <c r="M56" s="511"/>
      <c r="N56" s="508"/>
      <c r="O56" s="508"/>
      <c r="P56" s="508"/>
      <c r="R56" s="512"/>
    </row>
    <row r="57" spans="1:20" s="478" customFormat="1" ht="15.75" x14ac:dyDescent="0.25">
      <c r="B57" s="505"/>
      <c r="C57" s="506"/>
      <c r="D57" s="507"/>
      <c r="E57" s="506"/>
      <c r="F57" s="508"/>
      <c r="H57" s="508"/>
      <c r="I57" s="509"/>
      <c r="J57" s="508"/>
      <c r="K57" s="475"/>
      <c r="L57" s="508"/>
      <c r="M57" s="513"/>
      <c r="N57" s="508"/>
      <c r="O57" s="508"/>
      <c r="P57" s="508"/>
      <c r="R57" s="512"/>
    </row>
    <row r="58" spans="1:20" s="478" customFormat="1" ht="15.75" x14ac:dyDescent="0.25">
      <c r="A58" s="497"/>
      <c r="B58" s="505"/>
      <c r="C58" s="506"/>
      <c r="D58" s="507"/>
      <c r="E58" s="506"/>
      <c r="F58" s="508"/>
      <c r="H58" s="508"/>
      <c r="I58" s="509"/>
      <c r="J58" s="508"/>
      <c r="K58" s="513"/>
      <c r="L58" s="508"/>
      <c r="M58" s="513"/>
      <c r="N58" s="508"/>
      <c r="O58" s="508"/>
      <c r="P58" s="508"/>
      <c r="R58" s="512"/>
    </row>
    <row r="59" spans="1:20" s="478" customFormat="1" x14ac:dyDescent="0.2">
      <c r="B59" s="505"/>
      <c r="C59" s="506"/>
      <c r="D59" s="507"/>
      <c r="E59" s="506"/>
      <c r="F59" s="508"/>
      <c r="H59" s="508"/>
      <c r="I59" s="506"/>
      <c r="J59" s="508"/>
      <c r="K59" s="513"/>
      <c r="L59" s="508"/>
      <c r="M59" s="513"/>
      <c r="N59" s="508"/>
      <c r="O59" s="508"/>
      <c r="P59" s="508"/>
      <c r="R59" s="512"/>
    </row>
    <row r="60" spans="1:20" s="514" customFormat="1" ht="15.75" x14ac:dyDescent="0.25">
      <c r="A60" s="657" t="s">
        <v>121</v>
      </c>
      <c r="B60" s="658"/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1:20" s="478" customFormat="1" x14ac:dyDescent="0.2">
      <c r="A61" s="480"/>
      <c r="B61" s="474"/>
      <c r="C61" s="475"/>
      <c r="D61" s="476"/>
      <c r="E61" s="475"/>
      <c r="F61" s="476"/>
      <c r="G61" s="476"/>
      <c r="H61" s="476"/>
      <c r="I61" s="475"/>
      <c r="J61" s="476"/>
      <c r="K61" s="475"/>
      <c r="L61" s="476"/>
      <c r="M61" s="475"/>
      <c r="N61" s="476"/>
      <c r="O61" s="476"/>
      <c r="P61" s="476"/>
      <c r="Q61" s="476"/>
      <c r="R61" s="477"/>
    </row>
    <row r="62" spans="1:20" s="478" customFormat="1" x14ac:dyDescent="0.2">
      <c r="A62" s="480"/>
      <c r="B62" s="474"/>
      <c r="C62" s="475"/>
      <c r="D62" s="476"/>
      <c r="E62" s="475"/>
      <c r="F62" s="476"/>
      <c r="G62" s="476"/>
      <c r="H62" s="660" t="s">
        <v>89</v>
      </c>
      <c r="I62" s="660"/>
      <c r="J62" s="660"/>
      <c r="K62" s="660"/>
      <c r="L62" s="660"/>
      <c r="M62" s="660"/>
      <c r="N62" s="660"/>
      <c r="O62" s="660"/>
      <c r="P62" s="660"/>
      <c r="Q62" s="476"/>
      <c r="R62" s="477"/>
    </row>
    <row r="63" spans="1:20" s="478" customFormat="1" x14ac:dyDescent="0.2">
      <c r="A63" s="480"/>
      <c r="B63" s="474"/>
      <c r="C63" s="475"/>
      <c r="D63" s="476"/>
      <c r="E63" s="475"/>
      <c r="F63" s="476"/>
      <c r="G63" s="476"/>
      <c r="H63" s="476"/>
      <c r="I63" s="475"/>
      <c r="J63" s="476"/>
      <c r="K63" s="475"/>
      <c r="L63" s="476"/>
      <c r="M63" s="475"/>
      <c r="N63" s="476"/>
      <c r="O63" s="476"/>
      <c r="P63" s="476"/>
      <c r="Q63" s="476"/>
      <c r="R63" s="479" t="s">
        <v>93</v>
      </c>
    </row>
    <row r="64" spans="1:20" s="478" customFormat="1" x14ac:dyDescent="0.2">
      <c r="A64" s="480"/>
      <c r="B64" s="474" t="s">
        <v>122</v>
      </c>
      <c r="C64" s="475"/>
      <c r="D64" s="481" t="s">
        <v>277</v>
      </c>
      <c r="E64" s="475"/>
      <c r="F64" s="481" t="s">
        <v>278</v>
      </c>
      <c r="G64" s="476"/>
      <c r="H64" s="481" t="s">
        <v>279</v>
      </c>
      <c r="I64" s="475"/>
      <c r="J64" s="481" t="s">
        <v>280</v>
      </c>
      <c r="K64" s="475"/>
      <c r="L64" s="481" t="s">
        <v>281</v>
      </c>
      <c r="M64" s="515"/>
      <c r="N64" s="481" t="s">
        <v>123</v>
      </c>
      <c r="O64" s="474"/>
      <c r="P64" s="481" t="s">
        <v>282</v>
      </c>
      <c r="Q64" s="476"/>
      <c r="R64" s="516" t="s">
        <v>283</v>
      </c>
    </row>
    <row r="65" spans="1:18" s="478" customFormat="1" x14ac:dyDescent="0.2">
      <c r="A65" s="480"/>
      <c r="B65" s="474"/>
      <c r="C65" s="475"/>
      <c r="D65" s="476"/>
      <c r="E65" s="475"/>
      <c r="F65" s="476"/>
      <c r="G65" s="476"/>
      <c r="H65" s="476"/>
      <c r="I65" s="475"/>
      <c r="J65" s="476"/>
      <c r="K65" s="475"/>
      <c r="L65" s="476"/>
      <c r="M65" s="475"/>
      <c r="N65" s="476"/>
      <c r="O65" s="476"/>
      <c r="P65" s="476"/>
      <c r="Q65" s="476"/>
      <c r="R65" s="477"/>
    </row>
    <row r="66" spans="1:18" s="478" customFormat="1" x14ac:dyDescent="0.2">
      <c r="A66" s="480" t="s">
        <v>124</v>
      </c>
      <c r="B66" s="474" t="s">
        <v>125</v>
      </c>
      <c r="C66" s="475"/>
      <c r="D66" s="396">
        <v>1.4160000000000001E-2</v>
      </c>
      <c r="E66" s="397" t="s">
        <v>103</v>
      </c>
      <c r="F66" s="438">
        <v>1803918.48</v>
      </c>
      <c r="G66" s="408"/>
      <c r="H66" s="408">
        <f>ROUND(D66*F66,0)</f>
        <v>25543</v>
      </c>
      <c r="I66" s="407"/>
      <c r="J66" s="439">
        <v>0</v>
      </c>
      <c r="K66" s="407"/>
      <c r="L66" s="439">
        <v>0</v>
      </c>
      <c r="M66" s="407"/>
      <c r="N66" s="439">
        <v>0</v>
      </c>
      <c r="O66" s="408"/>
      <c r="P66" s="408">
        <f>SUM(H66:N66)</f>
        <v>25543</v>
      </c>
      <c r="Q66" s="380"/>
      <c r="R66" s="399">
        <f>IF(F66=0,0,(ROUND((P66/F66),5)))</f>
        <v>1.4160000000000001E-2</v>
      </c>
    </row>
    <row r="67" spans="1:18" s="478" customFormat="1" x14ac:dyDescent="0.2">
      <c r="A67" s="480" t="s">
        <v>126</v>
      </c>
      <c r="B67" s="474"/>
      <c r="C67" s="475"/>
      <c r="D67" s="396"/>
      <c r="E67" s="379"/>
      <c r="F67" s="398">
        <v>0</v>
      </c>
      <c r="G67" s="408"/>
      <c r="H67" s="398">
        <f t="shared" ref="H67" si="4">ROUND(D67*F67,0)</f>
        <v>0</v>
      </c>
      <c r="I67" s="407"/>
      <c r="J67" s="412">
        <v>0</v>
      </c>
      <c r="K67" s="407"/>
      <c r="L67" s="412">
        <v>0</v>
      </c>
      <c r="M67" s="401"/>
      <c r="N67" s="412">
        <v>0</v>
      </c>
      <c r="O67" s="408"/>
      <c r="P67" s="398">
        <f>SUM(H67:N67)</f>
        <v>0</v>
      </c>
      <c r="Q67" s="380"/>
      <c r="R67" s="399">
        <f>IF(F67=0,0,(ROUND((P67/F67),5)))</f>
        <v>0</v>
      </c>
    </row>
    <row r="68" spans="1:18" s="478" customFormat="1" x14ac:dyDescent="0.2">
      <c r="A68" s="480" t="s">
        <v>127</v>
      </c>
      <c r="B68" s="474" t="s">
        <v>128</v>
      </c>
      <c r="C68" s="475"/>
      <c r="D68" s="396">
        <v>1.289E-2</v>
      </c>
      <c r="E68" s="379"/>
      <c r="F68" s="440">
        <v>177578600.47999999</v>
      </c>
      <c r="G68" s="380"/>
      <c r="H68" s="441">
        <f>F68*D68</f>
        <v>2288988.1601871997</v>
      </c>
      <c r="I68" s="379"/>
      <c r="J68" s="442">
        <v>0</v>
      </c>
      <c r="K68" s="379"/>
      <c r="L68" s="442">
        <v>0</v>
      </c>
      <c r="M68" s="401"/>
      <c r="N68" s="442">
        <v>0</v>
      </c>
      <c r="O68" s="380"/>
      <c r="P68" s="441">
        <f>SUM(H68:N68)</f>
        <v>2288988.1601871997</v>
      </c>
      <c r="Q68" s="380"/>
      <c r="R68" s="443">
        <f>IF(F68=0,0,(ROUND((P68/F68),5)))</f>
        <v>1.289E-2</v>
      </c>
    </row>
    <row r="69" spans="1:18" s="478" customFormat="1" ht="15.75" thickBot="1" x14ac:dyDescent="0.25">
      <c r="A69" s="480"/>
      <c r="B69" s="474"/>
      <c r="C69" s="475"/>
      <c r="D69" s="380"/>
      <c r="E69" s="379"/>
      <c r="F69" s="393"/>
      <c r="G69" s="380"/>
      <c r="H69" s="393"/>
      <c r="I69" s="379"/>
      <c r="J69" s="380"/>
      <c r="K69" s="379"/>
      <c r="L69" s="393"/>
      <c r="M69" s="394"/>
      <c r="N69" s="393"/>
      <c r="O69" s="380"/>
      <c r="P69" s="393"/>
      <c r="Q69" s="380"/>
      <c r="R69" s="399"/>
    </row>
    <row r="70" spans="1:18" s="478" customFormat="1" ht="16.5" thickBot="1" x14ac:dyDescent="0.3">
      <c r="A70" s="480"/>
      <c r="B70" s="474"/>
      <c r="C70" s="475"/>
      <c r="D70" s="380" t="s">
        <v>100</v>
      </c>
      <c r="E70" s="379"/>
      <c r="F70" s="444">
        <f>SUM(F66:F69)</f>
        <v>179382518.95999998</v>
      </c>
      <c r="G70" s="408"/>
      <c r="H70" s="419">
        <f>SUM(H66:H69)</f>
        <v>2314531.1601871997</v>
      </c>
      <c r="I70" s="407"/>
      <c r="J70" s="445">
        <f>SUM(J68:J69)</f>
        <v>0</v>
      </c>
      <c r="K70" s="407"/>
      <c r="L70" s="445">
        <f>SUM(L68:L69)</f>
        <v>0</v>
      </c>
      <c r="M70" s="407"/>
      <c r="N70" s="445">
        <f>SUM(N68:N69)</f>
        <v>0</v>
      </c>
      <c r="O70" s="408"/>
      <c r="P70" s="419">
        <f>SUM(P66:P69)</f>
        <v>2314531.1601871997</v>
      </c>
      <c r="Q70" s="380"/>
      <c r="R70" s="446">
        <f>IF(F70=0,0,(ROUND(P70/F70,5)))</f>
        <v>1.29E-2</v>
      </c>
    </row>
    <row r="71" spans="1:18" s="478" customFormat="1" ht="15.75" thickTop="1" x14ac:dyDescent="0.2">
      <c r="A71" s="498"/>
      <c r="B71" s="612"/>
      <c r="C71" s="499"/>
      <c r="D71" s="424"/>
      <c r="E71" s="421"/>
      <c r="F71" s="424"/>
      <c r="G71" s="424"/>
      <c r="H71" s="447"/>
      <c r="I71" s="421"/>
      <c r="J71" s="424"/>
      <c r="K71" s="421"/>
      <c r="L71" s="447"/>
      <c r="M71" s="448"/>
      <c r="N71" s="447"/>
      <c r="O71" s="424"/>
      <c r="P71" s="424"/>
      <c r="Q71" s="424"/>
      <c r="R71" s="443"/>
    </row>
    <row r="72" spans="1:18" s="478" customFormat="1" ht="15.75" thickBot="1" x14ac:dyDescent="0.25">
      <c r="B72" s="505"/>
      <c r="C72" s="506"/>
      <c r="D72" s="428"/>
      <c r="E72" s="410"/>
      <c r="F72" s="429"/>
      <c r="G72" s="416"/>
      <c r="H72" s="429"/>
      <c r="I72" s="410"/>
      <c r="J72" s="416"/>
      <c r="K72" s="410"/>
      <c r="L72" s="416"/>
      <c r="M72" s="410"/>
      <c r="N72" s="416"/>
      <c r="O72" s="416"/>
      <c r="P72" s="429"/>
      <c r="Q72" s="416"/>
      <c r="R72" s="449"/>
    </row>
    <row r="73" spans="1:18" s="478" customFormat="1" ht="16.5" thickBot="1" x14ac:dyDescent="0.3">
      <c r="A73" s="478" t="s">
        <v>129</v>
      </c>
      <c r="B73" s="505"/>
      <c r="C73" s="506"/>
      <c r="D73" s="428"/>
      <c r="E73" s="410"/>
      <c r="F73" s="450">
        <f>F54+F70</f>
        <v>1809371128.5742857</v>
      </c>
      <c r="G73" s="451"/>
      <c r="H73" s="450">
        <f>H54+H70</f>
        <v>64844543.052198067</v>
      </c>
      <c r="I73" s="452"/>
      <c r="J73" s="450">
        <f>J54+J70</f>
        <v>1848444.9537500017</v>
      </c>
      <c r="K73" s="453"/>
      <c r="L73" s="450">
        <f>L54+L70</f>
        <v>992587.34782608727</v>
      </c>
      <c r="M73" s="407"/>
      <c r="N73" s="450">
        <f>N54+N70</f>
        <v>684847.38444444444</v>
      </c>
      <c r="O73" s="451"/>
      <c r="P73" s="450">
        <f>P54+P70</f>
        <v>68370422.738218606</v>
      </c>
      <c r="Q73" s="416"/>
      <c r="R73" s="446">
        <f>ROUND(P73/(F73),5)</f>
        <v>3.7789999999999997E-2</v>
      </c>
    </row>
    <row r="74" spans="1:18" s="478" customFormat="1" ht="16.5" thickTop="1" x14ac:dyDescent="0.25">
      <c r="B74" s="505"/>
      <c r="C74" s="506"/>
      <c r="D74" s="507"/>
      <c r="E74" s="506"/>
      <c r="F74" s="508"/>
      <c r="H74" s="508"/>
      <c r="I74" s="506"/>
      <c r="K74" s="506"/>
      <c r="M74" s="506"/>
      <c r="P74" s="508"/>
      <c r="R74" s="454"/>
    </row>
    <row r="75" spans="1:18" s="478" customFormat="1" x14ac:dyDescent="0.2">
      <c r="A75" s="478" t="s">
        <v>130</v>
      </c>
      <c r="B75" s="505"/>
      <c r="C75" s="506"/>
      <c r="D75" s="507"/>
      <c r="E75" s="506"/>
      <c r="F75" s="508"/>
      <c r="H75" s="508"/>
      <c r="I75" s="506"/>
      <c r="K75" s="506"/>
      <c r="M75" s="506"/>
      <c r="P75" s="517"/>
      <c r="R75" s="449"/>
    </row>
    <row r="76" spans="1:18" s="478" customFormat="1" x14ac:dyDescent="0.2">
      <c r="A76" s="478" t="s">
        <v>131</v>
      </c>
      <c r="B76" s="505"/>
      <c r="C76" s="506"/>
      <c r="E76" s="506"/>
      <c r="I76" s="506"/>
      <c r="K76" s="506"/>
      <c r="M76" s="506"/>
      <c r="R76" s="449"/>
    </row>
    <row r="77" spans="1:18" s="478" customFormat="1" x14ac:dyDescent="0.2">
      <c r="B77" s="505"/>
      <c r="C77" s="506"/>
      <c r="E77" s="506"/>
      <c r="I77" s="506"/>
      <c r="K77" s="506"/>
      <c r="M77" s="506"/>
      <c r="R77" s="512"/>
    </row>
    <row r="78" spans="1:18" s="478" customFormat="1" x14ac:dyDescent="0.2">
      <c r="A78" s="478" t="s">
        <v>214</v>
      </c>
      <c r="B78" s="505"/>
      <c r="C78" s="506"/>
      <c r="E78" s="506"/>
      <c r="F78" s="508"/>
      <c r="H78" s="508"/>
      <c r="I78" s="506"/>
      <c r="J78" s="505" t="s">
        <v>215</v>
      </c>
      <c r="K78" s="506"/>
      <c r="L78" s="517" t="s">
        <v>216</v>
      </c>
      <c r="M78" s="513"/>
      <c r="N78" s="517" t="s">
        <v>216</v>
      </c>
      <c r="P78" s="505" t="s">
        <v>217</v>
      </c>
      <c r="R78" s="512"/>
    </row>
    <row r="79" spans="1:18" s="478" customFormat="1" x14ac:dyDescent="0.2">
      <c r="B79" s="505"/>
      <c r="C79" s="506"/>
      <c r="E79" s="506"/>
      <c r="F79" s="508"/>
      <c r="H79" s="508"/>
      <c r="I79" s="506"/>
      <c r="J79" s="505" t="s">
        <v>218</v>
      </c>
      <c r="K79" s="506"/>
      <c r="L79" s="517" t="s">
        <v>219</v>
      </c>
      <c r="M79" s="513"/>
      <c r="N79" s="517" t="s">
        <v>219</v>
      </c>
      <c r="P79" s="505" t="s">
        <v>220</v>
      </c>
      <c r="R79" s="512"/>
    </row>
    <row r="80" spans="1:18" s="478" customFormat="1" x14ac:dyDescent="0.2">
      <c r="A80" s="514"/>
      <c r="B80" s="518" t="s">
        <v>284</v>
      </c>
      <c r="C80" s="506"/>
      <c r="D80" s="514"/>
      <c r="E80" s="506"/>
      <c r="H80" s="519" t="s">
        <v>285</v>
      </c>
      <c r="I80" s="506"/>
      <c r="J80" s="520" t="s">
        <v>286</v>
      </c>
      <c r="K80" s="506"/>
      <c r="L80" s="520" t="s">
        <v>287</v>
      </c>
      <c r="M80" s="521"/>
      <c r="N80" s="520" t="s">
        <v>287</v>
      </c>
      <c r="P80" s="522" t="s">
        <v>288</v>
      </c>
      <c r="R80" s="512"/>
    </row>
    <row r="81" spans="1:19" s="478" customFormat="1" x14ac:dyDescent="0.2">
      <c r="B81" s="523" t="s">
        <v>221</v>
      </c>
      <c r="C81" s="506"/>
      <c r="E81" s="506"/>
      <c r="F81" s="508"/>
      <c r="H81" s="508">
        <v>83335000</v>
      </c>
      <c r="I81" s="506"/>
      <c r="J81" s="524">
        <v>44136</v>
      </c>
      <c r="K81" s="525"/>
      <c r="L81" s="526">
        <v>5.4949999999999999E-2</v>
      </c>
      <c r="M81" s="527"/>
      <c r="N81" s="526">
        <v>5.4949999999999999E-2</v>
      </c>
      <c r="P81" s="478" t="s">
        <v>222</v>
      </c>
      <c r="R81" s="512"/>
    </row>
    <row r="82" spans="1:19" s="478" customFormat="1" x14ac:dyDescent="0.2">
      <c r="B82" s="523" t="s">
        <v>223</v>
      </c>
      <c r="C82" s="506"/>
      <c r="E82" s="506"/>
      <c r="F82" s="508"/>
      <c r="H82" s="508">
        <v>32000000</v>
      </c>
      <c r="I82" s="506"/>
      <c r="J82" s="524">
        <v>48853</v>
      </c>
      <c r="K82" s="525"/>
      <c r="L82" s="526">
        <v>3.6569999999999998E-2</v>
      </c>
      <c r="M82" s="527"/>
      <c r="N82" s="526">
        <v>3.6569999999999998E-2</v>
      </c>
      <c r="P82" s="523" t="s">
        <v>224</v>
      </c>
      <c r="R82" s="512"/>
    </row>
    <row r="83" spans="1:19" s="478" customFormat="1" x14ac:dyDescent="0.2">
      <c r="B83" s="523" t="s">
        <v>223</v>
      </c>
      <c r="C83" s="506"/>
      <c r="E83" s="506"/>
      <c r="F83" s="508"/>
      <c r="H83" s="508">
        <v>32000000</v>
      </c>
      <c r="I83" s="506"/>
      <c r="J83" s="524">
        <v>48853</v>
      </c>
      <c r="K83" s="525"/>
      <c r="L83" s="526">
        <v>3.6450000000000003E-2</v>
      </c>
      <c r="M83" s="527"/>
      <c r="N83" s="526">
        <v>3.6450000000000003E-2</v>
      </c>
      <c r="P83" s="523" t="s">
        <v>224</v>
      </c>
      <c r="R83" s="512"/>
    </row>
    <row r="84" spans="1:19" s="478" customFormat="1" x14ac:dyDescent="0.2">
      <c r="B84" s="523"/>
      <c r="C84" s="506"/>
      <c r="E84" s="506"/>
      <c r="F84" s="508"/>
      <c r="H84" s="501"/>
      <c r="I84" s="523"/>
      <c r="J84" s="524"/>
      <c r="K84" s="525"/>
      <c r="L84" s="526"/>
      <c r="M84" s="527"/>
      <c r="N84" s="526"/>
      <c r="P84" s="523"/>
      <c r="R84" s="512"/>
    </row>
    <row r="85" spans="1:19" s="478" customFormat="1" ht="15.75" thickBot="1" x14ac:dyDescent="0.25">
      <c r="B85" s="505"/>
      <c r="C85" s="506"/>
      <c r="E85" s="506"/>
      <c r="F85" s="508"/>
      <c r="H85" s="528">
        <v>147335000</v>
      </c>
      <c r="I85" s="506"/>
      <c r="K85" s="506"/>
      <c r="L85" s="529"/>
      <c r="M85" s="527"/>
      <c r="N85" s="529"/>
      <c r="R85" s="512"/>
    </row>
    <row r="86" spans="1:19" s="478" customFormat="1" ht="30" customHeight="1" thickTop="1" x14ac:dyDescent="0.2">
      <c r="A86" s="661" t="s">
        <v>289</v>
      </c>
      <c r="B86" s="661"/>
      <c r="C86" s="661"/>
      <c r="D86" s="661"/>
      <c r="E86" s="661"/>
      <c r="F86" s="661"/>
      <c r="G86" s="661"/>
      <c r="H86" s="661"/>
      <c r="I86" s="506"/>
      <c r="K86" s="506"/>
      <c r="L86" s="508"/>
      <c r="M86" s="513"/>
      <c r="N86" s="508"/>
      <c r="O86" s="508"/>
      <c r="R86" s="512"/>
    </row>
    <row r="87" spans="1:19" s="478" customFormat="1" x14ac:dyDescent="0.2">
      <c r="A87" s="530"/>
      <c r="B87" s="531"/>
      <c r="C87" s="532"/>
      <c r="D87" s="531"/>
      <c r="E87" s="532"/>
      <c r="F87" s="531"/>
      <c r="I87" s="506"/>
      <c r="K87" s="506"/>
      <c r="L87" s="508"/>
      <c r="M87" s="513"/>
      <c r="N87" s="508"/>
      <c r="O87" s="508"/>
      <c r="R87" s="512"/>
    </row>
    <row r="88" spans="1:19" s="478" customFormat="1" hidden="1" x14ac:dyDescent="0.2">
      <c r="A88" s="661"/>
      <c r="B88" s="661"/>
      <c r="C88" s="661"/>
      <c r="D88" s="661"/>
      <c r="E88" s="661"/>
      <c r="F88" s="661"/>
      <c r="I88" s="506"/>
      <c r="K88" s="506"/>
      <c r="L88" s="508"/>
      <c r="M88" s="513"/>
      <c r="N88" s="508"/>
      <c r="O88" s="508"/>
      <c r="R88" s="512"/>
    </row>
    <row r="89" spans="1:19" s="478" customFormat="1" hidden="1" x14ac:dyDescent="0.2">
      <c r="A89" s="523"/>
      <c r="B89" s="505"/>
      <c r="C89" s="506"/>
      <c r="E89" s="506"/>
      <c r="I89" s="506"/>
      <c r="K89" s="506"/>
      <c r="L89" s="508"/>
      <c r="M89" s="513"/>
      <c r="N89" s="508"/>
      <c r="O89" s="508"/>
      <c r="R89" s="512"/>
    </row>
    <row r="90" spans="1:19" s="478" customFormat="1" hidden="1" x14ac:dyDescent="0.2">
      <c r="A90" s="533" t="s">
        <v>296</v>
      </c>
      <c r="B90" s="505"/>
      <c r="C90" s="506"/>
      <c r="E90" s="506"/>
      <c r="I90" s="506"/>
      <c r="K90" s="506"/>
      <c r="L90" s="508"/>
      <c r="M90" s="513"/>
      <c r="N90" s="508"/>
      <c r="O90" s="508"/>
      <c r="R90" s="512"/>
    </row>
    <row r="91" spans="1:19" s="478" customFormat="1" hidden="1" x14ac:dyDescent="0.2">
      <c r="B91" s="505"/>
      <c r="C91" s="506"/>
      <c r="E91" s="506"/>
      <c r="I91" s="506"/>
      <c r="K91" s="506"/>
      <c r="L91" s="508"/>
      <c r="M91" s="513"/>
      <c r="N91" s="508"/>
      <c r="O91" s="508"/>
      <c r="R91" s="512"/>
    </row>
    <row r="92" spans="1:19" s="478" customFormat="1" hidden="1" x14ac:dyDescent="0.2">
      <c r="A92" s="534" t="s">
        <v>297</v>
      </c>
      <c r="B92" s="523" t="s">
        <v>298</v>
      </c>
      <c r="C92" s="506"/>
      <c r="D92" s="523" t="s">
        <v>299</v>
      </c>
      <c r="E92" s="506"/>
      <c r="F92" s="523" t="s">
        <v>300</v>
      </c>
      <c r="H92" s="523" t="s">
        <v>301</v>
      </c>
      <c r="I92" s="506"/>
      <c r="K92" s="506"/>
      <c r="M92" s="506"/>
      <c r="N92" s="508"/>
      <c r="O92" s="508"/>
      <c r="R92" s="512"/>
    </row>
    <row r="93" spans="1:19" s="478" customFormat="1" hidden="1" x14ac:dyDescent="0.2">
      <c r="A93" s="535" t="s">
        <v>302</v>
      </c>
      <c r="B93" s="523" t="s">
        <v>303</v>
      </c>
      <c r="C93" s="506"/>
      <c r="D93" s="478" t="s">
        <v>304</v>
      </c>
      <c r="E93" s="506"/>
      <c r="F93" s="523" t="s">
        <v>305</v>
      </c>
      <c r="H93" s="523" t="s">
        <v>306</v>
      </c>
      <c r="I93" s="506"/>
      <c r="K93" s="506"/>
      <c r="L93" s="508"/>
      <c r="M93" s="513"/>
      <c r="N93" s="508"/>
      <c r="O93" s="508"/>
      <c r="R93" s="512"/>
    </row>
    <row r="94" spans="1:19" s="478" customFormat="1" hidden="1" x14ac:dyDescent="0.2">
      <c r="A94" s="535" t="s">
        <v>307</v>
      </c>
      <c r="B94" s="523" t="s">
        <v>308</v>
      </c>
      <c r="C94" s="506"/>
      <c r="D94" s="523" t="s">
        <v>309</v>
      </c>
      <c r="E94" s="506"/>
      <c r="F94" s="523" t="s">
        <v>310</v>
      </c>
      <c r="H94" s="523" t="s">
        <v>311</v>
      </c>
      <c r="I94" s="506"/>
      <c r="J94" s="508"/>
      <c r="K94" s="506"/>
      <c r="M94" s="506"/>
      <c r="R94" s="512"/>
      <c r="S94" s="529"/>
    </row>
    <row r="95" spans="1:19" s="478" customFormat="1" hidden="1" x14ac:dyDescent="0.2">
      <c r="A95" s="535" t="s">
        <v>312</v>
      </c>
      <c r="B95" s="523"/>
      <c r="C95" s="506"/>
      <c r="D95" s="523" t="s">
        <v>313</v>
      </c>
      <c r="E95" s="506"/>
      <c r="F95" s="523" t="s">
        <v>314</v>
      </c>
      <c r="H95" s="523" t="s">
        <v>315</v>
      </c>
      <c r="I95" s="506"/>
      <c r="J95" s="508"/>
      <c r="K95" s="513"/>
      <c r="M95" s="506"/>
      <c r="O95" s="508"/>
      <c r="R95" s="512"/>
      <c r="S95" s="529"/>
    </row>
    <row r="96" spans="1:19" s="478" customFormat="1" hidden="1" x14ac:dyDescent="0.2">
      <c r="C96" s="506"/>
      <c r="E96" s="506"/>
      <c r="G96" s="523"/>
      <c r="I96" s="506"/>
      <c r="J96" s="505"/>
      <c r="K96" s="506"/>
      <c r="M96" s="506"/>
      <c r="R96" s="512"/>
      <c r="S96" s="529"/>
    </row>
    <row r="97" spans="1:19" s="478" customFormat="1" x14ac:dyDescent="0.2">
      <c r="C97" s="506"/>
      <c r="E97" s="506"/>
      <c r="G97" s="523"/>
      <c r="I97" s="506"/>
      <c r="J97" s="505"/>
      <c r="K97" s="506"/>
      <c r="M97" s="506"/>
      <c r="P97" s="508"/>
      <c r="R97" s="512"/>
      <c r="S97" s="529"/>
    </row>
    <row r="98" spans="1:19" s="478" customFormat="1" x14ac:dyDescent="0.2">
      <c r="A98" s="478" t="s">
        <v>132</v>
      </c>
      <c r="B98" s="505"/>
      <c r="C98" s="506"/>
      <c r="E98" s="506"/>
      <c r="I98" s="506"/>
      <c r="K98" s="506"/>
      <c r="M98" s="506"/>
      <c r="R98" s="512"/>
    </row>
    <row r="99" spans="1:19" s="478" customFormat="1" x14ac:dyDescent="0.2">
      <c r="A99" s="478" t="s">
        <v>225</v>
      </c>
      <c r="B99" s="505"/>
      <c r="C99" s="506"/>
      <c r="E99" s="506"/>
      <c r="I99" s="506"/>
      <c r="K99" s="506"/>
      <c r="M99" s="506"/>
      <c r="R99" s="512"/>
    </row>
    <row r="100" spans="1:19" s="478" customFormat="1" x14ac:dyDescent="0.2">
      <c r="A100" s="478" t="s">
        <v>290</v>
      </c>
      <c r="B100" s="505"/>
      <c r="C100" s="506"/>
      <c r="E100" s="506"/>
      <c r="I100" s="506"/>
      <c r="K100" s="506"/>
      <c r="M100" s="506"/>
      <c r="R100" s="512"/>
    </row>
    <row r="101" spans="1:19" s="478" customFormat="1" x14ac:dyDescent="0.2">
      <c r="A101" s="478" t="s">
        <v>291</v>
      </c>
      <c r="B101" s="505"/>
      <c r="C101" s="506"/>
      <c r="E101" s="506"/>
      <c r="I101" s="506"/>
      <c r="K101" s="506"/>
      <c r="M101" s="506"/>
      <c r="R101" s="512"/>
    </row>
    <row r="104" spans="1:19" x14ac:dyDescent="0.2">
      <c r="A104" s="476"/>
      <c r="B104" s="474"/>
      <c r="C104" s="475"/>
      <c r="D104" s="476"/>
      <c r="E104" s="475"/>
      <c r="F104" s="476"/>
    </row>
    <row r="105" spans="1:19" x14ac:dyDescent="0.2">
      <c r="A105" s="476"/>
      <c r="B105" s="474"/>
      <c r="C105" s="475"/>
      <c r="D105" s="476"/>
      <c r="E105" s="475"/>
      <c r="F105" s="476"/>
    </row>
    <row r="106" spans="1:19" x14ac:dyDescent="0.2">
      <c r="A106" s="476"/>
      <c r="B106" s="474"/>
      <c r="C106" s="475"/>
      <c r="D106" s="476"/>
      <c r="E106" s="475"/>
      <c r="F106" s="476"/>
    </row>
    <row r="107" spans="1:19" x14ac:dyDescent="0.2">
      <c r="A107" s="476"/>
      <c r="B107" s="474"/>
      <c r="C107" s="475"/>
      <c r="D107" s="476"/>
      <c r="E107" s="475"/>
      <c r="F107" s="476"/>
    </row>
    <row r="108" spans="1:19" x14ac:dyDescent="0.2">
      <c r="A108" s="476"/>
      <c r="B108" s="474"/>
      <c r="C108" s="475"/>
      <c r="D108" s="476"/>
      <c r="E108" s="475"/>
      <c r="F108" s="476"/>
    </row>
    <row r="109" spans="1:19" x14ac:dyDescent="0.2">
      <c r="A109" s="476"/>
      <c r="B109" s="474"/>
      <c r="C109" s="475"/>
      <c r="D109" s="476"/>
      <c r="E109" s="475"/>
      <c r="F109" s="476"/>
    </row>
  </sheetData>
  <mergeCells count="6">
    <mergeCell ref="A60:R60"/>
    <mergeCell ref="H62:P62"/>
    <mergeCell ref="A86:H86"/>
    <mergeCell ref="A88:F88"/>
    <mergeCell ref="A6:R6"/>
    <mergeCell ref="H8:P8"/>
  </mergeCells>
  <pageMargins left="0.7" right="0.7" top="0.75" bottom="0.75" header="0.3" footer="0.3"/>
  <pageSetup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</sheetPr>
  <dimension ref="A1:AL32"/>
  <sheetViews>
    <sheetView zoomScaleNormal="100" workbookViewId="0">
      <selection activeCell="K23" sqref="K23"/>
    </sheetView>
  </sheetViews>
  <sheetFormatPr defaultRowHeight="12.75" x14ac:dyDescent="0.2"/>
  <cols>
    <col min="1" max="1" width="16.83203125" style="61" customWidth="1"/>
    <col min="2" max="2" width="17" style="61" customWidth="1"/>
    <col min="3" max="3" width="16.83203125" style="61" customWidth="1"/>
    <col min="4" max="4" width="15.83203125" style="61" customWidth="1"/>
    <col min="5" max="5" width="19.6640625" style="61" customWidth="1"/>
    <col min="6" max="6" width="16.6640625" style="61" customWidth="1"/>
    <col min="7" max="7" width="21.83203125" style="61" customWidth="1"/>
    <col min="8" max="8" width="16.83203125" style="61" customWidth="1"/>
    <col min="9" max="9" width="4.83203125" style="61" customWidth="1"/>
    <col min="11" max="12" width="15.5" customWidth="1"/>
    <col min="13" max="13" width="10.6640625" bestFit="1" customWidth="1"/>
    <col min="21" max="21" width="16.83203125" style="61" customWidth="1"/>
    <col min="22" max="22" width="24" style="61" customWidth="1"/>
    <col min="23" max="23" width="36.1640625" style="61" customWidth="1"/>
    <col min="24" max="24" width="10.83203125" style="61" customWidth="1"/>
    <col min="25" max="25" width="14.6640625" style="61" customWidth="1"/>
    <col min="26" max="26" width="16" style="61" customWidth="1"/>
    <col min="27" max="27" width="17.6640625" style="61" customWidth="1"/>
    <col min="28" max="29" width="13" style="61" customWidth="1"/>
    <col min="30" max="30" width="17" style="61" customWidth="1"/>
    <col min="31" max="31" width="10.33203125" style="61" customWidth="1"/>
    <col min="32" max="32" width="17.5" style="61" bestFit="1" customWidth="1"/>
    <col min="33" max="33" width="15.83203125" style="61" customWidth="1"/>
    <col min="34" max="34" width="19.6640625" style="61" customWidth="1"/>
    <col min="35" max="35" width="4.5" style="61" customWidth="1"/>
    <col min="36" max="36" width="20.33203125" style="63" customWidth="1"/>
    <col min="37" max="37" width="16.5" style="61" bestFit="1" customWidth="1"/>
    <col min="38" max="39" width="16.83203125" style="61" bestFit="1" customWidth="1"/>
    <col min="40" max="40" width="13.1640625" style="61" bestFit="1" customWidth="1"/>
    <col min="41" max="41" width="16" style="61" bestFit="1" customWidth="1"/>
    <col min="42" max="42" width="14.6640625" style="61" bestFit="1" customWidth="1"/>
    <col min="43" max="43" width="15.5" style="61" bestFit="1" customWidth="1"/>
    <col min="44" max="44" width="14.6640625" style="61" bestFit="1" customWidth="1"/>
    <col min="45" max="45" width="11.83203125" style="61" bestFit="1" customWidth="1"/>
    <col min="46" max="16384" width="9.33203125" style="61"/>
  </cols>
  <sheetData>
    <row r="1" spans="1:36" x14ac:dyDescent="0.2">
      <c r="A1" s="60" t="str">
        <f>'Input Tab'!B2</f>
        <v>Louisville Gas &amp; Electric Company</v>
      </c>
      <c r="H1" s="62" t="s">
        <v>342</v>
      </c>
      <c r="AE1" s="60"/>
    </row>
    <row r="2" spans="1:36" x14ac:dyDescent="0.2">
      <c r="A2" s="60" t="s">
        <v>11</v>
      </c>
      <c r="H2" s="64" t="s">
        <v>153</v>
      </c>
      <c r="AE2" s="60"/>
    </row>
    <row r="3" spans="1:36" x14ac:dyDescent="0.2">
      <c r="A3" s="65" t="s">
        <v>338</v>
      </c>
      <c r="H3" s="64" t="str">
        <f>'Input Tab'!B4</f>
        <v>Rahn</v>
      </c>
      <c r="AE3" s="60"/>
    </row>
    <row r="4" spans="1:36" x14ac:dyDescent="0.2">
      <c r="I4" s="64"/>
      <c r="V4" s="64"/>
      <c r="X4" s="65"/>
      <c r="AE4" s="60"/>
      <c r="AH4" s="64"/>
    </row>
    <row r="5" spans="1:36" ht="13.5" thickBot="1" x14ac:dyDescent="0.25">
      <c r="A5" s="153"/>
      <c r="I5" s="64"/>
      <c r="V5" s="64"/>
      <c r="X5" s="65"/>
      <c r="AE5" s="60"/>
      <c r="AH5" s="64"/>
    </row>
    <row r="6" spans="1:36" ht="13.5" thickBot="1" x14ac:dyDescent="0.25">
      <c r="A6" s="641" t="s">
        <v>81</v>
      </c>
      <c r="B6" s="642"/>
      <c r="C6" s="642"/>
      <c r="D6" s="642"/>
      <c r="E6" s="642"/>
      <c r="F6" s="642"/>
      <c r="G6" s="642"/>
      <c r="H6" s="643"/>
    </row>
    <row r="7" spans="1:36" x14ac:dyDescent="0.2">
      <c r="A7" s="114">
        <v>-1</v>
      </c>
      <c r="B7" s="115">
        <f t="shared" ref="B7:H7" si="0">A7-1</f>
        <v>-2</v>
      </c>
      <c r="C7" s="115">
        <f t="shared" si="0"/>
        <v>-3</v>
      </c>
      <c r="D7" s="115">
        <f t="shared" si="0"/>
        <v>-4</v>
      </c>
      <c r="E7" s="115">
        <f t="shared" si="0"/>
        <v>-5</v>
      </c>
      <c r="F7" s="115">
        <f t="shared" si="0"/>
        <v>-6</v>
      </c>
      <c r="G7" s="115">
        <f t="shared" si="0"/>
        <v>-7</v>
      </c>
      <c r="H7" s="113">
        <f t="shared" si="0"/>
        <v>-8</v>
      </c>
      <c r="V7" s="63"/>
      <c r="AJ7" s="61"/>
    </row>
    <row r="8" spans="1:36" s="66" customFormat="1" ht="38.25" x14ac:dyDescent="0.2">
      <c r="A8" s="177" t="s">
        <v>1</v>
      </c>
      <c r="B8" s="178" t="s">
        <v>14</v>
      </c>
      <c r="C8" s="178" t="s">
        <v>12</v>
      </c>
      <c r="D8" s="178" t="s">
        <v>7</v>
      </c>
      <c r="E8" s="178" t="s">
        <v>20</v>
      </c>
      <c r="F8" s="178" t="s">
        <v>15</v>
      </c>
      <c r="G8" s="178" t="s">
        <v>36</v>
      </c>
      <c r="H8" s="179" t="s">
        <v>16</v>
      </c>
      <c r="K8"/>
      <c r="L8"/>
      <c r="M8"/>
      <c r="N8"/>
      <c r="O8"/>
      <c r="P8"/>
      <c r="Q8"/>
      <c r="R8"/>
      <c r="S8"/>
      <c r="T8"/>
      <c r="V8" s="67"/>
    </row>
    <row r="9" spans="1:36" x14ac:dyDescent="0.2">
      <c r="A9" s="68"/>
      <c r="B9" s="108" t="s">
        <v>85</v>
      </c>
      <c r="C9" s="74" t="s">
        <v>86</v>
      </c>
      <c r="D9" s="108"/>
      <c r="E9" s="71" t="s">
        <v>13</v>
      </c>
      <c r="F9" s="73" t="s">
        <v>24</v>
      </c>
      <c r="G9" s="71" t="s">
        <v>21</v>
      </c>
      <c r="H9" s="72" t="s">
        <v>25</v>
      </c>
      <c r="V9" s="63"/>
      <c r="AJ9" s="61"/>
    </row>
    <row r="10" spans="1:36" x14ac:dyDescent="0.2">
      <c r="A10" s="79">
        <f>'Q1 p.1 - Rate Base True-up Adj'!B9</f>
        <v>42795</v>
      </c>
      <c r="B10" s="77">
        <f>'Input Tab'!K23</f>
        <v>922749314</v>
      </c>
      <c r="C10" s="78">
        <f t="shared" ref="C10:C15" si="1">B10/12</f>
        <v>76895776.166666672</v>
      </c>
      <c r="D10" s="80">
        <f>'Input Tab'!J23</f>
        <v>0.1045</v>
      </c>
      <c r="E10" s="77">
        <f>'Input Tab'!L23</f>
        <v>2758582</v>
      </c>
      <c r="F10" s="78">
        <f t="shared" ref="F10:F15" si="2">(C10*D10)+E10</f>
        <v>10794190.609416667</v>
      </c>
      <c r="G10" s="80">
        <f>'Q1 p.2 - Rate of Return Adj'!H9</f>
        <v>0.90949999999999998</v>
      </c>
      <c r="H10" s="106">
        <f t="shared" ref="H10:H15" si="3">F10*G10</f>
        <v>9817316.3592644595</v>
      </c>
      <c r="U10" s="91"/>
      <c r="V10"/>
      <c r="W10"/>
      <c r="X10" s="87"/>
      <c r="Y10" s="87"/>
      <c r="Z10" s="87"/>
      <c r="AA10" s="87"/>
      <c r="AB10" s="87"/>
      <c r="AC10" s="87"/>
      <c r="AD10" s="87"/>
      <c r="AE10" s="87"/>
      <c r="AJ10" s="61"/>
    </row>
    <row r="11" spans="1:36" x14ac:dyDescent="0.2">
      <c r="A11" s="79">
        <f>'Q1 p.1 - Rate Base True-up Adj'!B10</f>
        <v>42826</v>
      </c>
      <c r="B11" s="77">
        <f>'Input Tab'!K24</f>
        <v>924116539</v>
      </c>
      <c r="C11" s="82">
        <f t="shared" si="1"/>
        <v>77009711.583333328</v>
      </c>
      <c r="D11" s="80">
        <f>'Input Tab'!J24</f>
        <v>0.1045</v>
      </c>
      <c r="E11" s="191">
        <f>'Input Tab'!L24</f>
        <v>2862536</v>
      </c>
      <c r="F11" s="82">
        <f t="shared" si="2"/>
        <v>10910050.860458333</v>
      </c>
      <c r="G11" s="80">
        <f>'Q1 p.2 - Rate of Return Adj'!H10</f>
        <v>0.98070000000000002</v>
      </c>
      <c r="H11" s="107">
        <f t="shared" si="3"/>
        <v>10699486.878851488</v>
      </c>
      <c r="U11" s="91"/>
      <c r="V11"/>
      <c r="W11"/>
      <c r="X11" s="87"/>
      <c r="Y11" s="87"/>
      <c r="Z11" s="87"/>
      <c r="AA11" s="87"/>
      <c r="AB11" s="87"/>
      <c r="AC11" s="87"/>
      <c r="AD11" s="87"/>
      <c r="AE11" s="87"/>
      <c r="AJ11" s="61"/>
    </row>
    <row r="12" spans="1:36" x14ac:dyDescent="0.2">
      <c r="A12" s="79">
        <f>'Q1 p.1 - Rate Base True-up Adj'!B11</f>
        <v>42856</v>
      </c>
      <c r="B12" s="77">
        <f>'Input Tab'!K25</f>
        <v>924917547</v>
      </c>
      <c r="C12" s="82">
        <f t="shared" si="1"/>
        <v>77076462.25</v>
      </c>
      <c r="D12" s="80">
        <f>'Input Tab'!J25</f>
        <v>0.1045</v>
      </c>
      <c r="E12" s="191">
        <f>'Input Tab'!L25</f>
        <v>2689593</v>
      </c>
      <c r="F12" s="82">
        <f t="shared" si="2"/>
        <v>10744083.305125</v>
      </c>
      <c r="G12" s="80">
        <f>'Q1 p.2 - Rate of Return Adj'!H11</f>
        <v>0.96109999999999995</v>
      </c>
      <c r="H12" s="107">
        <f t="shared" si="3"/>
        <v>10326138.464555636</v>
      </c>
      <c r="U12" s="91"/>
      <c r="V12"/>
      <c r="W12"/>
      <c r="X12" s="87"/>
      <c r="Y12" s="87"/>
      <c r="Z12" s="87"/>
      <c r="AA12" s="87"/>
      <c r="AB12" s="87"/>
      <c r="AC12" s="87"/>
      <c r="AD12" s="87"/>
      <c r="AE12" s="87"/>
      <c r="AJ12" s="61"/>
    </row>
    <row r="13" spans="1:36" x14ac:dyDescent="0.2">
      <c r="A13" s="79">
        <f>'Q1 p.1 - Rate Base True-up Adj'!B12</f>
        <v>42887</v>
      </c>
      <c r="B13" s="77">
        <f>'Input Tab'!K26</f>
        <v>924920951</v>
      </c>
      <c r="C13" s="82">
        <f t="shared" si="1"/>
        <v>77076745.916666672</v>
      </c>
      <c r="D13" s="80">
        <f>'Input Tab'!J26</f>
        <v>0.1022</v>
      </c>
      <c r="E13" s="191">
        <f>'Input Tab'!L26</f>
        <v>2824681</v>
      </c>
      <c r="F13" s="82">
        <f t="shared" si="2"/>
        <v>10701924.432683334</v>
      </c>
      <c r="G13" s="80">
        <f>'Q1 p.2 - Rate of Return Adj'!H12</f>
        <v>0.98680000000000001</v>
      </c>
      <c r="H13" s="107">
        <f t="shared" si="3"/>
        <v>10560659.030171914</v>
      </c>
      <c r="U13" s="91"/>
      <c r="V13"/>
      <c r="W13"/>
      <c r="X13" s="87"/>
      <c r="Y13" s="87"/>
      <c r="Z13" s="87"/>
      <c r="AA13" s="87"/>
      <c r="AB13" s="87"/>
      <c r="AC13" s="87"/>
      <c r="AD13" s="87"/>
      <c r="AE13" s="87"/>
      <c r="AJ13" s="61"/>
    </row>
    <row r="14" spans="1:36" x14ac:dyDescent="0.2">
      <c r="A14" s="79">
        <f>'Q1 p.1 - Rate Base True-up Adj'!B13</f>
        <v>42917</v>
      </c>
      <c r="B14" s="77">
        <f>'Input Tab'!K27</f>
        <v>940391195</v>
      </c>
      <c r="C14" s="82">
        <f t="shared" si="1"/>
        <v>78365932.916666672</v>
      </c>
      <c r="D14" s="80">
        <f>'Input Tab'!J27</f>
        <v>0.1022</v>
      </c>
      <c r="E14" s="191">
        <f>'Input Tab'!L27</f>
        <v>2952606</v>
      </c>
      <c r="F14" s="82">
        <f t="shared" si="2"/>
        <v>10961604.344083333</v>
      </c>
      <c r="G14" s="80">
        <f>'Q1 p.2 - Rate of Return Adj'!H13</f>
        <v>0.99419999999999997</v>
      </c>
      <c r="H14" s="107">
        <f t="shared" si="3"/>
        <v>10898027.03888765</v>
      </c>
      <c r="K14" s="604"/>
      <c r="L14" s="602"/>
      <c r="U14" s="91"/>
      <c r="V14" s="63"/>
      <c r="W14"/>
      <c r="X14" s="99"/>
      <c r="AJ14" s="61"/>
    </row>
    <row r="15" spans="1:36" x14ac:dyDescent="0.2">
      <c r="A15" s="79">
        <f>'Q1 p.1 - Rate Base True-up Adj'!B14</f>
        <v>42948</v>
      </c>
      <c r="B15" s="77">
        <f>'Input Tab'!K28</f>
        <v>937831407</v>
      </c>
      <c r="C15" s="82">
        <f t="shared" si="1"/>
        <v>78152617.25</v>
      </c>
      <c r="D15" s="80">
        <f>'Input Tab'!J28</f>
        <v>0.1022</v>
      </c>
      <c r="E15" s="191">
        <f>'Input Tab'!L28</f>
        <v>3015332</v>
      </c>
      <c r="F15" s="82">
        <f t="shared" si="2"/>
        <v>11002529.48295</v>
      </c>
      <c r="G15" s="80">
        <f>'Q1 p.2 - Rate of Return Adj'!H14</f>
        <v>0.99419999999999997</v>
      </c>
      <c r="H15" s="107">
        <f t="shared" si="3"/>
        <v>10938714.81194889</v>
      </c>
      <c r="K15" s="604"/>
      <c r="L15" s="602"/>
      <c r="M15" s="600"/>
      <c r="U15" s="91"/>
      <c r="V15" s="63"/>
      <c r="W15"/>
      <c r="X15" s="99"/>
      <c r="AJ15" s="61"/>
    </row>
    <row r="16" spans="1:36" x14ac:dyDescent="0.2">
      <c r="A16" s="96"/>
      <c r="B16" s="82"/>
      <c r="C16" s="94"/>
      <c r="D16" s="94"/>
      <c r="E16" s="94"/>
      <c r="F16" s="94"/>
      <c r="G16" s="94"/>
      <c r="H16" s="81"/>
      <c r="U16" s="91"/>
      <c r="V16" s="63"/>
      <c r="W16"/>
      <c r="X16" s="99"/>
      <c r="AJ16" s="61"/>
    </row>
    <row r="17" spans="1:38" ht="13.5" thickBot="1" x14ac:dyDescent="0.25">
      <c r="A17" s="101"/>
      <c r="B17" s="102"/>
      <c r="C17" s="102"/>
      <c r="D17" s="104"/>
      <c r="E17" s="105"/>
      <c r="F17" s="102"/>
      <c r="G17" s="102"/>
      <c r="H17" s="103"/>
      <c r="U17" s="91"/>
      <c r="V17" s="100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 s="94"/>
      <c r="B18" s="94"/>
      <c r="C18" s="94"/>
      <c r="D18" s="94"/>
      <c r="E18" s="94"/>
      <c r="F18" s="94"/>
      <c r="G18" s="94"/>
      <c r="H18" s="94"/>
      <c r="I18" s="94"/>
      <c r="U18" s="94"/>
      <c r="V18" s="9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3.5" thickBot="1" x14ac:dyDescent="0.25">
      <c r="A19" s="94"/>
      <c r="B19" s="94"/>
      <c r="C19" s="94"/>
      <c r="D19" s="94"/>
      <c r="E19" s="94"/>
      <c r="F19" s="94"/>
      <c r="G19" s="94"/>
      <c r="H19" s="94"/>
      <c r="I19" s="94"/>
      <c r="U19" s="94"/>
      <c r="V19" s="94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3.5" thickBot="1" x14ac:dyDescent="0.25">
      <c r="A20" s="641" t="s">
        <v>82</v>
      </c>
      <c r="B20" s="642"/>
      <c r="C20" s="642"/>
      <c r="D20" s="642"/>
      <c r="E20" s="642"/>
      <c r="F20" s="642"/>
      <c r="G20" s="642"/>
      <c r="H20" s="64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x14ac:dyDescent="0.2">
      <c r="A21" s="111">
        <v>-1</v>
      </c>
      <c r="B21" s="112">
        <f t="shared" ref="B21:H21" si="4">A21-1</f>
        <v>-2</v>
      </c>
      <c r="C21" s="112">
        <f t="shared" si="4"/>
        <v>-3</v>
      </c>
      <c r="D21" s="112">
        <f t="shared" si="4"/>
        <v>-4</v>
      </c>
      <c r="E21" s="112">
        <f t="shared" si="4"/>
        <v>-5</v>
      </c>
      <c r="F21" s="112">
        <f t="shared" si="4"/>
        <v>-6</v>
      </c>
      <c r="G21" s="112">
        <f t="shared" si="4"/>
        <v>-7</v>
      </c>
      <c r="H21" s="113">
        <f t="shared" si="4"/>
        <v>-8</v>
      </c>
      <c r="U21" s="9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38.25" x14ac:dyDescent="0.2">
      <c r="A22" s="177" t="s">
        <v>1</v>
      </c>
      <c r="B22" s="178" t="s">
        <v>14</v>
      </c>
      <c r="C22" s="178" t="s">
        <v>12</v>
      </c>
      <c r="D22" s="178" t="s">
        <v>7</v>
      </c>
      <c r="E22" s="178" t="s">
        <v>20</v>
      </c>
      <c r="F22" s="178" t="s">
        <v>15</v>
      </c>
      <c r="G22" s="178" t="s">
        <v>36</v>
      </c>
      <c r="H22" s="179" t="s">
        <v>16</v>
      </c>
      <c r="I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25.5" x14ac:dyDescent="0.2">
      <c r="A23" s="68"/>
      <c r="B23" s="108" t="s">
        <v>79</v>
      </c>
      <c r="C23" s="74" t="s">
        <v>80</v>
      </c>
      <c r="D23" s="108" t="s">
        <v>78</v>
      </c>
      <c r="E23" s="71" t="s">
        <v>13</v>
      </c>
      <c r="F23" s="73" t="s">
        <v>24</v>
      </c>
      <c r="G23" s="71" t="s">
        <v>21</v>
      </c>
      <c r="H23" s="72" t="s">
        <v>25</v>
      </c>
      <c r="I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x14ac:dyDescent="0.2">
      <c r="A24" s="79">
        <f>'Q1 p.1 - Rate Base True-up Adj'!B22</f>
        <v>42795</v>
      </c>
      <c r="B24" s="77">
        <f>'Input Tab'!O23</f>
        <v>17978669</v>
      </c>
      <c r="C24" s="78">
        <f t="shared" ref="C24:C29" si="5">B24/12</f>
        <v>1498222.4166666667</v>
      </c>
      <c r="D24" s="80">
        <f>'Input Tab'!N23</f>
        <v>0.1027</v>
      </c>
      <c r="E24" s="77">
        <f>'Input Tab'!P23</f>
        <v>121620.57839710001</v>
      </c>
      <c r="F24" s="82">
        <f t="shared" ref="F24:F29" si="6">(C24*D24)+E24</f>
        <v>275488.02058876667</v>
      </c>
      <c r="G24" s="80">
        <f>'Q1 p.2 - Rate of Return Adj'!H22</f>
        <v>0.90949999999999998</v>
      </c>
      <c r="H24" s="106">
        <f t="shared" ref="H24:H29" si="7">F24*G24</f>
        <v>250556.35472548328</v>
      </c>
      <c r="I24"/>
      <c r="V24" s="63"/>
      <c r="AJ24" s="61"/>
    </row>
    <row r="25" spans="1:38" x14ac:dyDescent="0.2">
      <c r="A25" s="79">
        <f>'Q1 p.1 - Rate Base True-up Adj'!B23</f>
        <v>42826</v>
      </c>
      <c r="B25" s="191">
        <f>'Input Tab'!O24</f>
        <v>20027451</v>
      </c>
      <c r="C25" s="78">
        <f t="shared" si="5"/>
        <v>1668954.25</v>
      </c>
      <c r="D25" s="80">
        <f>'Input Tab'!N24</f>
        <v>0.1027</v>
      </c>
      <c r="E25" s="191">
        <f>'Input Tab'!P24</f>
        <v>155855.35506376816</v>
      </c>
      <c r="F25" s="82">
        <f t="shared" si="6"/>
        <v>327256.95653876814</v>
      </c>
      <c r="G25" s="80">
        <f>'Q1 p.2 - Rate of Return Adj'!H23</f>
        <v>0.98070000000000002</v>
      </c>
      <c r="H25" s="107">
        <f t="shared" si="7"/>
        <v>320940.89727756992</v>
      </c>
      <c r="I25"/>
      <c r="V25" s="63"/>
      <c r="AJ25" s="61"/>
    </row>
    <row r="26" spans="1:38" x14ac:dyDescent="0.2">
      <c r="A26" s="79">
        <f>'Q1 p.1 - Rate Base True-up Adj'!B24</f>
        <v>42856</v>
      </c>
      <c r="B26" s="191">
        <f>'Input Tab'!O25</f>
        <v>20284431</v>
      </c>
      <c r="C26" s="78">
        <f t="shared" si="5"/>
        <v>1690369.25</v>
      </c>
      <c r="D26" s="80">
        <f>'Input Tab'!N25</f>
        <v>0.1027</v>
      </c>
      <c r="E26" s="191">
        <f>'Input Tab'!P25</f>
        <v>239405.63478790608</v>
      </c>
      <c r="F26" s="82">
        <f t="shared" si="6"/>
        <v>413006.55676290608</v>
      </c>
      <c r="G26" s="80">
        <f>'Q1 p.2 - Rate of Return Adj'!H24</f>
        <v>0.96109999999999995</v>
      </c>
      <c r="H26" s="107">
        <f t="shared" si="7"/>
        <v>396940.60170482902</v>
      </c>
      <c r="I26"/>
      <c r="V26" s="63"/>
      <c r="AJ26" s="61"/>
    </row>
    <row r="27" spans="1:38" x14ac:dyDescent="0.2">
      <c r="A27" s="79">
        <f>'Q1 p.1 - Rate Base True-up Adj'!B25</f>
        <v>42887</v>
      </c>
      <c r="B27" s="191">
        <f>'Input Tab'!O26</f>
        <v>26433185</v>
      </c>
      <c r="C27" s="78">
        <f t="shared" si="5"/>
        <v>2202765.4166666665</v>
      </c>
      <c r="D27" s="80">
        <f>'Input Tab'!N26</f>
        <v>0.1022</v>
      </c>
      <c r="E27" s="191">
        <f>'Input Tab'!P26</f>
        <v>358969.6263796016</v>
      </c>
      <c r="F27" s="82">
        <f t="shared" si="6"/>
        <v>584092.25196293485</v>
      </c>
      <c r="G27" s="80">
        <f>'Q1 p.2 - Rate of Return Adj'!H25</f>
        <v>0.98680000000000001</v>
      </c>
      <c r="H27" s="107">
        <f t="shared" si="7"/>
        <v>576382.23423702409</v>
      </c>
      <c r="I27"/>
      <c r="V27" s="63"/>
      <c r="AJ27" s="61"/>
    </row>
    <row r="28" spans="1:38" x14ac:dyDescent="0.2">
      <c r="A28" s="79">
        <f>'Q1 p.1 - Rate Base True-up Adj'!B26</f>
        <v>42917</v>
      </c>
      <c r="B28" s="191">
        <f>'Input Tab'!O27</f>
        <v>40249818</v>
      </c>
      <c r="C28" s="78">
        <f t="shared" si="5"/>
        <v>3354151.5</v>
      </c>
      <c r="D28" s="80">
        <f>'Input Tab'!N27</f>
        <v>0.1022</v>
      </c>
      <c r="E28" s="191">
        <f>'Input Tab'!P27</f>
        <v>301770.53000000003</v>
      </c>
      <c r="F28" s="82">
        <f t="shared" si="6"/>
        <v>644564.81330000004</v>
      </c>
      <c r="G28" s="80">
        <f>'Q1 p.2 - Rate of Return Adj'!H26</f>
        <v>0.99419999999999997</v>
      </c>
      <c r="H28" s="107">
        <f t="shared" si="7"/>
        <v>640826.33738286002</v>
      </c>
      <c r="I28"/>
      <c r="L28" s="602"/>
      <c r="V28" s="63"/>
      <c r="AJ28" s="61"/>
    </row>
    <row r="29" spans="1:38" x14ac:dyDescent="0.2">
      <c r="A29" s="79">
        <f>'Q1 p.1 - Rate Base True-up Adj'!B27</f>
        <v>42948</v>
      </c>
      <c r="B29" s="191">
        <f>'Input Tab'!O28</f>
        <v>51743674</v>
      </c>
      <c r="C29" s="78">
        <f t="shared" si="5"/>
        <v>4311972.833333333</v>
      </c>
      <c r="D29" s="80">
        <f>'Input Tab'!N28</f>
        <v>0.1022</v>
      </c>
      <c r="E29" s="191">
        <f>'Input Tab'!P28</f>
        <v>339209.93</v>
      </c>
      <c r="F29" s="82">
        <f t="shared" si="6"/>
        <v>779893.55356666655</v>
      </c>
      <c r="G29" s="80">
        <f>'Q1 p.2 - Rate of Return Adj'!H27</f>
        <v>0.99419999999999997</v>
      </c>
      <c r="H29" s="107">
        <f t="shared" si="7"/>
        <v>775370.17095597985</v>
      </c>
      <c r="I29"/>
      <c r="K29" s="600"/>
      <c r="L29" s="602"/>
      <c r="M29" s="600"/>
      <c r="V29" s="63"/>
      <c r="AJ29" s="61"/>
    </row>
    <row r="30" spans="1:38" x14ac:dyDescent="0.2">
      <c r="A30" s="96"/>
      <c r="B30" s="82"/>
      <c r="C30" s="94"/>
      <c r="D30" s="94"/>
      <c r="E30" s="78"/>
      <c r="F30" s="94"/>
      <c r="G30" s="94"/>
      <c r="H30" s="81"/>
      <c r="I30"/>
      <c r="V30" s="63"/>
      <c r="AJ30" s="61"/>
    </row>
    <row r="31" spans="1:38" ht="13.5" thickBot="1" x14ac:dyDescent="0.25">
      <c r="A31" s="101"/>
      <c r="B31" s="102"/>
      <c r="C31" s="102"/>
      <c r="D31" s="104"/>
      <c r="E31" s="105"/>
      <c r="F31" s="102"/>
      <c r="G31" s="102"/>
      <c r="H31" s="103"/>
      <c r="I31"/>
      <c r="X31" s="63"/>
      <c r="AJ31" s="61"/>
    </row>
    <row r="32" spans="1:38" x14ac:dyDescent="0.2">
      <c r="I32"/>
      <c r="X32" s="63"/>
      <c r="AJ32" s="61"/>
    </row>
  </sheetData>
  <mergeCells count="2">
    <mergeCell ref="A6:H6"/>
    <mergeCell ref="A20:H20"/>
  </mergeCells>
  <printOptions horizontalCentered="1"/>
  <pageMargins left="0.25" right="0.25" top="0.75" bottom="0.5" header="0.5" footer="0.5"/>
  <pageSetup scale="59" fitToWidth="2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Q31"/>
  <sheetViews>
    <sheetView topLeftCell="A4" zoomScaleNormal="100" workbookViewId="0">
      <selection activeCell="K23" sqref="K23"/>
    </sheetView>
  </sheetViews>
  <sheetFormatPr defaultRowHeight="12.75" x14ac:dyDescent="0.2"/>
  <cols>
    <col min="1" max="1" width="15.83203125" style="61" customWidth="1"/>
    <col min="2" max="2" width="16.83203125" style="61" customWidth="1"/>
    <col min="3" max="3" width="18.1640625" style="61" customWidth="1"/>
    <col min="4" max="4" width="13.33203125" style="61" customWidth="1"/>
    <col min="5" max="5" width="17.33203125" style="61" customWidth="1"/>
    <col min="6" max="6" width="13.1640625" style="61" customWidth="1"/>
    <col min="7" max="7" width="13.33203125" style="61" customWidth="1"/>
    <col min="8" max="9" width="16.83203125" style="61" customWidth="1"/>
    <col min="10" max="10" width="16.6640625" style="61" customWidth="1"/>
    <col min="11" max="12" width="16.83203125" style="61" customWidth="1"/>
    <col min="14" max="14" width="13.6640625" customWidth="1"/>
    <col min="15" max="15" width="12.1640625" customWidth="1"/>
  </cols>
  <sheetData>
    <row r="1" spans="1:17" x14ac:dyDescent="0.2">
      <c r="A1" s="60" t="str">
        <f>'Input Tab'!B2</f>
        <v>Louisville Gas &amp; Electric Company</v>
      </c>
      <c r="L1" s="62" t="str">
        <f>'Q2 p.1 - Retail E(m)'!H1</f>
        <v>Revised Attachment to Response to Question No. 2</v>
      </c>
    </row>
    <row r="2" spans="1:17" x14ac:dyDescent="0.2">
      <c r="A2" s="60" t="str">
        <f>'Q2 p.1 - Retail E(m)'!A2</f>
        <v>Calculation of E(m) and Jurisdictional Surcharge Billing Factor</v>
      </c>
      <c r="L2" s="64" t="s">
        <v>154</v>
      </c>
    </row>
    <row r="3" spans="1:17" x14ac:dyDescent="0.2">
      <c r="A3" s="60" t="str">
        <f>'Q2 p.1 - Retail E(m)'!A3</f>
        <v>Summary Schedule for Expense Months March 2017 - August  2017</v>
      </c>
      <c r="L3" s="64" t="str">
        <f>'Q2 p.1 - Retail E(m)'!H3</f>
        <v>Rahn</v>
      </c>
    </row>
    <row r="4" spans="1:17" x14ac:dyDescent="0.2">
      <c r="B4" s="65"/>
    </row>
    <row r="5" spans="1:17" ht="13.5" thickBot="1" x14ac:dyDescent="0.25"/>
    <row r="6" spans="1:17" x14ac:dyDescent="0.2">
      <c r="A6" s="114">
        <v>-1</v>
      </c>
      <c r="B6" s="115">
        <f t="shared" ref="B6:C6" si="0">A6-1</f>
        <v>-2</v>
      </c>
      <c r="C6" s="115">
        <f t="shared" si="0"/>
        <v>-3</v>
      </c>
      <c r="D6" s="115">
        <f t="shared" ref="D6" si="1">C6-1</f>
        <v>-4</v>
      </c>
      <c r="E6" s="115">
        <f t="shared" ref="E6" si="2">D6-1</f>
        <v>-5</v>
      </c>
      <c r="F6" s="115">
        <f t="shared" ref="F6" si="3">E6-1</f>
        <v>-6</v>
      </c>
      <c r="G6" s="115">
        <f t="shared" ref="G6" si="4">F6-1</f>
        <v>-7</v>
      </c>
      <c r="H6" s="115">
        <f t="shared" ref="H6" si="5">G6-1</f>
        <v>-8</v>
      </c>
      <c r="I6" s="115">
        <f t="shared" ref="I6" si="6">H6-1</f>
        <v>-9</v>
      </c>
      <c r="J6" s="115">
        <f t="shared" ref="J6" si="7">I6-1</f>
        <v>-10</v>
      </c>
      <c r="K6" s="115">
        <f t="shared" ref="K6" si="8">J6-1</f>
        <v>-11</v>
      </c>
      <c r="L6" s="575">
        <f t="shared" ref="L6" si="9">K6-1</f>
        <v>-12</v>
      </c>
    </row>
    <row r="7" spans="1:17" ht="51" x14ac:dyDescent="0.2">
      <c r="A7" s="177" t="s">
        <v>1</v>
      </c>
      <c r="B7" s="178" t="s">
        <v>31</v>
      </c>
      <c r="C7" s="180" t="s">
        <v>37</v>
      </c>
      <c r="D7" s="180" t="s">
        <v>318</v>
      </c>
      <c r="E7" s="178" t="s">
        <v>26</v>
      </c>
      <c r="F7" s="178" t="s">
        <v>32</v>
      </c>
      <c r="G7" s="178" t="s">
        <v>33</v>
      </c>
      <c r="H7" s="178" t="s">
        <v>17</v>
      </c>
      <c r="I7" s="178" t="s">
        <v>27</v>
      </c>
      <c r="J7" s="178" t="s">
        <v>34</v>
      </c>
      <c r="K7" s="178" t="s">
        <v>35</v>
      </c>
      <c r="L7" s="179" t="s">
        <v>18</v>
      </c>
    </row>
    <row r="8" spans="1:17" ht="51" x14ac:dyDescent="0.2">
      <c r="A8" s="68"/>
      <c r="B8" s="108" t="s">
        <v>87</v>
      </c>
      <c r="C8" s="74" t="s">
        <v>157</v>
      </c>
      <c r="D8" s="74" t="s">
        <v>320</v>
      </c>
      <c r="E8" s="70" t="s">
        <v>319</v>
      </c>
      <c r="F8" s="71" t="s">
        <v>28</v>
      </c>
      <c r="G8" s="71" t="s">
        <v>28</v>
      </c>
      <c r="H8" s="71" t="s">
        <v>28</v>
      </c>
      <c r="I8" s="75"/>
      <c r="J8" s="71" t="s">
        <v>28</v>
      </c>
      <c r="K8" s="71" t="s">
        <v>28</v>
      </c>
      <c r="L8" s="76" t="s">
        <v>321</v>
      </c>
    </row>
    <row r="9" spans="1:17" x14ac:dyDescent="0.2">
      <c r="A9" s="96"/>
      <c r="B9" s="94"/>
      <c r="C9" s="94"/>
      <c r="D9" s="94"/>
      <c r="E9" s="94"/>
      <c r="F9" s="94"/>
      <c r="G9" s="94"/>
      <c r="H9" s="94"/>
      <c r="I9" s="94"/>
      <c r="J9" s="94"/>
      <c r="K9" s="94"/>
      <c r="L9" s="81"/>
    </row>
    <row r="10" spans="1:17" x14ac:dyDescent="0.2">
      <c r="A10" s="79">
        <f>'Q2 p.1 - Retail E(m)'!A10</f>
        <v>42795</v>
      </c>
      <c r="B10" s="82">
        <f>'Q2 p.1 - Retail E(m)'!H10+'Q2 p.1 - Retail E(m)'!H24</f>
        <v>10067872.713989943</v>
      </c>
      <c r="C10" s="83">
        <f>'Input Tab'!Q23</f>
        <v>783756</v>
      </c>
      <c r="D10" s="83">
        <f>'Input Tab'!R23</f>
        <v>0</v>
      </c>
      <c r="E10" s="78">
        <f t="shared" ref="E10:E15" si="10">ROUND(SUM(B10:D10),0)</f>
        <v>10851629</v>
      </c>
      <c r="F10" s="84">
        <f>'Input Tab'!S23</f>
        <v>6.4000000000000001E-2</v>
      </c>
      <c r="G10" s="84">
        <f>'Input Tab'!T23</f>
        <v>9.4600000000000004E-2</v>
      </c>
      <c r="H10" s="187">
        <f>'Input Tab'!U23</f>
        <v>5322001</v>
      </c>
      <c r="I10" s="85">
        <f>'Q1 p.1 - Rate Base True-up Adj'!A9</f>
        <v>42856</v>
      </c>
      <c r="J10" s="77">
        <f>'Input Tab'!V23</f>
        <v>1847536.2599999998</v>
      </c>
      <c r="K10" s="77">
        <f>'Input Tab'!W23</f>
        <v>3098703.69</v>
      </c>
      <c r="L10" s="86">
        <f t="shared" ref="L10:L15" si="11">ROUND((H10+J10+K10)-E10,0)</f>
        <v>-583388</v>
      </c>
    </row>
    <row r="11" spans="1:17" x14ac:dyDescent="0.2">
      <c r="A11" s="79">
        <f>'Q2 p.1 - Retail E(m)'!A11</f>
        <v>42826</v>
      </c>
      <c r="B11" s="82">
        <v>11018369.369999999</v>
      </c>
      <c r="C11" s="83">
        <f>'Input Tab'!Q24</f>
        <v>0</v>
      </c>
      <c r="D11" s="83">
        <f>'Input Tab'!R24</f>
        <v>0</v>
      </c>
      <c r="E11" s="78">
        <f t="shared" si="10"/>
        <v>11018369</v>
      </c>
      <c r="F11" s="84">
        <f>'Input Tab'!S24</f>
        <v>6.6799999999999998E-2</v>
      </c>
      <c r="G11" s="84">
        <f>'Input Tab'!T24</f>
        <v>9.8500000000000004E-2</v>
      </c>
      <c r="H11" s="187">
        <f>'Input Tab'!U24</f>
        <v>5256538</v>
      </c>
      <c r="I11" s="85">
        <f>'Q1 p.1 - Rate Base True-up Adj'!A10</f>
        <v>42887</v>
      </c>
      <c r="J11" s="77">
        <f>'Input Tab'!V24</f>
        <v>2744662.1100000003</v>
      </c>
      <c r="K11" s="77">
        <f>'Input Tab'!W24</f>
        <v>3748518.38</v>
      </c>
      <c r="L11" s="86">
        <f t="shared" si="11"/>
        <v>731349</v>
      </c>
    </row>
    <row r="12" spans="1:17" x14ac:dyDescent="0.2">
      <c r="A12" s="79">
        <f>'Q2 p.1 - Retail E(m)'!A12</f>
        <v>42856</v>
      </c>
      <c r="B12" s="82">
        <f>'Q2 p.1 - Retail E(m)'!H12+'Q2 p.1 - Retail E(m)'!H26</f>
        <v>10723079.066260464</v>
      </c>
      <c r="C12" s="83">
        <f>'Input Tab'!Q25</f>
        <v>0</v>
      </c>
      <c r="D12" s="83">
        <f>'Input Tab'!R25</f>
        <v>2050</v>
      </c>
      <c r="E12" s="78">
        <f t="shared" si="10"/>
        <v>10725129</v>
      </c>
      <c r="F12" s="84">
        <f>'Input Tab'!S25</f>
        <v>6.0400000000000002E-2</v>
      </c>
      <c r="G12" s="84">
        <f>'Input Tab'!T25</f>
        <v>8.8999999999999996E-2</v>
      </c>
      <c r="H12" s="187">
        <f>'Input Tab'!U25</f>
        <v>5501392</v>
      </c>
      <c r="I12" s="85">
        <f>'Q1 p.1 - Rate Base True-up Adj'!A11</f>
        <v>42917</v>
      </c>
      <c r="J12" s="77">
        <f>'Input Tab'!V25</f>
        <v>2972428.5899999971</v>
      </c>
      <c r="K12" s="77">
        <f>'Input Tab'!W25</f>
        <v>3426178.7799999993</v>
      </c>
      <c r="L12" s="86">
        <f t="shared" si="11"/>
        <v>1174870</v>
      </c>
      <c r="Q12" s="259"/>
    </row>
    <row r="13" spans="1:17" x14ac:dyDescent="0.2">
      <c r="A13" s="79">
        <f>'Q2 p.1 - Retail E(m)'!A13</f>
        <v>42887</v>
      </c>
      <c r="B13" s="82">
        <f>'Q2 p.1 - Retail E(m)'!H13+'Q2 p.1 - Retail E(m)'!H27</f>
        <v>11137041.264408939</v>
      </c>
      <c r="C13" s="83">
        <f>'Input Tab'!Q26</f>
        <v>-848911</v>
      </c>
      <c r="D13" s="83">
        <f>'Input Tab'!R26</f>
        <v>0</v>
      </c>
      <c r="E13" s="78">
        <f t="shared" si="10"/>
        <v>10288130</v>
      </c>
      <c r="F13" s="84">
        <f>'Input Tab'!S26</f>
        <v>3.9699999999999999E-2</v>
      </c>
      <c r="G13" s="84">
        <f>'Input Tab'!T26</f>
        <v>5.8599999999999999E-2</v>
      </c>
      <c r="H13" s="187">
        <f>'Input Tab'!U26</f>
        <v>6935977</v>
      </c>
      <c r="I13" s="85">
        <f>'Q1 p.1 - Rate Base True-up Adj'!A12</f>
        <v>42948</v>
      </c>
      <c r="J13" s="77">
        <f>'Input Tab'!V26</f>
        <v>1898461.9499999995</v>
      </c>
      <c r="K13" s="77">
        <f>'Input Tab'!W26</f>
        <v>2560542.1199999996</v>
      </c>
      <c r="L13" s="86">
        <f t="shared" si="11"/>
        <v>1106851</v>
      </c>
    </row>
    <row r="14" spans="1:17" x14ac:dyDescent="0.2">
      <c r="A14" s="79">
        <f>'Q2 p.1 - Retail E(m)'!A14</f>
        <v>42917</v>
      </c>
      <c r="B14" s="82">
        <f>'Q2 p.1 - Retail E(m)'!H14+'Q2 p.1 - Retail E(m)'!H28</f>
        <v>11538853.37627051</v>
      </c>
      <c r="C14" s="83">
        <f>'Input Tab'!Q27</f>
        <v>-848911</v>
      </c>
      <c r="D14" s="83">
        <f>'Input Tab'!R27</f>
        <v>0</v>
      </c>
      <c r="E14" s="78">
        <f t="shared" si="10"/>
        <v>10689942</v>
      </c>
      <c r="F14" s="84">
        <f>'Input Tab'!S27</f>
        <v>3.95E-2</v>
      </c>
      <c r="G14" s="84">
        <f>'Input Tab'!T27</f>
        <v>5.8099999999999999E-2</v>
      </c>
      <c r="H14" s="187">
        <f>'Input Tab'!U27</f>
        <v>7361650</v>
      </c>
      <c r="I14" s="85">
        <f>'Q1 p.1 - Rate Base True-up Adj'!A13</f>
        <v>42979</v>
      </c>
      <c r="J14" s="77">
        <f>'Input Tab'!V27</f>
        <v>1542137.5799999987</v>
      </c>
      <c r="K14" s="77">
        <f>'Input Tab'!W27</f>
        <v>2213735.2699999996</v>
      </c>
      <c r="L14" s="86">
        <f t="shared" si="11"/>
        <v>427581</v>
      </c>
    </row>
    <row r="15" spans="1:17" x14ac:dyDescent="0.2">
      <c r="A15" s="79">
        <f>'Q2 p.1 - Retail E(m)'!A15</f>
        <v>42948</v>
      </c>
      <c r="B15" s="82">
        <f>'Q2 p.1 - Retail E(m)'!H15+'Q2 p.1 - Retail E(m)'!H29</f>
        <v>11714084.98290487</v>
      </c>
      <c r="C15" s="83">
        <f>'Input Tab'!Q28</f>
        <v>0</v>
      </c>
      <c r="D15" s="83">
        <f>'Input Tab'!R28</f>
        <v>0</v>
      </c>
      <c r="E15" s="611">
        <f t="shared" si="10"/>
        <v>11714085</v>
      </c>
      <c r="F15" s="84">
        <f>'Input Tab'!S28</f>
        <v>5.1299999999999998E-2</v>
      </c>
      <c r="G15" s="84">
        <f>'Input Tab'!T28</f>
        <v>7.5200000000000003E-2</v>
      </c>
      <c r="H15" s="187">
        <f>'Input Tab'!U28</f>
        <v>7382404</v>
      </c>
      <c r="I15" s="85">
        <f>'Q1 p.1 - Rate Base True-up Adj'!A14</f>
        <v>43009</v>
      </c>
      <c r="J15" s="77">
        <f>'Input Tab'!V28</f>
        <v>1731245.8499999992</v>
      </c>
      <c r="K15" s="77">
        <f>'Input Tab'!W28</f>
        <v>2663540.5000000005</v>
      </c>
      <c r="L15" s="86">
        <f t="shared" si="11"/>
        <v>63105</v>
      </c>
    </row>
    <row r="16" spans="1:17" x14ac:dyDescent="0.2">
      <c r="A16" s="96"/>
      <c r="B16" s="94"/>
      <c r="C16" s="94"/>
      <c r="D16" s="94"/>
      <c r="E16" s="97">
        <f>SUM(E10:E15)</f>
        <v>65287284</v>
      </c>
      <c r="F16" s="94"/>
      <c r="G16" s="94"/>
      <c r="H16" s="97">
        <f>SUM(H10:H15)</f>
        <v>37759962</v>
      </c>
      <c r="I16" s="94"/>
      <c r="J16" s="97">
        <f>SUM(J10:J15)</f>
        <v>12736472.339999994</v>
      </c>
      <c r="K16" s="97">
        <f>SUM(K10:K15)</f>
        <v>17711218.739999998</v>
      </c>
      <c r="L16" s="617">
        <f>SUM(L10:L15)</f>
        <v>2920368</v>
      </c>
      <c r="O16" s="600"/>
    </row>
    <row r="17" spans="1:12" ht="13.5" thickBot="1" x14ac:dyDescent="0.25">
      <c r="A17" s="101"/>
      <c r="B17" s="133"/>
      <c r="C17" s="133"/>
      <c r="D17" s="133"/>
      <c r="E17" s="102"/>
      <c r="F17" s="133"/>
      <c r="G17" s="133"/>
      <c r="H17" s="133"/>
      <c r="I17" s="133"/>
      <c r="J17" s="133"/>
      <c r="K17" s="133"/>
      <c r="L17" s="134"/>
    </row>
    <row r="18" spans="1:12" x14ac:dyDescent="0.2">
      <c r="A18"/>
      <c r="B18"/>
    </row>
    <row r="19" spans="1:12" x14ac:dyDescent="0.2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  <c r="L31"/>
    </row>
  </sheetData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Input Tab</vt:lpstr>
      <vt:lpstr>Q1 p.1 - Rate Base True-up Adj</vt:lpstr>
      <vt:lpstr>Q1 p.2 - Rate of Return Adj</vt:lpstr>
      <vt:lpstr>Q1 p.3 - ROR (Mar-May)</vt:lpstr>
      <vt:lpstr>Q1 p.4 - ROR (Jun-Aug)</vt:lpstr>
      <vt:lpstr>Q1 p.5 - ECC (May)</vt:lpstr>
      <vt:lpstr>Q1 p.6 - ECC (Aug)</vt:lpstr>
      <vt:lpstr>Q2 p.1 - Retail E(m)</vt:lpstr>
      <vt:lpstr>Q2 p.2 - Detailed Over-Under</vt:lpstr>
      <vt:lpstr>Q2 p.3 - Summary Over-Under</vt:lpstr>
      <vt:lpstr>Q2 p.4 - Detailed Variances </vt:lpstr>
      <vt:lpstr>'Q1 p.3 - ROR (Mar-May)'!Print_Area</vt:lpstr>
      <vt:lpstr>'Q1 p.4 - ROR (Jun-Aug)'!Print_Area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2018-04-19T20:52:36Z</dcterms:created>
  <dcterms:modified xsi:type="dcterms:W3CDTF">2018-04-19T20:52:46Z</dcterms:modified>
</cp:coreProperties>
</file>