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970" tabRatio="959" activeTab="1"/>
  </bookViews>
  <sheets>
    <sheet name="Input Tab" sheetId="13" r:id="rId1"/>
    <sheet name="Q1 p.1 - Rate Base True-up Adj" sheetId="2" r:id="rId2"/>
    <sheet name="Q1 p.2 - Rate of Return Adj" sheetId="14" r:id="rId3"/>
    <sheet name="Q1 p3. - ROR (Mar-May)" sheetId="17" r:id="rId4"/>
    <sheet name="Q1 p.4 - ROR (Jun-Aug)" sheetId="10" r:id="rId5"/>
    <sheet name="Q1 p.5 - ECC (May)" sheetId="18" r:id="rId6"/>
    <sheet name="Q1 p.6 - ECC (Aug)" sheetId="11" r:id="rId7"/>
    <sheet name="Q2 p.1 - Retail E(m)" sheetId="12" r:id="rId8"/>
    <sheet name="Q2 p.2 - Detailed Over-Under" sheetId="15" r:id="rId9"/>
    <sheet name="Q2 p.3 - Summary Over-Under" sheetId="3" r:id="rId10"/>
    <sheet name="Q2 p.4 - Detailed Variances " sheetId="16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\\" localSheetId="7" hidden="1">#REF!</definedName>
    <definedName name="\\" hidden="1">#REF!</definedName>
    <definedName name="\\\" localSheetId="7" hidden="1">#REF!</definedName>
    <definedName name="\\\" hidden="1">#REF!</definedName>
    <definedName name="\\\\" localSheetId="7" hidden="1">#REF!</definedName>
    <definedName name="\\\\" hidden="1">#REF!</definedName>
    <definedName name="__123Graph_A" localSheetId="7" hidden="1">#REF!</definedName>
    <definedName name="__123Graph_A" hidden="1">#REF!</definedName>
    <definedName name="__123Graph_B" localSheetId="7" hidden="1">#REF!</definedName>
    <definedName name="__123Graph_B" hidden="1">#REF!</definedName>
    <definedName name="__123Graph_C" localSheetId="7" hidden="1">#REF!</definedName>
    <definedName name="__123Graph_C" hidden="1">#REF!</definedName>
    <definedName name="__123Graph_D" localSheetId="7" hidden="1">#REF!</definedName>
    <definedName name="__123Graph_D" hidden="1">#REF!</definedName>
    <definedName name="__123Graph_E" localSheetId="7" hidden="1">#REF!</definedName>
    <definedName name="__123Graph_E" hidden="1">#REF!</definedName>
    <definedName name="__123Graph_F" localSheetId="7" hidden="1">#REF!</definedName>
    <definedName name="__123Graph_F" hidden="1">#REF!</definedName>
    <definedName name="__123Graph_X" localSheetId="7" hidden="1">#REF!</definedName>
    <definedName name="__123Graph_X" hidden="1">#REF!</definedName>
    <definedName name="_36__123Graph_BCHART_1" localSheetId="7" hidden="1">'[1]HOSPICE OPSUM'!#REF!</definedName>
    <definedName name="_36__123Graph_BCHART_1" hidden="1">'[1]HOSPICE OPSUM'!#REF!</definedName>
    <definedName name="_Fill" localSheetId="7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7" hidden="1">#REF!</definedName>
    <definedName name="_Table1_In1" hidden="1">#REF!</definedName>
    <definedName name="_Table1_Out" localSheetId="7" hidden="1">#REF!</definedName>
    <definedName name="_Table1_Out" hidden="1">#REF!</definedName>
    <definedName name="_Table1_Out_2" localSheetId="7" hidden="1">#REF!</definedName>
    <definedName name="_Table1_Out_2" hidden="1">#REF!</definedName>
    <definedName name="_Table2_In1" localSheetId="7" hidden="1">'[2]Bank Model'!#REF!</definedName>
    <definedName name="_Table2_In1" hidden="1">'[2]Bank Model'!#REF!</definedName>
    <definedName name="_Table2_In2" localSheetId="7" hidden="1">'[2]Bank Model'!#REF!</definedName>
    <definedName name="_Table2_In2" hidden="1">'[2]Bank Model'!#REF!</definedName>
    <definedName name="_Table2_Out" localSheetId="7" hidden="1">'[2]Bank Model'!#REF!</definedName>
    <definedName name="_Table2_Out" hidden="1">'[2]Bank Model'!#REF!</definedName>
    <definedName name="_Table2_Out_2" localSheetId="7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7" hidden="1">#REF!</definedName>
    <definedName name="asdfasdfasdfas" hidden="1">#REF!</definedName>
    <definedName name="BLPH1" hidden="1">'[3]Natural gas'!$A$3</definedName>
    <definedName name="BLPR1020040129204514642" localSheetId="7" hidden="1">'[4]Spread Sheet'!#REF!</definedName>
    <definedName name="BLPR1020040129204514642" hidden="1">'[4]Spread Sheet'!#REF!</definedName>
    <definedName name="BLPR1020040129204514642_1_5" localSheetId="7" hidden="1">'[4]Spread Sheet'!#REF!</definedName>
    <definedName name="BLPR1020040129204514642_1_5" hidden="1">'[4]Spread Sheet'!#REF!</definedName>
    <definedName name="BLPR1020040129204514642_2_5" localSheetId="7" hidden="1">'[4]Spread Sheet'!#REF!</definedName>
    <definedName name="BLPR1020040129204514642_2_5" hidden="1">'[4]Spread Sheet'!#REF!</definedName>
    <definedName name="BLPR1020040129204514642_3_5" localSheetId="7" hidden="1">'[4]Spread Sheet'!#REF!</definedName>
    <definedName name="BLPR1020040129204514642_3_5" hidden="1">'[4]Spread Sheet'!#REF!</definedName>
    <definedName name="BLPR1020040129204514642_4_5" localSheetId="7" hidden="1">'[4]Spread Sheet'!#REF!</definedName>
    <definedName name="BLPR1020040129204514642_4_5" hidden="1">'[4]Spread Sheet'!#REF!</definedName>
    <definedName name="BLPR1020040129204514642_5_5" localSheetId="7" hidden="1">'[4]Spread Sheet'!#REF!</definedName>
    <definedName name="BLPR1020040129204514642_5_5" hidden="1">'[4]Spread Sheet'!#REF!</definedName>
    <definedName name="BLPR1120040129204514642" localSheetId="7" hidden="1">'[4]Spread Sheet'!#REF!</definedName>
    <definedName name="BLPR1120040129204514642" hidden="1">'[4]Spread Sheet'!#REF!</definedName>
    <definedName name="BLPR1120040129204514642_1_5" localSheetId="7" hidden="1">'[4]Spread Sheet'!#REF!</definedName>
    <definedName name="BLPR1120040129204514642_1_5" hidden="1">'[4]Spread Sheet'!#REF!</definedName>
    <definedName name="BLPR1120040129204514642_2_5" localSheetId="7" hidden="1">'[4]Spread Sheet'!#REF!</definedName>
    <definedName name="BLPR1120040129204514642_2_5" hidden="1">'[4]Spread Sheet'!#REF!</definedName>
    <definedName name="BLPR1120040129204514642_3_5" localSheetId="7" hidden="1">'[4]Spread Sheet'!#REF!</definedName>
    <definedName name="BLPR1120040129204514642_3_5" hidden="1">'[4]Spread Sheet'!#REF!</definedName>
    <definedName name="BLPR1120040129204514642_4_5" localSheetId="7" hidden="1">'[4]Spread Sheet'!#REF!</definedName>
    <definedName name="BLPR1120040129204514642_4_5" hidden="1">'[4]Spread Sheet'!#REF!</definedName>
    <definedName name="BLPR1120040129204514642_5_5" localSheetId="7" hidden="1">'[4]Spread Sheet'!#REF!</definedName>
    <definedName name="BLPR1120040129204514642_5_5" hidden="1">'[4]Spread Sheet'!#REF!</definedName>
    <definedName name="BLPR120040129203645421" localSheetId="7" hidden="1">'[4]Spread Sheet'!#REF!</definedName>
    <definedName name="BLPR120040129203645421" hidden="1">'[4]Spread Sheet'!#REF!</definedName>
    <definedName name="BLPR120040129203645421_1_4" localSheetId="7" hidden="1">'[4]Spread Sheet'!#REF!</definedName>
    <definedName name="BLPR120040129203645421_1_4" hidden="1">'[4]Spread Sheet'!#REF!</definedName>
    <definedName name="BLPR120040129203645421_2_4" localSheetId="7" hidden="1">'[4]Spread Sheet'!#REF!</definedName>
    <definedName name="BLPR120040129203645421_2_4" hidden="1">'[4]Spread Sheet'!#REF!</definedName>
    <definedName name="BLPR120040129203645421_3_4" localSheetId="7" hidden="1">'[4]Spread Sheet'!#REF!</definedName>
    <definedName name="BLPR120040129203645421_3_4" hidden="1">'[4]Spread Sheet'!#REF!</definedName>
    <definedName name="BLPR120040129203645421_4_4" localSheetId="7" hidden="1">'[4]Spread Sheet'!#REF!</definedName>
    <definedName name="BLPR120040129203645421_4_4" hidden="1">'[4]Spread Sheet'!#REF!</definedName>
    <definedName name="BLPR1220040129204514642" localSheetId="7" hidden="1">'[4]Spread Sheet'!#REF!</definedName>
    <definedName name="BLPR1220040129204514642" hidden="1">'[4]Spread Sheet'!#REF!</definedName>
    <definedName name="BLPR1220040129204514642_1_5" localSheetId="7" hidden="1">'[4]Spread Sheet'!#REF!</definedName>
    <definedName name="BLPR1220040129204514642_1_5" hidden="1">'[4]Spread Sheet'!#REF!</definedName>
    <definedName name="BLPR1220040129204514642_2_5" localSheetId="7" hidden="1">'[4]Spread Sheet'!#REF!</definedName>
    <definedName name="BLPR1220040129204514642_2_5" hidden="1">'[4]Spread Sheet'!#REF!</definedName>
    <definedName name="BLPR1220040129204514642_3_5" localSheetId="7" hidden="1">'[4]Spread Sheet'!#REF!</definedName>
    <definedName name="BLPR1220040129204514642_3_5" hidden="1">'[4]Spread Sheet'!#REF!</definedName>
    <definedName name="BLPR1220040129204514642_4_5" localSheetId="7" hidden="1">'[4]Spread Sheet'!#REF!</definedName>
    <definedName name="BLPR1220040129204514642_4_5" hidden="1">'[4]Spread Sheet'!#REF!</definedName>
    <definedName name="BLPR1220040129204514642_5_5" localSheetId="7" hidden="1">'[4]Spread Sheet'!#REF!</definedName>
    <definedName name="BLPR1220040129204514642_5_5" hidden="1">'[4]Spread Sheet'!#REF!</definedName>
    <definedName name="BLPR1320040129204514642" localSheetId="7" hidden="1">'[4]Spread Sheet'!#REF!</definedName>
    <definedName name="BLPR1320040129204514642" hidden="1">'[4]Spread Sheet'!#REF!</definedName>
    <definedName name="BLPR1320040129204514642_1_5" localSheetId="7" hidden="1">'[4]Spread Sheet'!#REF!</definedName>
    <definedName name="BLPR1320040129204514642_1_5" hidden="1">'[4]Spread Sheet'!#REF!</definedName>
    <definedName name="BLPR1320040129204514642_2_5" localSheetId="7" hidden="1">'[4]Spread Sheet'!#REF!</definedName>
    <definedName name="BLPR1320040129204514642_2_5" hidden="1">'[4]Spread Sheet'!#REF!</definedName>
    <definedName name="BLPR1320040129204514642_3_5" localSheetId="7" hidden="1">'[4]Spread Sheet'!#REF!</definedName>
    <definedName name="BLPR1320040129204514642_3_5" hidden="1">'[4]Spread Sheet'!#REF!</definedName>
    <definedName name="BLPR1320040129204514642_4_5" localSheetId="7" hidden="1">'[4]Spread Sheet'!#REF!</definedName>
    <definedName name="BLPR1320040129204514642_4_5" hidden="1">'[4]Spread Sheet'!#REF!</definedName>
    <definedName name="BLPR1320040129204514642_5_5" localSheetId="7" hidden="1">'[4]Spread Sheet'!#REF!</definedName>
    <definedName name="BLPR1320040129204514642_5_5" hidden="1">'[4]Spread Sheet'!#REF!</definedName>
    <definedName name="BLPR1420040129204514642" localSheetId="7" hidden="1">'[4]Spread Sheet'!#REF!</definedName>
    <definedName name="BLPR1420040129204514642" hidden="1">'[4]Spread Sheet'!#REF!</definedName>
    <definedName name="BLPR1420040129204514642_1_5" localSheetId="7" hidden="1">'[4]Spread Sheet'!#REF!</definedName>
    <definedName name="BLPR1420040129204514642_1_5" hidden="1">'[4]Spread Sheet'!#REF!</definedName>
    <definedName name="BLPR1420040129204514642_2_5" localSheetId="7" hidden="1">'[4]Spread Sheet'!#REF!</definedName>
    <definedName name="BLPR1420040129204514642_2_5" hidden="1">'[4]Spread Sheet'!#REF!</definedName>
    <definedName name="BLPR1420040129204514642_3_5" localSheetId="7" hidden="1">'[4]Spread Sheet'!#REF!</definedName>
    <definedName name="BLPR1420040129204514642_3_5" hidden="1">'[4]Spread Sheet'!#REF!</definedName>
    <definedName name="BLPR1420040129204514642_4_5" localSheetId="7" hidden="1">'[4]Spread Sheet'!#REF!</definedName>
    <definedName name="BLPR1420040129204514642_4_5" hidden="1">'[4]Spread Sheet'!#REF!</definedName>
    <definedName name="BLPR1420040129204514642_5_5" localSheetId="7" hidden="1">'[4]Spread Sheet'!#REF!</definedName>
    <definedName name="BLPR1420040129204514642_5_5" hidden="1">'[4]Spread Sheet'!#REF!</definedName>
    <definedName name="BLPR1520040129204514652" localSheetId="7" hidden="1">'[4]Spread Sheet'!#REF!</definedName>
    <definedName name="BLPR1520040129204514652" hidden="1">'[4]Spread Sheet'!#REF!</definedName>
    <definedName name="BLPR1520040129204514652_1_5" localSheetId="7" hidden="1">'[4]Spread Sheet'!#REF!</definedName>
    <definedName name="BLPR1520040129204514652_1_5" hidden="1">'[4]Spread Sheet'!#REF!</definedName>
    <definedName name="BLPR1520040129204514652_2_5" localSheetId="7" hidden="1">'[4]Spread Sheet'!#REF!</definedName>
    <definedName name="BLPR1520040129204514652_2_5" hidden="1">'[4]Spread Sheet'!#REF!</definedName>
    <definedName name="BLPR1520040129204514652_3_5" localSheetId="7" hidden="1">'[4]Spread Sheet'!#REF!</definedName>
    <definedName name="BLPR1520040129204514652_3_5" hidden="1">'[4]Spread Sheet'!#REF!</definedName>
    <definedName name="BLPR1520040129204514652_4_5" localSheetId="7" hidden="1">'[4]Spread Sheet'!#REF!</definedName>
    <definedName name="BLPR1520040129204514652_4_5" hidden="1">'[4]Spread Sheet'!#REF!</definedName>
    <definedName name="BLPR1520040129204514652_5_5" localSheetId="7" hidden="1">'[4]Spread Sheet'!#REF!</definedName>
    <definedName name="BLPR1520040129204514652_5_5" hidden="1">'[4]Spread Sheet'!#REF!</definedName>
    <definedName name="BLPR1620040129204514652" localSheetId="7" hidden="1">'[4]Spread Sheet'!#REF!</definedName>
    <definedName name="BLPR1620040129204514652" hidden="1">'[4]Spread Sheet'!#REF!</definedName>
    <definedName name="BLPR1620040129204514652_1_5" localSheetId="7" hidden="1">'[4]Spread Sheet'!#REF!</definedName>
    <definedName name="BLPR1620040129204514652_1_5" hidden="1">'[4]Spread Sheet'!#REF!</definedName>
    <definedName name="BLPR1620040129204514652_2_5" localSheetId="7" hidden="1">'[4]Spread Sheet'!#REF!</definedName>
    <definedName name="BLPR1620040129204514652_2_5" hidden="1">'[4]Spread Sheet'!#REF!</definedName>
    <definedName name="BLPR1620040129204514652_3_5" localSheetId="7" hidden="1">'[4]Spread Sheet'!#REF!</definedName>
    <definedName name="BLPR1620040129204514652_3_5" hidden="1">'[4]Spread Sheet'!#REF!</definedName>
    <definedName name="BLPR1620040129204514652_4_5" localSheetId="7" hidden="1">'[4]Spread Sheet'!#REF!</definedName>
    <definedName name="BLPR1620040129204514652_4_5" hidden="1">'[4]Spread Sheet'!#REF!</definedName>
    <definedName name="BLPR1620040129204514652_5_5" localSheetId="7" hidden="1">'[4]Spread Sheet'!#REF!</definedName>
    <definedName name="BLPR1620040129204514652_5_5" hidden="1">'[4]Spread Sheet'!#REF!</definedName>
    <definedName name="BLPR1720040129204514652" localSheetId="7" hidden="1">'[4]Spread Sheet'!#REF!</definedName>
    <definedName name="BLPR1720040129204514652" hidden="1">'[4]Spread Sheet'!#REF!</definedName>
    <definedName name="BLPR1720040129204514652_1_5" localSheetId="7" hidden="1">'[4]Spread Sheet'!#REF!</definedName>
    <definedName name="BLPR1720040129204514652_1_5" hidden="1">'[4]Spread Sheet'!#REF!</definedName>
    <definedName name="BLPR1720040129204514652_2_5" localSheetId="7" hidden="1">'[4]Spread Sheet'!#REF!</definedName>
    <definedName name="BLPR1720040129204514652_2_5" hidden="1">'[4]Spread Sheet'!#REF!</definedName>
    <definedName name="BLPR1720040129204514652_3_5" localSheetId="7" hidden="1">'[4]Spread Sheet'!#REF!</definedName>
    <definedName name="BLPR1720040129204514652_3_5" hidden="1">'[4]Spread Sheet'!#REF!</definedName>
    <definedName name="BLPR1720040129204514652_4_5" localSheetId="7" hidden="1">'[4]Spread Sheet'!#REF!</definedName>
    <definedName name="BLPR1720040129204514652_4_5" hidden="1">'[4]Spread Sheet'!#REF!</definedName>
    <definedName name="BLPR1720040129204514652_5_5" localSheetId="7" hidden="1">'[4]Spread Sheet'!#REF!</definedName>
    <definedName name="BLPR1720040129204514652_5_5" hidden="1">'[4]Spread Sheet'!#REF!</definedName>
    <definedName name="BLPR1820040129204514652" localSheetId="7" hidden="1">'[4]Spread Sheet'!#REF!</definedName>
    <definedName name="BLPR1820040129204514652" hidden="1">'[4]Spread Sheet'!#REF!</definedName>
    <definedName name="BLPR1820040129204514652_1_5" localSheetId="7" hidden="1">'[4]Spread Sheet'!#REF!</definedName>
    <definedName name="BLPR1820040129204514652_1_5" hidden="1">'[4]Spread Sheet'!#REF!</definedName>
    <definedName name="BLPR1820040129204514652_2_5" localSheetId="7" hidden="1">'[4]Spread Sheet'!#REF!</definedName>
    <definedName name="BLPR1820040129204514652_2_5" hidden="1">'[4]Spread Sheet'!#REF!</definedName>
    <definedName name="BLPR1820040129204514652_3_5" localSheetId="7" hidden="1">'[4]Spread Sheet'!#REF!</definedName>
    <definedName name="BLPR1820040129204514652_3_5" hidden="1">'[4]Spread Sheet'!#REF!</definedName>
    <definedName name="BLPR1820040129204514652_4_5" localSheetId="7" hidden="1">'[4]Spread Sheet'!#REF!</definedName>
    <definedName name="BLPR1820040129204514652_4_5" hidden="1">'[4]Spread Sheet'!#REF!</definedName>
    <definedName name="BLPR1820040129204514652_5_5" localSheetId="7" hidden="1">'[4]Spread Sheet'!#REF!</definedName>
    <definedName name="BLPR1820040129204514652_5_5" hidden="1">'[4]Spread Sheet'!#REF!</definedName>
    <definedName name="BLPR1920040129204514652" localSheetId="7" hidden="1">'[4]Spread Sheet'!#REF!</definedName>
    <definedName name="BLPR1920040129204514652" hidden="1">'[4]Spread Sheet'!#REF!</definedName>
    <definedName name="BLPR1920040129204514652_1_5" localSheetId="7" hidden="1">'[4]Spread Sheet'!#REF!</definedName>
    <definedName name="BLPR1920040129204514652_1_5" hidden="1">'[4]Spread Sheet'!#REF!</definedName>
    <definedName name="BLPR1920040129204514652_2_5" localSheetId="7" hidden="1">'[4]Spread Sheet'!#REF!</definedName>
    <definedName name="BLPR1920040129204514652_2_5" hidden="1">'[4]Spread Sheet'!#REF!</definedName>
    <definedName name="BLPR1920040129204514652_3_5" localSheetId="7" hidden="1">'[4]Spread Sheet'!#REF!</definedName>
    <definedName name="BLPR1920040129204514652_3_5" hidden="1">'[4]Spread Sheet'!#REF!</definedName>
    <definedName name="BLPR1920040129204514652_4_5" localSheetId="7" hidden="1">'[4]Spread Sheet'!#REF!</definedName>
    <definedName name="BLPR1920040129204514652_4_5" hidden="1">'[4]Spread Sheet'!#REF!</definedName>
    <definedName name="BLPR1920040129204514652_5_5" localSheetId="7" hidden="1">'[4]Spread Sheet'!#REF!</definedName>
    <definedName name="BLPR1920040129204514652_5_5" hidden="1">'[4]Spread Sheet'!#REF!</definedName>
    <definedName name="BLPR2020040129204514652" localSheetId="7" hidden="1">'[4]Spread Sheet'!#REF!</definedName>
    <definedName name="BLPR2020040129204514652" hidden="1">'[4]Spread Sheet'!#REF!</definedName>
    <definedName name="BLPR2020040129204514652_1_5" localSheetId="7" hidden="1">'[4]Spread Sheet'!#REF!</definedName>
    <definedName name="BLPR2020040129204514652_1_5" hidden="1">'[4]Spread Sheet'!#REF!</definedName>
    <definedName name="BLPR2020040129204514652_2_5" localSheetId="7" hidden="1">'[4]Spread Sheet'!#REF!</definedName>
    <definedName name="BLPR2020040129204514652_2_5" hidden="1">'[4]Spread Sheet'!#REF!</definedName>
    <definedName name="BLPR2020040129204514652_3_5" localSheetId="7" hidden="1">'[4]Spread Sheet'!#REF!</definedName>
    <definedName name="BLPR2020040129204514652_3_5" hidden="1">'[4]Spread Sheet'!#REF!</definedName>
    <definedName name="BLPR2020040129204514652_4_5" localSheetId="7" hidden="1">'[4]Spread Sheet'!#REF!</definedName>
    <definedName name="BLPR2020040129204514652_4_5" hidden="1">'[4]Spread Sheet'!#REF!</definedName>
    <definedName name="BLPR2020040129204514652_5_5" localSheetId="7" hidden="1">'[4]Spread Sheet'!#REF!</definedName>
    <definedName name="BLPR2020040129204514652_5_5" hidden="1">'[4]Spread Sheet'!#REF!</definedName>
    <definedName name="BLPR2120040129204514652" localSheetId="7" hidden="1">'[4]Spread Sheet'!#REF!</definedName>
    <definedName name="BLPR2120040129204514652" hidden="1">'[4]Spread Sheet'!#REF!</definedName>
    <definedName name="BLPR2120040129204514652_1_5" localSheetId="7" hidden="1">'[4]Spread Sheet'!#REF!</definedName>
    <definedName name="BLPR2120040129204514652_1_5" hidden="1">'[4]Spread Sheet'!#REF!</definedName>
    <definedName name="BLPR2120040129204514652_2_5" localSheetId="7" hidden="1">'[4]Spread Sheet'!#REF!</definedName>
    <definedName name="BLPR2120040129204514652_2_5" hidden="1">'[4]Spread Sheet'!#REF!</definedName>
    <definedName name="BLPR2120040129204514652_3_5" localSheetId="7" hidden="1">'[4]Spread Sheet'!#REF!</definedName>
    <definedName name="BLPR2120040129204514652_3_5" hidden="1">'[4]Spread Sheet'!#REF!</definedName>
    <definedName name="BLPR2120040129204514652_4_5" localSheetId="7" hidden="1">'[4]Spread Sheet'!#REF!</definedName>
    <definedName name="BLPR2120040129204514652_4_5" hidden="1">'[4]Spread Sheet'!#REF!</definedName>
    <definedName name="BLPR2120040129204514652_5_5" localSheetId="7" hidden="1">'[4]Spread Sheet'!#REF!</definedName>
    <definedName name="BLPR2120040129204514652_5_5" hidden="1">'[4]Spread Sheet'!#REF!</definedName>
    <definedName name="BLPR220040129203645421" localSheetId="7" hidden="1">'[4]Spread Sheet'!#REF!</definedName>
    <definedName name="BLPR220040129203645421" hidden="1">'[4]Spread Sheet'!#REF!</definedName>
    <definedName name="BLPR220040129203645421_1_4" localSheetId="7" hidden="1">'[4]Spread Sheet'!#REF!</definedName>
    <definedName name="BLPR220040129203645421_1_4" hidden="1">'[4]Spread Sheet'!#REF!</definedName>
    <definedName name="BLPR220040129203645421_2_4" localSheetId="7" hidden="1">'[4]Spread Sheet'!#REF!</definedName>
    <definedName name="BLPR220040129203645421_2_4" hidden="1">'[4]Spread Sheet'!#REF!</definedName>
    <definedName name="BLPR220040129203645421_3_4" localSheetId="7" hidden="1">'[4]Spread Sheet'!#REF!</definedName>
    <definedName name="BLPR220040129203645421_3_4" hidden="1">'[4]Spread Sheet'!#REF!</definedName>
    <definedName name="BLPR220040129203645421_4_4" localSheetId="7" hidden="1">'[4]Spread Sheet'!#REF!</definedName>
    <definedName name="BLPR220040129203645421_4_4" hidden="1">'[4]Spread Sheet'!#REF!</definedName>
    <definedName name="BLPR2220040129204514652" localSheetId="7" hidden="1">'[4]Spread Sheet'!#REF!</definedName>
    <definedName name="BLPR2220040129204514652" hidden="1">'[4]Spread Sheet'!#REF!</definedName>
    <definedName name="BLPR2220040129204514652_1_5" localSheetId="7" hidden="1">'[4]Spread Sheet'!#REF!</definedName>
    <definedName name="BLPR2220040129204514652_1_5" hidden="1">'[4]Spread Sheet'!#REF!</definedName>
    <definedName name="BLPR2220040129204514652_2_5" localSheetId="7" hidden="1">'[4]Spread Sheet'!#REF!</definedName>
    <definedName name="BLPR2220040129204514652_2_5" hidden="1">'[4]Spread Sheet'!#REF!</definedName>
    <definedName name="BLPR2220040129204514652_3_5" localSheetId="7" hidden="1">'[4]Spread Sheet'!#REF!</definedName>
    <definedName name="BLPR2220040129204514652_3_5" hidden="1">'[4]Spread Sheet'!#REF!</definedName>
    <definedName name="BLPR2220040129204514652_4_5" localSheetId="7" hidden="1">'[4]Spread Sheet'!#REF!</definedName>
    <definedName name="BLPR2220040129204514652_4_5" hidden="1">'[4]Spread Sheet'!#REF!</definedName>
    <definedName name="BLPR2220040129204514652_5_5" localSheetId="7" hidden="1">'[4]Spread Sheet'!#REF!</definedName>
    <definedName name="BLPR2220040129204514652_5_5" hidden="1">'[4]Spread Sheet'!#REF!</definedName>
    <definedName name="BLPR2320040129204514662" localSheetId="7" hidden="1">'[4]Spread Sheet'!#REF!</definedName>
    <definedName name="BLPR2320040129204514662" hidden="1">'[4]Spread Sheet'!#REF!</definedName>
    <definedName name="BLPR2320040129204514662_1_5" localSheetId="7" hidden="1">'[4]Spread Sheet'!#REF!</definedName>
    <definedName name="BLPR2320040129204514662_1_5" hidden="1">'[4]Spread Sheet'!#REF!</definedName>
    <definedName name="BLPR2320040129204514662_2_5" localSheetId="7" hidden="1">'[4]Spread Sheet'!#REF!</definedName>
    <definedName name="BLPR2320040129204514662_2_5" hidden="1">'[4]Spread Sheet'!#REF!</definedName>
    <definedName name="BLPR2320040129204514662_3_5" localSheetId="7" hidden="1">'[4]Spread Sheet'!#REF!</definedName>
    <definedName name="BLPR2320040129204514662_3_5" hidden="1">'[4]Spread Sheet'!#REF!</definedName>
    <definedName name="BLPR2320040129204514662_4_5" localSheetId="7" hidden="1">'[4]Spread Sheet'!#REF!</definedName>
    <definedName name="BLPR2320040129204514662_4_5" hidden="1">'[4]Spread Sheet'!#REF!</definedName>
    <definedName name="BLPR2320040129204514662_5_5" localSheetId="7" hidden="1">'[4]Spread Sheet'!#REF!</definedName>
    <definedName name="BLPR2320040129204514662_5_5" hidden="1">'[4]Spread Sheet'!#REF!</definedName>
    <definedName name="BLPR2420040129204514662" localSheetId="7" hidden="1">'[4]Spread Sheet'!#REF!</definedName>
    <definedName name="BLPR2420040129204514662" hidden="1">'[4]Spread Sheet'!#REF!</definedName>
    <definedName name="BLPR2420040129204514662_1_5" localSheetId="7" hidden="1">'[4]Spread Sheet'!#REF!</definedName>
    <definedName name="BLPR2420040129204514662_1_5" hidden="1">'[4]Spread Sheet'!#REF!</definedName>
    <definedName name="BLPR2420040129204514662_2_5" localSheetId="7" hidden="1">'[4]Spread Sheet'!#REF!</definedName>
    <definedName name="BLPR2420040129204514662_2_5" hidden="1">'[4]Spread Sheet'!#REF!</definedName>
    <definedName name="BLPR2420040129204514662_3_5" localSheetId="7" hidden="1">'[4]Spread Sheet'!#REF!</definedName>
    <definedName name="BLPR2420040129204514662_3_5" hidden="1">'[4]Spread Sheet'!#REF!</definedName>
    <definedName name="BLPR2420040129204514662_4_5" localSheetId="7" hidden="1">'[4]Spread Sheet'!#REF!</definedName>
    <definedName name="BLPR2420040129204514662_4_5" hidden="1">'[4]Spread Sheet'!#REF!</definedName>
    <definedName name="BLPR2420040129204514662_5_5" localSheetId="7" hidden="1">'[4]Spread Sheet'!#REF!</definedName>
    <definedName name="BLPR2420040129204514662_5_5" hidden="1">'[4]Spread Sheet'!#REF!</definedName>
    <definedName name="BLPR2520040129204514662" localSheetId="7" hidden="1">'[4]Spread Sheet'!#REF!</definedName>
    <definedName name="BLPR2520040129204514662" hidden="1">'[4]Spread Sheet'!#REF!</definedName>
    <definedName name="BLPR2520040129204514662_1_5" localSheetId="7" hidden="1">'[4]Spread Sheet'!#REF!</definedName>
    <definedName name="BLPR2520040129204514662_1_5" hidden="1">'[4]Spread Sheet'!#REF!</definedName>
    <definedName name="BLPR2520040129204514662_2_5" localSheetId="7" hidden="1">'[4]Spread Sheet'!#REF!</definedName>
    <definedName name="BLPR2520040129204514662_2_5" hidden="1">'[4]Spread Sheet'!#REF!</definedName>
    <definedName name="BLPR2520040129204514662_3_5" localSheetId="7" hidden="1">'[4]Spread Sheet'!#REF!</definedName>
    <definedName name="BLPR2520040129204514662_3_5" hidden="1">'[4]Spread Sheet'!#REF!</definedName>
    <definedName name="BLPR2520040129204514662_4_5" localSheetId="7" hidden="1">'[4]Spread Sheet'!#REF!</definedName>
    <definedName name="BLPR2520040129204514662_4_5" hidden="1">'[4]Spread Sheet'!#REF!</definedName>
    <definedName name="BLPR2520040129204514662_5_5" localSheetId="7" hidden="1">'[4]Spread Sheet'!#REF!</definedName>
    <definedName name="BLPR2520040129204514662_5_5" hidden="1">'[4]Spread Sheet'!#REF!</definedName>
    <definedName name="BLPR2620040129204514662" localSheetId="7" hidden="1">'[4]Spread Sheet'!#REF!</definedName>
    <definedName name="BLPR2620040129204514662" hidden="1">'[4]Spread Sheet'!#REF!</definedName>
    <definedName name="BLPR2620040129204514662_1_5" localSheetId="7" hidden="1">'[4]Spread Sheet'!#REF!</definedName>
    <definedName name="BLPR2620040129204514662_1_5" hidden="1">'[4]Spread Sheet'!#REF!</definedName>
    <definedName name="BLPR2620040129204514662_2_5" localSheetId="7" hidden="1">'[4]Spread Sheet'!#REF!</definedName>
    <definedName name="BLPR2620040129204514662_2_5" hidden="1">'[4]Spread Sheet'!#REF!</definedName>
    <definedName name="BLPR2620040129204514662_3_5" localSheetId="7" hidden="1">'[4]Spread Sheet'!#REF!</definedName>
    <definedName name="BLPR2620040129204514662_3_5" hidden="1">'[4]Spread Sheet'!#REF!</definedName>
    <definedName name="BLPR2620040129204514662_4_5" localSheetId="7" hidden="1">'[4]Spread Sheet'!#REF!</definedName>
    <definedName name="BLPR2620040129204514662_4_5" hidden="1">'[4]Spread Sheet'!#REF!</definedName>
    <definedName name="BLPR2620040129204514662_5_5" localSheetId="7" hidden="1">'[4]Spread Sheet'!#REF!</definedName>
    <definedName name="BLPR2620040129204514662_5_5" hidden="1">'[4]Spread Sheet'!#REF!</definedName>
    <definedName name="BLPR2720040129204514662" localSheetId="7" hidden="1">'[4]Spread Sheet'!#REF!</definedName>
    <definedName name="BLPR2720040129204514662" hidden="1">'[4]Spread Sheet'!#REF!</definedName>
    <definedName name="BLPR2720040129204514662_1_5" localSheetId="7" hidden="1">'[4]Spread Sheet'!#REF!</definedName>
    <definedName name="BLPR2720040129204514662_1_5" hidden="1">'[4]Spread Sheet'!#REF!</definedName>
    <definedName name="BLPR2720040129204514662_2_5" localSheetId="7" hidden="1">'[4]Spread Sheet'!#REF!</definedName>
    <definedName name="BLPR2720040129204514662_2_5" hidden="1">'[4]Spread Sheet'!#REF!</definedName>
    <definedName name="BLPR2720040129204514662_3_5" localSheetId="7" hidden="1">'[4]Spread Sheet'!#REF!</definedName>
    <definedName name="BLPR2720040129204514662_3_5" hidden="1">'[4]Spread Sheet'!#REF!</definedName>
    <definedName name="BLPR2720040129204514662_4_5" localSheetId="7" hidden="1">'[4]Spread Sheet'!#REF!</definedName>
    <definedName name="BLPR2720040129204514662_4_5" hidden="1">'[4]Spread Sheet'!#REF!</definedName>
    <definedName name="BLPR2720040129204514662_5_5" localSheetId="7" hidden="1">'[4]Spread Sheet'!#REF!</definedName>
    <definedName name="BLPR2720040129204514662_5_5" hidden="1">'[4]Spread Sheet'!#REF!</definedName>
    <definedName name="BLPR2820040129204514662" localSheetId="7" hidden="1">'[4]Spread Sheet'!#REF!</definedName>
    <definedName name="BLPR2820040129204514662" hidden="1">'[4]Spread Sheet'!#REF!</definedName>
    <definedName name="BLPR2820040129204514662_1_5" localSheetId="7" hidden="1">'[4]Spread Sheet'!#REF!</definedName>
    <definedName name="BLPR2820040129204514662_1_5" hidden="1">'[4]Spread Sheet'!#REF!</definedName>
    <definedName name="BLPR2820040129204514662_2_5" localSheetId="7" hidden="1">'[4]Spread Sheet'!#REF!</definedName>
    <definedName name="BLPR2820040129204514662_2_5" hidden="1">'[4]Spread Sheet'!#REF!</definedName>
    <definedName name="BLPR2820040129204514662_3_5" localSheetId="7" hidden="1">'[4]Spread Sheet'!#REF!</definedName>
    <definedName name="BLPR2820040129204514662_3_5" hidden="1">'[4]Spread Sheet'!#REF!</definedName>
    <definedName name="BLPR2820040129204514662_4_5" localSheetId="7" hidden="1">'[4]Spread Sheet'!#REF!</definedName>
    <definedName name="BLPR2820040129204514662_4_5" hidden="1">'[4]Spread Sheet'!#REF!</definedName>
    <definedName name="BLPR2820040129204514662_5_5" localSheetId="7" hidden="1">'[4]Spread Sheet'!#REF!</definedName>
    <definedName name="BLPR2820040129204514662_5_5" hidden="1">'[4]Spread Sheet'!#REF!</definedName>
    <definedName name="BLPR2920040129204514662" localSheetId="7" hidden="1">'[4]Spread Sheet'!#REF!</definedName>
    <definedName name="BLPR2920040129204514662" hidden="1">'[4]Spread Sheet'!#REF!</definedName>
    <definedName name="BLPR2920040129204514662_1_5" localSheetId="7" hidden="1">'[4]Spread Sheet'!#REF!</definedName>
    <definedName name="BLPR2920040129204514662_1_5" hidden="1">'[4]Spread Sheet'!#REF!</definedName>
    <definedName name="BLPR2920040129204514662_2_5" localSheetId="7" hidden="1">'[4]Spread Sheet'!#REF!</definedName>
    <definedName name="BLPR2920040129204514662_2_5" hidden="1">'[4]Spread Sheet'!#REF!</definedName>
    <definedName name="BLPR2920040129204514662_3_5" localSheetId="7" hidden="1">'[4]Spread Sheet'!#REF!</definedName>
    <definedName name="BLPR2920040129204514662_3_5" hidden="1">'[4]Spread Sheet'!#REF!</definedName>
    <definedName name="BLPR2920040129204514662_4_5" localSheetId="7" hidden="1">'[4]Spread Sheet'!#REF!</definedName>
    <definedName name="BLPR2920040129204514662_4_5" hidden="1">'[4]Spread Sheet'!#REF!</definedName>
    <definedName name="BLPR2920040129204514662_5_5" localSheetId="7" hidden="1">'[4]Spread Sheet'!#REF!</definedName>
    <definedName name="BLPR2920040129204514662_5_5" hidden="1">'[4]Spread Sheet'!#REF!</definedName>
    <definedName name="BLPR3020040129204514672" localSheetId="7" hidden="1">'[4]Spread Sheet'!#REF!</definedName>
    <definedName name="BLPR3020040129204514672" hidden="1">'[4]Spread Sheet'!#REF!</definedName>
    <definedName name="BLPR3020040129204514672_1_5" localSheetId="7" hidden="1">'[4]Spread Sheet'!#REF!</definedName>
    <definedName name="BLPR3020040129204514672_1_5" hidden="1">'[4]Spread Sheet'!#REF!</definedName>
    <definedName name="BLPR3020040129204514672_2_5" localSheetId="7" hidden="1">'[4]Spread Sheet'!#REF!</definedName>
    <definedName name="BLPR3020040129204514672_2_5" hidden="1">'[4]Spread Sheet'!#REF!</definedName>
    <definedName name="BLPR3020040129204514672_3_5" localSheetId="7" hidden="1">'[4]Spread Sheet'!#REF!</definedName>
    <definedName name="BLPR3020040129204514672_3_5" hidden="1">'[4]Spread Sheet'!#REF!</definedName>
    <definedName name="BLPR3020040129204514672_4_5" localSheetId="7" hidden="1">'[4]Spread Sheet'!#REF!</definedName>
    <definedName name="BLPR3020040129204514672_4_5" hidden="1">'[4]Spread Sheet'!#REF!</definedName>
    <definedName name="BLPR3020040129204514672_5_5" localSheetId="7" hidden="1">'[4]Spread Sheet'!#REF!</definedName>
    <definedName name="BLPR3020040129204514672_5_5" hidden="1">'[4]Spread Sheet'!#REF!</definedName>
    <definedName name="BLPR3120040129204514692" localSheetId="7" hidden="1">'[4]Spread Sheet'!#REF!</definedName>
    <definedName name="BLPR3120040129204514692" hidden="1">'[4]Spread Sheet'!#REF!</definedName>
    <definedName name="BLPR3120040129204514692_1_1" localSheetId="7" hidden="1">'[4]Spread Sheet'!#REF!</definedName>
    <definedName name="BLPR3120040129204514692_1_1" hidden="1">'[4]Spread Sheet'!#REF!</definedName>
    <definedName name="BLPR320040129203645431" localSheetId="7" hidden="1">'[4]Spread Sheet'!#REF!</definedName>
    <definedName name="BLPR320040129203645431" hidden="1">'[4]Spread Sheet'!#REF!</definedName>
    <definedName name="BLPR320040129203645431_1_4" localSheetId="7" hidden="1">'[4]Spread Sheet'!#REF!</definedName>
    <definedName name="BLPR320040129203645431_1_4" hidden="1">'[4]Spread Sheet'!#REF!</definedName>
    <definedName name="BLPR320040129203645431_2_4" localSheetId="7" hidden="1">'[4]Spread Sheet'!#REF!</definedName>
    <definedName name="BLPR320040129203645431_2_4" hidden="1">'[4]Spread Sheet'!#REF!</definedName>
    <definedName name="BLPR320040129203645431_3_4" localSheetId="7" hidden="1">'[4]Spread Sheet'!#REF!</definedName>
    <definedName name="BLPR320040129203645431_3_4" hidden="1">'[4]Spread Sheet'!#REF!</definedName>
    <definedName name="BLPR320040129203645431_4_4" localSheetId="7" hidden="1">'[4]Spread Sheet'!#REF!</definedName>
    <definedName name="BLPR320040129203645431_4_4" hidden="1">'[4]Spread Sheet'!#REF!</definedName>
    <definedName name="BLPR3220040129204514692" localSheetId="7" hidden="1">'[4]Spread Sheet'!#REF!</definedName>
    <definedName name="BLPR3220040129204514692" hidden="1">'[4]Spread Sheet'!#REF!</definedName>
    <definedName name="BLPR3220040129204514692_1_1" localSheetId="7" hidden="1">'[4]Spread Sheet'!#REF!</definedName>
    <definedName name="BLPR3220040129204514692_1_1" hidden="1">'[4]Spread Sheet'!#REF!</definedName>
    <definedName name="BLPR3320040129204514702" localSheetId="7" hidden="1">'[4]Spread Sheet'!#REF!</definedName>
    <definedName name="BLPR3320040129204514702" hidden="1">'[4]Spread Sheet'!#REF!</definedName>
    <definedName name="BLPR3320040129204514702_1_1" localSheetId="7" hidden="1">'[4]Spread Sheet'!#REF!</definedName>
    <definedName name="BLPR3320040129204514702_1_1" hidden="1">'[4]Spread Sheet'!#REF!</definedName>
    <definedName name="BLPR3420040129204514702" localSheetId="7" hidden="1">'[4]Spread Sheet'!#REF!</definedName>
    <definedName name="BLPR3420040129204514702" hidden="1">'[4]Spread Sheet'!#REF!</definedName>
    <definedName name="BLPR3420040129204514702_1_1" localSheetId="7" hidden="1">'[4]Spread Sheet'!#REF!</definedName>
    <definedName name="BLPR3420040129204514702_1_1" hidden="1">'[4]Spread Sheet'!#REF!</definedName>
    <definedName name="BLPR3520040129204514702" localSheetId="7" hidden="1">'[4]Spread Sheet'!#REF!</definedName>
    <definedName name="BLPR3520040129204514702" hidden="1">'[4]Spread Sheet'!#REF!</definedName>
    <definedName name="BLPR3520040129204514702_1_1" localSheetId="7" hidden="1">'[4]Spread Sheet'!#REF!</definedName>
    <definedName name="BLPR3520040129204514702_1_1" hidden="1">'[4]Spread Sheet'!#REF!</definedName>
    <definedName name="BLPR420040129203645431" localSheetId="7" hidden="1">'[4]Spread Sheet'!#REF!</definedName>
    <definedName name="BLPR420040129203645431" hidden="1">'[4]Spread Sheet'!#REF!</definedName>
    <definedName name="BLPR420040129203645431_1_4" localSheetId="7" hidden="1">'[4]Spread Sheet'!#REF!</definedName>
    <definedName name="BLPR420040129203645431_1_4" hidden="1">'[4]Spread Sheet'!#REF!</definedName>
    <definedName name="BLPR420040129203645431_2_4" localSheetId="7" hidden="1">'[4]Spread Sheet'!#REF!</definedName>
    <definedName name="BLPR420040129203645431_2_4" hidden="1">'[4]Spread Sheet'!#REF!</definedName>
    <definedName name="BLPR420040129203645431_3_4" localSheetId="7" hidden="1">'[4]Spread Sheet'!#REF!</definedName>
    <definedName name="BLPR420040129203645431_3_4" hidden="1">'[4]Spread Sheet'!#REF!</definedName>
    <definedName name="BLPR420040129203645431_4_4" localSheetId="7" hidden="1">'[4]Spread Sheet'!#REF!</definedName>
    <definedName name="BLPR420040129203645431_4_4" hidden="1">'[4]Spread Sheet'!#REF!</definedName>
    <definedName name="BLPR520040129203645441" localSheetId="7" hidden="1">'[4]Spread Sheet'!#REF!</definedName>
    <definedName name="BLPR520040129203645441" hidden="1">'[4]Spread Sheet'!#REF!</definedName>
    <definedName name="BLPR520040129203645441_1_4" localSheetId="7" hidden="1">'[4]Spread Sheet'!#REF!</definedName>
    <definedName name="BLPR520040129203645441_1_4" hidden="1">'[4]Spread Sheet'!#REF!</definedName>
    <definedName name="BLPR520040129203645441_2_4" localSheetId="7" hidden="1">'[4]Spread Sheet'!#REF!</definedName>
    <definedName name="BLPR520040129203645441_2_4" hidden="1">'[4]Spread Sheet'!#REF!</definedName>
    <definedName name="BLPR520040129203645441_3_4" localSheetId="7" hidden="1">'[4]Spread Sheet'!#REF!</definedName>
    <definedName name="BLPR520040129203645441_3_4" hidden="1">'[4]Spread Sheet'!#REF!</definedName>
    <definedName name="BLPR520040129203645441_4_4" localSheetId="7" hidden="1">'[4]Spread Sheet'!#REF!</definedName>
    <definedName name="BLPR520040129203645441_4_4" hidden="1">'[4]Spread Sheet'!#REF!</definedName>
    <definedName name="BLPR620040129204149993" localSheetId="7" hidden="1">'[4]Spread Sheet'!#REF!</definedName>
    <definedName name="BLPR620040129204149993" hidden="1">'[4]Spread Sheet'!#REF!</definedName>
    <definedName name="BLPR620040129204149993_1_5" localSheetId="7" hidden="1">'[4]Spread Sheet'!#REF!</definedName>
    <definedName name="BLPR620040129204149993_1_5" hidden="1">'[4]Spread Sheet'!#REF!</definedName>
    <definedName name="BLPR620040129204149993_2_5" localSheetId="7" hidden="1">'[4]Spread Sheet'!#REF!</definedName>
    <definedName name="BLPR620040129204149993_2_5" hidden="1">'[4]Spread Sheet'!#REF!</definedName>
    <definedName name="BLPR620040129204149993_3_5" localSheetId="7" hidden="1">'[4]Spread Sheet'!#REF!</definedName>
    <definedName name="BLPR620040129204149993_3_5" hidden="1">'[4]Spread Sheet'!#REF!</definedName>
    <definedName name="BLPR620040129204149993_4_5" localSheetId="7" hidden="1">'[4]Spread Sheet'!#REF!</definedName>
    <definedName name="BLPR620040129204149993_4_5" hidden="1">'[4]Spread Sheet'!#REF!</definedName>
    <definedName name="BLPR620040129204149993_5_5" localSheetId="7" hidden="1">'[4]Spread Sheet'!#REF!</definedName>
    <definedName name="BLPR620040129204149993_5_5" hidden="1">'[4]Spread Sheet'!#REF!</definedName>
    <definedName name="BLPR720040129204514631" localSheetId="7" hidden="1">'[4]Spread Sheet'!#REF!</definedName>
    <definedName name="BLPR720040129204514631" hidden="1">'[4]Spread Sheet'!#REF!</definedName>
    <definedName name="BLPR720040129204514631_1_5" localSheetId="7" hidden="1">'[4]Spread Sheet'!#REF!</definedName>
    <definedName name="BLPR720040129204514631_1_5" hidden="1">'[4]Spread Sheet'!#REF!</definedName>
    <definedName name="BLPR720040129204514631_2_5" localSheetId="7" hidden="1">'[4]Spread Sheet'!#REF!</definedName>
    <definedName name="BLPR720040129204514631_2_5" hidden="1">'[4]Spread Sheet'!#REF!</definedName>
    <definedName name="BLPR720040129204514631_3_5" localSheetId="7" hidden="1">'[4]Spread Sheet'!#REF!</definedName>
    <definedName name="BLPR720040129204514631_3_5" hidden="1">'[4]Spread Sheet'!#REF!</definedName>
    <definedName name="BLPR720040129204514631_4_5" localSheetId="7" hidden="1">'[4]Spread Sheet'!#REF!</definedName>
    <definedName name="BLPR720040129204514631_4_5" hidden="1">'[4]Spread Sheet'!#REF!</definedName>
    <definedName name="BLPR720040129204514631_5_5" localSheetId="7" hidden="1">'[4]Spread Sheet'!#REF!</definedName>
    <definedName name="BLPR720040129204514631_5_5" hidden="1">'[4]Spread Sheet'!#REF!</definedName>
    <definedName name="BLPR820040129204514642" localSheetId="7" hidden="1">'[4]Spread Sheet'!#REF!</definedName>
    <definedName name="BLPR820040129204514642" hidden="1">'[4]Spread Sheet'!#REF!</definedName>
    <definedName name="BLPR820040129204514642_1_5" localSheetId="7" hidden="1">'[4]Spread Sheet'!#REF!</definedName>
    <definedName name="BLPR820040129204514642_1_5" hidden="1">'[4]Spread Sheet'!#REF!</definedName>
    <definedName name="BLPR820040129204514642_2_5" localSheetId="7" hidden="1">'[4]Spread Sheet'!#REF!</definedName>
    <definedName name="BLPR820040129204514642_2_5" hidden="1">'[4]Spread Sheet'!#REF!</definedName>
    <definedName name="BLPR820040129204514642_3_5" localSheetId="7" hidden="1">'[4]Spread Sheet'!#REF!</definedName>
    <definedName name="BLPR820040129204514642_3_5" hidden="1">'[4]Spread Sheet'!#REF!</definedName>
    <definedName name="BLPR820040129204514642_4_5" localSheetId="7" hidden="1">'[4]Spread Sheet'!#REF!</definedName>
    <definedName name="BLPR820040129204514642_4_5" hidden="1">'[4]Spread Sheet'!#REF!</definedName>
    <definedName name="BLPR820040129204514642_5_5" localSheetId="7" hidden="1">'[4]Spread Sheet'!#REF!</definedName>
    <definedName name="BLPR820040129204514642_5_5" hidden="1">'[4]Spread Sheet'!#REF!</definedName>
    <definedName name="BLPR920040129204514642" localSheetId="7" hidden="1">'[4]Spread Sheet'!#REF!</definedName>
    <definedName name="BLPR920040129204514642" hidden="1">'[4]Spread Sheet'!#REF!</definedName>
    <definedName name="BLPR920040129204514642_1_5" localSheetId="7" hidden="1">'[4]Spread Sheet'!#REF!</definedName>
    <definedName name="BLPR920040129204514642_1_5" hidden="1">'[4]Spread Sheet'!#REF!</definedName>
    <definedName name="BLPR920040129204514642_2_5" localSheetId="7" hidden="1">'[4]Spread Sheet'!#REF!</definedName>
    <definedName name="BLPR920040129204514642_2_5" hidden="1">'[4]Spread Sheet'!#REF!</definedName>
    <definedName name="BLPR920040129204514642_3_5" localSheetId="7" hidden="1">'[4]Spread Sheet'!#REF!</definedName>
    <definedName name="BLPR920040129204514642_3_5" hidden="1">'[4]Spread Sheet'!#REF!</definedName>
    <definedName name="BLPR920040129204514642_4_5" localSheetId="7" hidden="1">'[4]Spread Sheet'!#REF!</definedName>
    <definedName name="BLPR920040129204514642_4_5" hidden="1">'[4]Spread Sheet'!#REF!</definedName>
    <definedName name="BLPR920040129204514642_5_5" localSheetId="7" hidden="1">'[4]Spread Sheet'!#REF!</definedName>
    <definedName name="BLPR920040129204514642_5_5" hidden="1">'[4]Spread Sheet'!#REF!</definedName>
    <definedName name="BNE_MESSAGES_HIDDEN" localSheetId="7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4">'Q1 p.4 - ROR (Jun-Aug)'!$A$1:$R$47</definedName>
    <definedName name="_xlnm.Print_Area" localSheetId="3">'Q1 p3. - ROR (Mar-May)'!$A$1:$R$47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7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A1" i="18" l="1"/>
  <c r="C13" i="10" l="1"/>
  <c r="C14" i="10"/>
  <c r="C14" i="17"/>
  <c r="C13" i="17"/>
  <c r="C16" i="17" l="1"/>
  <c r="D15" i="15" l="1"/>
  <c r="D14" i="15"/>
  <c r="D13" i="15"/>
  <c r="D12" i="15"/>
  <c r="D11" i="15"/>
  <c r="D10" i="15"/>
  <c r="A1" i="16" l="1"/>
  <c r="L26" i="13" l="1"/>
  <c r="L24" i="13" l="1"/>
  <c r="L23" i="13" l="1"/>
  <c r="L22" i="13" l="1"/>
  <c r="L21" i="13" l="1"/>
  <c r="L25" i="13" l="1"/>
  <c r="H23" i="14" l="1"/>
  <c r="H24" i="14"/>
  <c r="H25" i="14"/>
  <c r="H26" i="14"/>
  <c r="H27" i="14"/>
  <c r="H22" i="14"/>
  <c r="H10" i="14"/>
  <c r="H11" i="14"/>
  <c r="H12" i="14"/>
  <c r="H13" i="14"/>
  <c r="H14" i="14"/>
  <c r="H9" i="14"/>
  <c r="F23" i="14"/>
  <c r="F24" i="14"/>
  <c r="F25" i="14"/>
  <c r="F26" i="14"/>
  <c r="F27" i="14"/>
  <c r="F22" i="14"/>
  <c r="F10" i="14"/>
  <c r="F11" i="14"/>
  <c r="F12" i="14"/>
  <c r="F13" i="14"/>
  <c r="F14" i="14"/>
  <c r="F9" i="14"/>
  <c r="C23" i="14"/>
  <c r="C24" i="14"/>
  <c r="C25" i="14"/>
  <c r="C26" i="14"/>
  <c r="C27" i="14"/>
  <c r="C22" i="14"/>
  <c r="C10" i="14"/>
  <c r="C11" i="14"/>
  <c r="C12" i="14"/>
  <c r="C13" i="14"/>
  <c r="C14" i="14"/>
  <c r="C9" i="14"/>
  <c r="E23" i="2"/>
  <c r="E24" i="2"/>
  <c r="E25" i="2"/>
  <c r="E26" i="2"/>
  <c r="E27" i="2"/>
  <c r="E10" i="2"/>
  <c r="E11" i="2"/>
  <c r="E12" i="2"/>
  <c r="E13" i="2"/>
  <c r="E14" i="2"/>
  <c r="E22" i="2"/>
  <c r="E9" i="2"/>
  <c r="AG26" i="13" l="1"/>
  <c r="AG25" i="13"/>
  <c r="AG24" i="13"/>
  <c r="AG23" i="13"/>
  <c r="AG22" i="13"/>
  <c r="AG21" i="13"/>
  <c r="AE26" i="13"/>
  <c r="AE25" i="13"/>
  <c r="AE24" i="13"/>
  <c r="AE23" i="13"/>
  <c r="AE22" i="13"/>
  <c r="AE21" i="13"/>
  <c r="C9" i="16" l="1"/>
  <c r="D9" i="16" l="1"/>
  <c r="C10" i="16"/>
  <c r="D10" i="16"/>
  <c r="C11" i="16"/>
  <c r="D11" i="16"/>
  <c r="E9" i="16"/>
  <c r="F9" i="16"/>
  <c r="H15" i="3" l="1"/>
  <c r="H29" i="3" s="1"/>
  <c r="H14" i="3"/>
  <c r="H28" i="3" s="1"/>
  <c r="H13" i="3"/>
  <c r="H27" i="3" s="1"/>
  <c r="H12" i="3"/>
  <c r="H26" i="3" s="1"/>
  <c r="H11" i="3"/>
  <c r="H25" i="3" s="1"/>
  <c r="H10" i="3"/>
  <c r="H24" i="3" s="1"/>
  <c r="G25" i="12"/>
  <c r="G26" i="12"/>
  <c r="G27" i="12"/>
  <c r="G28" i="12"/>
  <c r="G29" i="12"/>
  <c r="G24" i="12"/>
  <c r="G15" i="12"/>
  <c r="G14" i="12"/>
  <c r="G13" i="12"/>
  <c r="G12" i="12"/>
  <c r="G11" i="12"/>
  <c r="G10" i="12"/>
  <c r="A11" i="16" l="1"/>
  <c r="A10" i="16"/>
  <c r="A9" i="16"/>
  <c r="H44" i="17" l="1"/>
  <c r="P42" i="17"/>
  <c r="P41" i="17"/>
  <c r="H16" i="17"/>
  <c r="F13" i="17"/>
  <c r="J13" i="17" s="1"/>
  <c r="L13" i="17" s="1"/>
  <c r="P13" i="17"/>
  <c r="P14" i="17" s="1"/>
  <c r="A1" i="17"/>
  <c r="F14" i="17" l="1"/>
  <c r="J14" i="17" s="1"/>
  <c r="P15" i="17"/>
  <c r="J44" i="17"/>
  <c r="N13" i="17"/>
  <c r="P43" i="10"/>
  <c r="P42" i="10"/>
  <c r="P41" i="10"/>
  <c r="H44" i="10"/>
  <c r="J15" i="17" l="1"/>
  <c r="L15" i="17" s="1"/>
  <c r="N15" i="17" s="1"/>
  <c r="R15" i="17" s="1"/>
  <c r="C29" i="17" s="1"/>
  <c r="L14" i="17"/>
  <c r="F15" i="17"/>
  <c r="F16" i="17" s="1"/>
  <c r="R13" i="17"/>
  <c r="A10" i="2"/>
  <c r="A11" i="2"/>
  <c r="N14" i="17" l="1"/>
  <c r="L16" i="17"/>
  <c r="C43" i="17"/>
  <c r="C41" i="17"/>
  <c r="C27" i="17"/>
  <c r="A9" i="2"/>
  <c r="R14" i="17" l="1"/>
  <c r="N16" i="17"/>
  <c r="F10" i="16"/>
  <c r="F11" i="16"/>
  <c r="F12" i="16"/>
  <c r="F13" i="16"/>
  <c r="F14" i="16"/>
  <c r="E10" i="16"/>
  <c r="E11" i="16"/>
  <c r="E12" i="16"/>
  <c r="E13" i="16"/>
  <c r="E14" i="16"/>
  <c r="C28" i="17" l="1"/>
  <c r="C42" i="17"/>
  <c r="C44" i="17" s="1"/>
  <c r="F42" i="17" s="1"/>
  <c r="J42" i="17" s="1"/>
  <c r="R16" i="17"/>
  <c r="C30" i="17" s="1"/>
  <c r="B21" i="13"/>
  <c r="C21" i="13" s="1"/>
  <c r="C9" i="2"/>
  <c r="C10" i="3" s="1"/>
  <c r="D9" i="2"/>
  <c r="H9" i="2"/>
  <c r="C10" i="2"/>
  <c r="C11" i="3" s="1"/>
  <c r="H10" i="2"/>
  <c r="H23" i="2" s="1"/>
  <c r="C11" i="2"/>
  <c r="C12" i="3" s="1"/>
  <c r="D11" i="2"/>
  <c r="H11" i="2"/>
  <c r="C12" i="2"/>
  <c r="D12" i="2"/>
  <c r="H12" i="2"/>
  <c r="C13" i="2"/>
  <c r="D13" i="2"/>
  <c r="H13" i="2"/>
  <c r="C14" i="2"/>
  <c r="D14" i="2"/>
  <c r="H14" i="2"/>
  <c r="H27" i="2" s="1"/>
  <c r="C22" i="2"/>
  <c r="D22" i="2"/>
  <c r="C23" i="2"/>
  <c r="D23" i="2"/>
  <c r="C24" i="2"/>
  <c r="C26" i="3" s="1"/>
  <c r="D24" i="2"/>
  <c r="H24" i="2"/>
  <c r="C25" i="2"/>
  <c r="C27" i="3" s="1"/>
  <c r="D25" i="2"/>
  <c r="H25" i="2"/>
  <c r="C26" i="2"/>
  <c r="D26" i="2"/>
  <c r="C27" i="2"/>
  <c r="D27" i="2"/>
  <c r="B10" i="12"/>
  <c r="C10" i="12" s="1"/>
  <c r="E10" i="12"/>
  <c r="B11" i="12"/>
  <c r="C11" i="12" s="1"/>
  <c r="E11" i="12"/>
  <c r="B12" i="12"/>
  <c r="C12" i="12" s="1"/>
  <c r="E12" i="12"/>
  <c r="B13" i="12"/>
  <c r="C13" i="12" s="1"/>
  <c r="E13" i="12"/>
  <c r="B14" i="12"/>
  <c r="C14" i="12" s="1"/>
  <c r="E14" i="12"/>
  <c r="B15" i="12"/>
  <c r="C15" i="12" s="1"/>
  <c r="E15" i="12"/>
  <c r="B24" i="12"/>
  <c r="C24" i="12" s="1"/>
  <c r="E24" i="12"/>
  <c r="B25" i="12"/>
  <c r="C25" i="12" s="1"/>
  <c r="E25" i="12"/>
  <c r="B26" i="12"/>
  <c r="C26" i="12" s="1"/>
  <c r="E26" i="12"/>
  <c r="B27" i="12"/>
  <c r="C27" i="12" s="1"/>
  <c r="E27" i="12"/>
  <c r="B28" i="12"/>
  <c r="C28" i="12" s="1"/>
  <c r="E28" i="12"/>
  <c r="B29" i="12"/>
  <c r="C29" i="12" s="1"/>
  <c r="E29" i="12"/>
  <c r="C10" i="15"/>
  <c r="F10" i="15"/>
  <c r="G10" i="15"/>
  <c r="H10" i="15"/>
  <c r="J10" i="15"/>
  <c r="K10" i="15"/>
  <c r="C11" i="15"/>
  <c r="F11" i="15"/>
  <c r="G11" i="15"/>
  <c r="H11" i="15"/>
  <c r="J11" i="15"/>
  <c r="K11" i="15"/>
  <c r="C12" i="15"/>
  <c r="F12" i="15"/>
  <c r="G12" i="15"/>
  <c r="H12" i="15"/>
  <c r="J12" i="15"/>
  <c r="K12" i="15"/>
  <c r="C13" i="15"/>
  <c r="F13" i="15"/>
  <c r="G13" i="15"/>
  <c r="H13" i="15"/>
  <c r="J13" i="15"/>
  <c r="K13" i="15"/>
  <c r="C14" i="15"/>
  <c r="F14" i="15"/>
  <c r="G14" i="15"/>
  <c r="H14" i="15"/>
  <c r="J14" i="15"/>
  <c r="K14" i="15"/>
  <c r="C15" i="15"/>
  <c r="F15" i="15"/>
  <c r="G15" i="15"/>
  <c r="H15" i="15"/>
  <c r="J15" i="15"/>
  <c r="K15" i="15"/>
  <c r="F41" i="17" l="1"/>
  <c r="H41" i="17" s="1"/>
  <c r="H42" i="17"/>
  <c r="L42" i="17" s="1"/>
  <c r="F28" i="17"/>
  <c r="F27" i="17"/>
  <c r="C14" i="3"/>
  <c r="B22" i="13"/>
  <c r="B23" i="13" s="1"/>
  <c r="C23" i="13" s="1"/>
  <c r="F29" i="3"/>
  <c r="C29" i="3"/>
  <c r="C24" i="3"/>
  <c r="C13" i="3"/>
  <c r="F13" i="3"/>
  <c r="J16" i="15"/>
  <c r="H16" i="15"/>
  <c r="K16" i="15"/>
  <c r="F24" i="3"/>
  <c r="F24" i="2"/>
  <c r="G24" i="2" s="1"/>
  <c r="I24" i="2" s="1"/>
  <c r="F25" i="2"/>
  <c r="G25" i="2" s="1"/>
  <c r="I25" i="2" s="1"/>
  <c r="F14" i="2"/>
  <c r="G14" i="2" s="1"/>
  <c r="I14" i="2" s="1"/>
  <c r="F14" i="3"/>
  <c r="F28" i="3"/>
  <c r="F25" i="3"/>
  <c r="F10" i="3"/>
  <c r="C28" i="3"/>
  <c r="C15" i="3"/>
  <c r="H26" i="2"/>
  <c r="C25" i="3"/>
  <c r="H22" i="2"/>
  <c r="J41" i="17" l="1"/>
  <c r="J43" i="17" s="1"/>
  <c r="F43" i="17"/>
  <c r="F44" i="17" s="1"/>
  <c r="H43" i="17"/>
  <c r="H27" i="17"/>
  <c r="J27" i="17"/>
  <c r="F29" i="17"/>
  <c r="F30" i="17" s="1"/>
  <c r="J28" i="17"/>
  <c r="H28" i="17"/>
  <c r="L41" i="17"/>
  <c r="F12" i="2"/>
  <c r="G12" i="2" s="1"/>
  <c r="I12" i="2" s="1"/>
  <c r="F27" i="2"/>
  <c r="G27" i="2" s="1"/>
  <c r="I27" i="2" s="1"/>
  <c r="F22" i="2"/>
  <c r="G22" i="2" s="1"/>
  <c r="I22" i="2" s="1"/>
  <c r="C22" i="13"/>
  <c r="B24" i="13"/>
  <c r="F13" i="2"/>
  <c r="G13" i="2" s="1"/>
  <c r="I13" i="2" s="1"/>
  <c r="F9" i="2"/>
  <c r="G9" i="2" s="1"/>
  <c r="I9" i="2" s="1"/>
  <c r="F27" i="3"/>
  <c r="F26" i="3"/>
  <c r="F23" i="2"/>
  <c r="G23" i="2" s="1"/>
  <c r="I23" i="2" s="1"/>
  <c r="F15" i="3"/>
  <c r="F10" i="2"/>
  <c r="G10" i="2" s="1"/>
  <c r="I10" i="2" s="1"/>
  <c r="F11" i="3"/>
  <c r="F12" i="3"/>
  <c r="F11" i="2"/>
  <c r="G11" i="2" s="1"/>
  <c r="I11" i="2" s="1"/>
  <c r="F26" i="2"/>
  <c r="G26" i="2" s="1"/>
  <c r="I26" i="2" s="1"/>
  <c r="L43" i="17" l="1"/>
  <c r="B25" i="13"/>
  <c r="A13" i="2" s="1"/>
  <c r="A12" i="2"/>
  <c r="L28" i="17"/>
  <c r="H29" i="17"/>
  <c r="L27" i="17"/>
  <c r="J29" i="17"/>
  <c r="L44" i="17"/>
  <c r="N41" i="17" s="1"/>
  <c r="R41" i="17" s="1"/>
  <c r="C24" i="13"/>
  <c r="A12" i="16" s="1"/>
  <c r="I15" i="2"/>
  <c r="G15" i="2"/>
  <c r="G28" i="2"/>
  <c r="I28" i="2"/>
  <c r="C25" i="13" l="1"/>
  <c r="A13" i="16" s="1"/>
  <c r="B26" i="13"/>
  <c r="C26" i="13" s="1"/>
  <c r="A14" i="16" s="1"/>
  <c r="L29" i="17"/>
  <c r="L30" i="17" s="1"/>
  <c r="N42" i="17"/>
  <c r="R42" i="17" s="1"/>
  <c r="D12" i="16"/>
  <c r="D13" i="16"/>
  <c r="D14" i="16"/>
  <c r="C12" i="16"/>
  <c r="C13" i="16"/>
  <c r="C14" i="16"/>
  <c r="A14" i="2" l="1"/>
  <c r="N28" i="17"/>
  <c r="R28" i="17" s="1"/>
  <c r="N27" i="17"/>
  <c r="N43" i="17"/>
  <c r="R43" i="17" s="1"/>
  <c r="R44" i="17" s="1"/>
  <c r="R45" i="17" s="1"/>
  <c r="N21" i="13" s="1"/>
  <c r="D22" i="14" s="1"/>
  <c r="H9" i="16"/>
  <c r="H10" i="16"/>
  <c r="H11" i="16"/>
  <c r="H12" i="16"/>
  <c r="H13" i="16"/>
  <c r="H14" i="16"/>
  <c r="G10" i="16"/>
  <c r="G11" i="16"/>
  <c r="G12" i="16"/>
  <c r="G13" i="16"/>
  <c r="G14" i="16"/>
  <c r="G9" i="16"/>
  <c r="N44" i="17" l="1"/>
  <c r="R27" i="17"/>
  <c r="N29" i="17"/>
  <c r="R29" i="17" s="1"/>
  <c r="E23" i="16"/>
  <c r="D24" i="16"/>
  <c r="E20" i="16"/>
  <c r="F23" i="16"/>
  <c r="C25" i="16"/>
  <c r="D22" i="16"/>
  <c r="D20" i="16"/>
  <c r="E22" i="16"/>
  <c r="E21" i="16"/>
  <c r="C24" i="16"/>
  <c r="D25" i="16"/>
  <c r="F21" i="16"/>
  <c r="N22" i="13"/>
  <c r="E24" i="16"/>
  <c r="G24" i="16" s="1"/>
  <c r="E25" i="16"/>
  <c r="F22" i="16"/>
  <c r="C22" i="16"/>
  <c r="F24" i="16"/>
  <c r="H24" i="16" s="1"/>
  <c r="C23" i="16"/>
  <c r="F20" i="16"/>
  <c r="H20" i="16" s="1"/>
  <c r="D23" i="16"/>
  <c r="F25" i="16"/>
  <c r="C21" i="16"/>
  <c r="D21" i="16"/>
  <c r="C20" i="16"/>
  <c r="G20" i="16" s="1"/>
  <c r="G25" i="16" l="1"/>
  <c r="H25" i="16"/>
  <c r="G21" i="16"/>
  <c r="G23" i="16"/>
  <c r="R30" i="17"/>
  <c r="R31" i="17" s="1"/>
  <c r="J21" i="13" s="1"/>
  <c r="D9" i="14" s="1"/>
  <c r="N30" i="17"/>
  <c r="H21" i="16"/>
  <c r="G22" i="16"/>
  <c r="H23" i="16"/>
  <c r="H22" i="16"/>
  <c r="N23" i="13"/>
  <c r="D24" i="14" s="1"/>
  <c r="D23" i="14"/>
  <c r="C32" i="16"/>
  <c r="C36" i="16"/>
  <c r="C33" i="16" l="1"/>
  <c r="C35" i="16"/>
  <c r="G26" i="16"/>
  <c r="C37" i="16"/>
  <c r="C34" i="16"/>
  <c r="H26" i="16"/>
  <c r="C38" i="16" l="1"/>
  <c r="A1" i="3"/>
  <c r="A1" i="15"/>
  <c r="A1" i="12"/>
  <c r="A1" i="10"/>
  <c r="A1" i="2"/>
  <c r="A1" i="14" s="1"/>
  <c r="B6" i="15" l="1"/>
  <c r="C6" i="15" s="1"/>
  <c r="D6" i="15" s="1"/>
  <c r="E6" i="15" s="1"/>
  <c r="F6" i="15" s="1"/>
  <c r="G6" i="15" s="1"/>
  <c r="H6" i="15" s="1"/>
  <c r="I6" i="15" s="1"/>
  <c r="J6" i="15" s="1"/>
  <c r="K6" i="15" s="1"/>
  <c r="L6" i="15" s="1"/>
  <c r="A3" i="15"/>
  <c r="A2" i="15"/>
  <c r="L1" i="15"/>
  <c r="B19" i="14" l="1"/>
  <c r="C19" i="14" s="1"/>
  <c r="D19" i="14" s="1"/>
  <c r="E19" i="14" s="1"/>
  <c r="F19" i="14" s="1"/>
  <c r="G19" i="14" s="1"/>
  <c r="H19" i="14" s="1"/>
  <c r="I19" i="14" s="1"/>
  <c r="B6" i="14"/>
  <c r="C6" i="14" s="1"/>
  <c r="D6" i="14" s="1"/>
  <c r="E6" i="14" s="1"/>
  <c r="F6" i="14" s="1"/>
  <c r="G6" i="14" s="1"/>
  <c r="H6" i="14" s="1"/>
  <c r="I6" i="14" s="1"/>
  <c r="A3" i="14"/>
  <c r="I1" i="14"/>
  <c r="A1" i="11" l="1"/>
  <c r="P13" i="10" l="1"/>
  <c r="J16" i="10"/>
  <c r="H16" i="10"/>
  <c r="H3" i="12"/>
  <c r="L3" i="15" s="1"/>
  <c r="I3" i="2"/>
  <c r="I3" i="14" s="1"/>
  <c r="R3" i="17" l="1"/>
  <c r="R3" i="18"/>
  <c r="I1" i="3"/>
  <c r="I3" i="3"/>
  <c r="B21" i="12"/>
  <c r="C21" i="12" s="1"/>
  <c r="D21" i="12" s="1"/>
  <c r="E21" i="12" s="1"/>
  <c r="F21" i="12" s="1"/>
  <c r="G21" i="12" s="1"/>
  <c r="H21" i="12" s="1"/>
  <c r="B7" i="12"/>
  <c r="C7" i="12" s="1"/>
  <c r="D7" i="12" s="1"/>
  <c r="E7" i="12" s="1"/>
  <c r="F7" i="12" s="1"/>
  <c r="G7" i="12" s="1"/>
  <c r="H7" i="12" s="1"/>
  <c r="B20" i="3" l="1"/>
  <c r="C20" i="3" s="1"/>
  <c r="D20" i="3" s="1"/>
  <c r="E20" i="3" s="1"/>
  <c r="F20" i="3" s="1"/>
  <c r="G20" i="3" s="1"/>
  <c r="H20" i="3" s="1"/>
  <c r="I20" i="3" s="1"/>
  <c r="P15" i="10" l="1"/>
  <c r="P14" i="10"/>
  <c r="C16" i="10" l="1"/>
  <c r="F13" i="10" s="1"/>
  <c r="F14" i="10" l="1"/>
  <c r="L14" i="10" s="1"/>
  <c r="N14" i="10" s="1"/>
  <c r="R14" i="10" s="1"/>
  <c r="C42" i="10" l="1"/>
  <c r="C28" i="10"/>
  <c r="F15" i="10"/>
  <c r="F16" i="10" s="1"/>
  <c r="L15" i="10"/>
  <c r="N15" i="10" s="1"/>
  <c r="R15" i="10" s="1"/>
  <c r="L13" i="10"/>
  <c r="C43" i="10" l="1"/>
  <c r="C29" i="10"/>
  <c r="L16" i="10"/>
  <c r="N13" i="10"/>
  <c r="N16" i="10" l="1"/>
  <c r="R13" i="10"/>
  <c r="C41" i="10" l="1"/>
  <c r="C27" i="10"/>
  <c r="R16" i="10"/>
  <c r="C30" i="10" s="1"/>
  <c r="F28" i="10" s="1"/>
  <c r="A22" i="2" l="1"/>
  <c r="B9" i="2"/>
  <c r="I10" i="15"/>
  <c r="A10" i="3"/>
  <c r="A9" i="14"/>
  <c r="F27" i="10"/>
  <c r="H27" i="10" s="1"/>
  <c r="H28" i="10"/>
  <c r="C44" i="10"/>
  <c r="B9" i="14" l="1"/>
  <c r="A10" i="12"/>
  <c r="A10" i="15" s="1"/>
  <c r="B10" i="3"/>
  <c r="A22" i="14"/>
  <c r="A24" i="3"/>
  <c r="B22" i="2"/>
  <c r="A11" i="3"/>
  <c r="A10" i="14"/>
  <c r="B10" i="2"/>
  <c r="A23" i="2"/>
  <c r="I11" i="15"/>
  <c r="B9" i="16"/>
  <c r="A32" i="16"/>
  <c r="A20" i="16"/>
  <c r="F29" i="10"/>
  <c r="F30" i="10" s="1"/>
  <c r="H29" i="10"/>
  <c r="F42" i="10"/>
  <c r="H42" i="10" s="1"/>
  <c r="F41" i="10"/>
  <c r="A12" i="3" l="1"/>
  <c r="A24" i="2"/>
  <c r="A11" i="14"/>
  <c r="B11" i="2"/>
  <c r="I12" i="15"/>
  <c r="B23" i="2"/>
  <c r="A23" i="14"/>
  <c r="A25" i="3"/>
  <c r="B22" i="14"/>
  <c r="B24" i="3"/>
  <c r="A24" i="12"/>
  <c r="A11" i="12"/>
  <c r="A11" i="15" s="1"/>
  <c r="B10" i="14"/>
  <c r="B11" i="3"/>
  <c r="B20" i="16"/>
  <c r="B32" i="16"/>
  <c r="B10" i="16"/>
  <c r="A21" i="16"/>
  <c r="A33" i="16"/>
  <c r="H41" i="10"/>
  <c r="H43" i="10" s="1"/>
  <c r="F43" i="10"/>
  <c r="F44" i="10" s="1"/>
  <c r="B25" i="3" l="1"/>
  <c r="A25" i="12"/>
  <c r="B23" i="14"/>
  <c r="B24" i="2"/>
  <c r="A24" i="14"/>
  <c r="A26" i="3"/>
  <c r="B12" i="2"/>
  <c r="A12" i="14"/>
  <c r="A25" i="2"/>
  <c r="A13" i="3"/>
  <c r="I13" i="15"/>
  <c r="B11" i="14"/>
  <c r="B12" i="3"/>
  <c r="A12" i="12"/>
  <c r="A12" i="15" s="1"/>
  <c r="A34" i="16"/>
  <c r="B11" i="16"/>
  <c r="A22" i="16"/>
  <c r="B21" i="16"/>
  <c r="B33" i="16"/>
  <c r="B13" i="3" l="1"/>
  <c r="B12" i="14"/>
  <c r="A13" i="12"/>
  <c r="A13" i="15" s="1"/>
  <c r="A26" i="12"/>
  <c r="B24" i="14"/>
  <c r="B26" i="3"/>
  <c r="A13" i="14"/>
  <c r="B13" i="2"/>
  <c r="I14" i="15"/>
  <c r="A14" i="3"/>
  <c r="A26" i="2"/>
  <c r="B25" i="2"/>
  <c r="A27" i="3"/>
  <c r="A25" i="14"/>
  <c r="B22" i="16"/>
  <c r="B34" i="16"/>
  <c r="A23" i="16"/>
  <c r="A35" i="16"/>
  <c r="B12" i="16"/>
  <c r="B26" i="2" l="1"/>
  <c r="A28" i="3"/>
  <c r="A26" i="14"/>
  <c r="B13" i="14"/>
  <c r="B14" i="3"/>
  <c r="A14" i="12"/>
  <c r="A14" i="15" s="1"/>
  <c r="B25" i="14"/>
  <c r="A27" i="12"/>
  <c r="B27" i="3"/>
  <c r="A15" i="3"/>
  <c r="A27" i="2"/>
  <c r="B14" i="2"/>
  <c r="A14" i="14"/>
  <c r="I15" i="15"/>
  <c r="B23" i="16"/>
  <c r="B35" i="16"/>
  <c r="A36" i="16"/>
  <c r="A24" i="16"/>
  <c r="B13" i="16"/>
  <c r="D10" i="12" l="1"/>
  <c r="F10" i="12" s="1"/>
  <c r="H10" i="12" s="1"/>
  <c r="B14" i="14"/>
  <c r="A15" i="12"/>
  <c r="A15" i="15" s="1"/>
  <c r="B15" i="3"/>
  <c r="B27" i="2"/>
  <c r="A29" i="3"/>
  <c r="A27" i="14"/>
  <c r="B26" i="14"/>
  <c r="A28" i="12"/>
  <c r="B28" i="3"/>
  <c r="B24" i="16"/>
  <c r="B36" i="16"/>
  <c r="A37" i="16"/>
  <c r="A25" i="16"/>
  <c r="B14" i="16"/>
  <c r="J22" i="13"/>
  <c r="D10" i="14" s="1"/>
  <c r="B19" i="2"/>
  <c r="C19" i="2" s="1"/>
  <c r="D19" i="2" s="1"/>
  <c r="E19" i="2" s="1"/>
  <c r="F19" i="2" s="1"/>
  <c r="G19" i="2" s="1"/>
  <c r="H19" i="2" s="1"/>
  <c r="I19" i="2" s="1"/>
  <c r="J23" i="13" l="1"/>
  <c r="D11" i="14" s="1"/>
  <c r="D11" i="12"/>
  <c r="D10" i="3"/>
  <c r="E9" i="14"/>
  <c r="G9" i="14" s="1"/>
  <c r="D24" i="12"/>
  <c r="B29" i="3"/>
  <c r="A29" i="12"/>
  <c r="B27" i="14"/>
  <c r="B25" i="16"/>
  <c r="B37" i="16"/>
  <c r="B6" i="2"/>
  <c r="C6" i="2" s="1"/>
  <c r="D6" i="2" s="1"/>
  <c r="E6" i="2" s="1"/>
  <c r="F6" i="2" s="1"/>
  <c r="G6" i="2" s="1"/>
  <c r="H6" i="2" s="1"/>
  <c r="I6" i="2" s="1"/>
  <c r="I9" i="14" l="1"/>
  <c r="D24" i="3"/>
  <c r="E24" i="3" s="1"/>
  <c r="F24" i="12"/>
  <c r="H24" i="12" s="1"/>
  <c r="F11" i="12"/>
  <c r="H11" i="12" s="1"/>
  <c r="D25" i="12"/>
  <c r="D12" i="12"/>
  <c r="B10" i="15" l="1"/>
  <c r="E10" i="15" s="1"/>
  <c r="D11" i="3"/>
  <c r="E10" i="14"/>
  <c r="G10" i="14" s="1"/>
  <c r="F25" i="12"/>
  <c r="H25" i="12" s="1"/>
  <c r="B11" i="15" s="1"/>
  <c r="E11" i="15" s="1"/>
  <c r="D26" i="12"/>
  <c r="G24" i="3"/>
  <c r="I24" i="3" s="1"/>
  <c r="E22" i="14"/>
  <c r="G22" i="14" s="1"/>
  <c r="F12" i="12"/>
  <c r="H12" i="12" s="1"/>
  <c r="L11" i="15" l="1"/>
  <c r="F33" i="16" s="1"/>
  <c r="L10" i="15"/>
  <c r="F32" i="16" s="1"/>
  <c r="I22" i="14"/>
  <c r="I10" i="14"/>
  <c r="F26" i="12"/>
  <c r="H26" i="12" s="1"/>
  <c r="B12" i="15" s="1"/>
  <c r="E12" i="15" s="1"/>
  <c r="D12" i="3"/>
  <c r="E11" i="14"/>
  <c r="G11" i="14" s="1"/>
  <c r="I11" i="14" s="1"/>
  <c r="D25" i="3"/>
  <c r="E25" i="3" s="1"/>
  <c r="G25" i="3" s="1"/>
  <c r="I25" i="3" s="1"/>
  <c r="F39" i="3" s="1"/>
  <c r="E23" i="14"/>
  <c r="G23" i="14" s="1"/>
  <c r="I23" i="14" s="1"/>
  <c r="F38" i="3"/>
  <c r="E32" i="16" l="1"/>
  <c r="D32" i="16" s="1"/>
  <c r="E33" i="16"/>
  <c r="D33" i="16" s="1"/>
  <c r="D26" i="3"/>
  <c r="E26" i="3" s="1"/>
  <c r="G26" i="3" s="1"/>
  <c r="E24" i="14"/>
  <c r="G24" i="14" s="1"/>
  <c r="L12" i="15"/>
  <c r="F34" i="16" s="1"/>
  <c r="R3" i="10"/>
  <c r="R3" i="11"/>
  <c r="I26" i="3" l="1"/>
  <c r="I24" i="14"/>
  <c r="E34" i="16" l="1"/>
  <c r="D34" i="16" s="1"/>
  <c r="F40" i="3"/>
  <c r="B40" i="3"/>
  <c r="C34" i="3"/>
  <c r="D34" i="3" s="1"/>
  <c r="E34" i="3" s="1"/>
  <c r="F34" i="3" s="1"/>
  <c r="G34" i="3" s="1"/>
  <c r="C43" i="3"/>
  <c r="B43" i="3"/>
  <c r="C42" i="3"/>
  <c r="B42" i="3"/>
  <c r="C41" i="3"/>
  <c r="B41" i="3"/>
  <c r="C40" i="3"/>
  <c r="C39" i="3"/>
  <c r="B39" i="3"/>
  <c r="C38" i="3"/>
  <c r="B38" i="3"/>
  <c r="B6" i="3"/>
  <c r="C6" i="3" s="1"/>
  <c r="D6" i="3" s="1"/>
  <c r="E6" i="3" s="1"/>
  <c r="F6" i="3" s="1"/>
  <c r="G6" i="3" s="1"/>
  <c r="H6" i="3" s="1"/>
  <c r="I6" i="3" s="1"/>
  <c r="D39" i="3" l="1"/>
  <c r="D40" i="3"/>
  <c r="D38" i="3" l="1"/>
  <c r="E12" i="3" l="1"/>
  <c r="G12" i="3" s="1"/>
  <c r="I12" i="3" s="1"/>
  <c r="E40" i="3" s="1"/>
  <c r="E11" i="3"/>
  <c r="G11" i="3" s="1"/>
  <c r="I11" i="3" s="1"/>
  <c r="E39" i="3" s="1"/>
  <c r="E10" i="3"/>
  <c r="G10" i="3" s="1"/>
  <c r="G40" i="3" l="1"/>
  <c r="G39" i="3"/>
  <c r="I10" i="3"/>
  <c r="E38" i="3" l="1"/>
  <c r="G38" i="3" l="1"/>
  <c r="J28" i="10"/>
  <c r="L28" i="10" s="1"/>
  <c r="J44" i="10"/>
  <c r="J27" i="10"/>
  <c r="J29" i="10" l="1"/>
  <c r="L29" i="10" s="1"/>
  <c r="L27" i="10"/>
  <c r="J41" i="10"/>
  <c r="L41" i="10" s="1"/>
  <c r="J42" i="10"/>
  <c r="L42" i="10" s="1"/>
  <c r="L30" i="10" l="1"/>
  <c r="N28" i="10" s="1"/>
  <c r="R28" i="10" s="1"/>
  <c r="J43" i="10"/>
  <c r="L43" i="10" s="1"/>
  <c r="L44" i="10" s="1"/>
  <c r="N27" i="10" l="1"/>
  <c r="N29" i="10" s="1"/>
  <c r="R29" i="10" s="1"/>
  <c r="N42" i="10"/>
  <c r="R42" i="10" s="1"/>
  <c r="N41" i="10"/>
  <c r="R27" i="10" l="1"/>
  <c r="R30" i="10" s="1"/>
  <c r="R31" i="10" s="1"/>
  <c r="J24" i="13" s="1"/>
  <c r="N30" i="10"/>
  <c r="R41" i="10"/>
  <c r="N43" i="10"/>
  <c r="R43" i="10" s="1"/>
  <c r="D13" i="12" l="1"/>
  <c r="F13" i="12" s="1"/>
  <c r="H13" i="12" s="1"/>
  <c r="D12" i="14"/>
  <c r="E12" i="14" s="1"/>
  <c r="G12" i="14" s="1"/>
  <c r="N24" i="13"/>
  <c r="D27" i="12" s="1"/>
  <c r="F27" i="12" s="1"/>
  <c r="H27" i="12" s="1"/>
  <c r="J25" i="13"/>
  <c r="D14" i="12" s="1"/>
  <c r="F14" i="12" s="1"/>
  <c r="H14" i="12" s="1"/>
  <c r="R44" i="10"/>
  <c r="R45" i="10" s="1"/>
  <c r="N44" i="10"/>
  <c r="N25" i="13" l="1"/>
  <c r="D28" i="12" s="1"/>
  <c r="F28" i="12" s="1"/>
  <c r="H28" i="12" s="1"/>
  <c r="B14" i="15" s="1"/>
  <c r="D13" i="3"/>
  <c r="E13" i="3" s="1"/>
  <c r="G13" i="3" s="1"/>
  <c r="I13" i="3" s="1"/>
  <c r="B13" i="15"/>
  <c r="E13" i="15" s="1"/>
  <c r="D13" i="14"/>
  <c r="E13" i="14" s="1"/>
  <c r="G13" i="14" s="1"/>
  <c r="I13" i="14" s="1"/>
  <c r="D25" i="14"/>
  <c r="J26" i="13"/>
  <c r="D15" i="12" s="1"/>
  <c r="F15" i="12" s="1"/>
  <c r="H15" i="12" s="1"/>
  <c r="I12" i="14"/>
  <c r="E14" i="15" l="1"/>
  <c r="L14" i="15" s="1"/>
  <c r="D42" i="3" s="1"/>
  <c r="D26" i="14"/>
  <c r="D28" i="3" s="1"/>
  <c r="E28" i="3" s="1"/>
  <c r="G28" i="3" s="1"/>
  <c r="I28" i="3" s="1"/>
  <c r="F42" i="3" s="1"/>
  <c r="N26" i="13"/>
  <c r="D27" i="14" s="1"/>
  <c r="E27" i="14" s="1"/>
  <c r="G27" i="14" s="1"/>
  <c r="I27" i="14" s="1"/>
  <c r="D14" i="3"/>
  <c r="E14" i="3" s="1"/>
  <c r="G14" i="3" s="1"/>
  <c r="I14" i="3" s="1"/>
  <c r="E42" i="3" s="1"/>
  <c r="E25" i="14"/>
  <c r="G25" i="14" s="1"/>
  <c r="I25" i="14" s="1"/>
  <c r="D27" i="3"/>
  <c r="E27" i="3" s="1"/>
  <c r="G27" i="3" s="1"/>
  <c r="I27" i="3" s="1"/>
  <c r="F41" i="3" s="1"/>
  <c r="D14" i="14"/>
  <c r="E14" i="14" s="1"/>
  <c r="G14" i="14" s="1"/>
  <c r="L13" i="15"/>
  <c r="E41" i="3"/>
  <c r="F36" i="16" l="1"/>
  <c r="E26" i="14"/>
  <c r="G26" i="14" s="1"/>
  <c r="I26" i="14" s="1"/>
  <c r="E36" i="16" s="1"/>
  <c r="D29" i="3"/>
  <c r="E29" i="3" s="1"/>
  <c r="G29" i="3" s="1"/>
  <c r="I29" i="3" s="1"/>
  <c r="F43" i="3" s="1"/>
  <c r="F44" i="3" s="1"/>
  <c r="E52" i="3" s="1"/>
  <c r="D29" i="12"/>
  <c r="F29" i="12" s="1"/>
  <c r="H29" i="12" s="1"/>
  <c r="B15" i="15" s="1"/>
  <c r="E15" i="15" s="1"/>
  <c r="E16" i="15" s="1"/>
  <c r="G42" i="3"/>
  <c r="D15" i="3"/>
  <c r="E15" i="3" s="1"/>
  <c r="G15" i="3" s="1"/>
  <c r="I15" i="3" s="1"/>
  <c r="E35" i="16"/>
  <c r="F35" i="16"/>
  <c r="D41" i="3"/>
  <c r="I14" i="14"/>
  <c r="G15" i="14"/>
  <c r="D36" i="16" l="1"/>
  <c r="I28" i="14"/>
  <c r="I30" i="3"/>
  <c r="G28" i="14"/>
  <c r="G30" i="3"/>
  <c r="G16" i="3"/>
  <c r="D35" i="16"/>
  <c r="E37" i="16"/>
  <c r="E38" i="16" s="1"/>
  <c r="I15" i="14"/>
  <c r="L15" i="15"/>
  <c r="G41" i="3"/>
  <c r="E43" i="3"/>
  <c r="E44" i="3" s="1"/>
  <c r="E51" i="3" s="1"/>
  <c r="I16" i="3"/>
  <c r="F37" i="16" l="1"/>
  <c r="D43" i="3"/>
  <c r="L16" i="15"/>
  <c r="D37" i="16" l="1"/>
  <c r="D38" i="16" s="1"/>
  <c r="F38" i="16"/>
  <c r="G43" i="3"/>
  <c r="G44" i="3" s="1"/>
  <c r="E53" i="3" s="1"/>
  <c r="F55" i="3" s="1"/>
  <c r="D44" i="3"/>
  <c r="F49" i="3" s="1"/>
  <c r="F57" i="3" l="1"/>
</calcChain>
</file>

<file path=xl/sharedStrings.xml><?xml version="1.0" encoding="utf-8"?>
<sst xmlns="http://schemas.openxmlformats.org/spreadsheetml/2006/main" count="727" uniqueCount="281">
  <si>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</si>
  <si>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</si>
  <si>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</si>
  <si>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</si>
  <si>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</si>
  <si>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</si>
  <si>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</si>
  <si>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</si>
  <si>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</si>
  <si>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</si>
  <si>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</si>
  <si>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</si>
  <si>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</si>
  <si>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</si>
  <si>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</si>
  <si>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</si>
  <si>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</si>
  <si>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</si>
  <si>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</si>
  <si>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</si>
  <si>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</si>
  <si>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</si>
  <si>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</si>
  <si>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</si>
  <si>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</si>
  <si>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</si>
  <si>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</si>
  <si>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</si>
  <si>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</si>
  <si>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</si>
  <si>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</si>
  <si>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</si>
  <si>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</si>
  <si>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</si>
  <si>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</si>
  <si>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</si>
  <si>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</si>
  <si>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</si>
  <si>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</si>
  <si>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</si>
  <si>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</si>
  <si>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</si>
  <si>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</si>
  <si>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</si>
  <si>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</si>
  <si>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</si>
  <si>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</si>
  <si>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</si>
  <si>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</si>
  <si>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</si>
  <si>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</si>
  <si>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</si>
  <si>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</si>
  <si>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</si>
  <si>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</si>
  <si>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</si>
  <si>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</si>
  <si>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</si>
  <si>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</si>
  <si>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</si>
  <si>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</si>
  <si>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</si>
  <si>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</si>
  <si>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</si>
  <si>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</si>
  <si>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</si>
  <si>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</si>
  <si>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</si>
  <si>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</si>
  <si>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</si>
  <si>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</si>
  <si>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</si>
  <si>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</si>
  <si>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</si>
  <si>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</si>
  <si>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</si>
  <si>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</si>
  <si>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</si>
  <si>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</si>
  <si>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</si>
  <si>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</si>
  <si>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</si>
  <si>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</si>
  <si>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</si>
  <si>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</si>
  <si>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</si>
  <si>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</si>
  <si>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</si>
  <si>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</si>
  <si>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</si>
  <si>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</si>
  <si>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</si>
  <si>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</si>
  <si>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</si>
  <si>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</si>
  <si>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</si>
  <si>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Total for 6 months</t>
  </si>
  <si>
    <t>Rahn</t>
  </si>
  <si>
    <t>2016 ECR Plans</t>
  </si>
  <si>
    <t>2016 ECR Plans     ES  Form 2.00</t>
  </si>
  <si>
    <t>PRE-2016 ECR PLANS</t>
  </si>
  <si>
    <t>2016 ECR PLANS</t>
  </si>
  <si>
    <t>(5)-(4)</t>
  </si>
  <si>
    <t>(3) * (6)  / 12</t>
  </si>
  <si>
    <t>ES  Form 2.00</t>
  </si>
  <si>
    <t>(2) / 12</t>
  </si>
  <si>
    <t>Page 1 Col (8)     Pre-2016 ECR Plans; 2016 ECR Plans</t>
  </si>
  <si>
    <t>Adjusted Electric Rate of Return on Common Equity - Pre-2016 ECR Plans</t>
  </si>
  <si>
    <t>Adjusted Electric Rate of Return on Common Equity - 2016 ECR Plans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</si>
  <si>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</si>
  <si>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</si>
  <si>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</si>
  <si>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</si>
  <si>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</si>
  <si>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</si>
  <si>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</si>
  <si>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</si>
  <si>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</si>
  <si>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</si>
  <si>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</si>
  <si>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</si>
  <si>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</si>
  <si>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</si>
  <si>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*</t>
  </si>
  <si>
    <t>a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</si>
  <si>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</si>
  <si>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</si>
  <si>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</si>
  <si>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</si>
  <si>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</si>
  <si>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</si>
  <si>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</si>
  <si>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</si>
  <si>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</si>
  <si>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</si>
  <si>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Called Bonds</t>
  </si>
  <si>
    <t>Total Pollution Control Bond Debt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</si>
  <si>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</si>
  <si>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</si>
  <si>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</si>
  <si>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</si>
  <si>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</si>
  <si>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</si>
  <si>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</si>
  <si>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</si>
  <si>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</si>
  <si>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</si>
  <si>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</si>
  <si>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b</t>
  </si>
  <si>
    <t>Letter of Credit Facility</t>
  </si>
  <si>
    <t>Total First Mortgage Bond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</si>
  <si>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</si>
  <si>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</si>
  <si>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</si>
  <si>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</si>
  <si>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</si>
  <si>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</si>
  <si>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</si>
  <si>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</si>
  <si>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</si>
  <si>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</si>
  <si>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</si>
  <si>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</si>
  <si>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</si>
  <si>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a - Remarketing fee = 10 basis points</t>
  </si>
  <si>
    <t>b - Revolving Credit Facility fee = 10 basis points</t>
  </si>
  <si>
    <t>ROR True-up (Pre-2016 Plans)</t>
  </si>
  <si>
    <t>ROR True-up (2016 Plans)</t>
  </si>
  <si>
    <t>Due to Change in ROR in (Pre-2016 Plans)</t>
  </si>
  <si>
    <t>Due to Change in ROR in (2016 Plans)</t>
  </si>
  <si>
    <t xml:space="preserve">Adjusted Electric Rate of Return on Common Equity </t>
  </si>
  <si>
    <t>Kentucky Jurisdictional Capitalization</t>
  </si>
  <si>
    <t>Rahn/Metts</t>
  </si>
  <si>
    <t>Pre-2016 Plan</t>
  </si>
  <si>
    <t>2016 Plan</t>
  </si>
  <si>
    <t>Period #4</t>
  </si>
  <si>
    <t xml:space="preserve">Common Equity:  </t>
  </si>
  <si>
    <t xml:space="preserve">First Billing Month:  </t>
  </si>
  <si>
    <t>Company :</t>
  </si>
  <si>
    <t>Witnesse(s):  (Q1)</t>
  </si>
  <si>
    <t>Witnesse(s):  (Q2)</t>
  </si>
  <si>
    <t xml:space="preserve">EEI Total Capitalization: </t>
  </si>
  <si>
    <t xml:space="preserve">Investments in OVEC and Other: </t>
  </si>
  <si>
    <t xml:space="preserve">Jurisdictional Rate base %: 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</si>
  <si>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</si>
  <si>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</si>
  <si>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</si>
  <si>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</si>
  <si>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</si>
  <si>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 xml:space="preserve">DSM Common Equity: 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</si>
  <si>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</si>
  <si>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</si>
  <si>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</si>
  <si>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</si>
  <si>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</si>
  <si>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</si>
  <si>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</si>
  <si>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</si>
  <si>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</si>
  <si>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</si>
  <si>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</si>
  <si>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</si>
  <si>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</si>
  <si>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</si>
  <si>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</si>
  <si>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</si>
  <si>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</si>
  <si>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</si>
  <si>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</si>
  <si>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</si>
  <si>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</si>
  <si>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</si>
  <si>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</si>
  <si>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</si>
  <si>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</si>
  <si>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</si>
  <si>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</si>
  <si>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</si>
  <si>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</si>
  <si>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</si>
  <si>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</si>
  <si>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</si>
  <si>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</si>
  <si>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</si>
  <si>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</si>
  <si>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</si>
  <si>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</si>
  <si>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2.  Actual Revenues Subject to ECR Surcharge are taken from monthly filings on ES Form 3.00 Column 8 for Group 1 and Column 9 for Group 2.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</si>
  <si>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</si>
  <si>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</si>
  <si>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</si>
  <si>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</si>
  <si>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</si>
  <si>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</si>
  <si>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t>Case No. 2018-00051</t>
  </si>
  <si>
    <t>As of August 31,2017</t>
  </si>
  <si>
    <t>08-31-17</t>
  </si>
  <si>
    <r>
      <t>LONG-TERM DEBT</t>
    </r>
    <r>
      <rPr>
        <b/>
        <sz val="16"/>
        <rFont val="Arial"/>
        <family val="2"/>
      </rPr>
      <t xml:space="preserve"> </t>
    </r>
  </si>
  <si>
    <t xml:space="preserve"> Issuance Exp./Discount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</si>
  <si>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</si>
  <si>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</si>
  <si>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</si>
  <si>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</si>
  <si>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</si>
  <si>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</si>
  <si>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</si>
  <si>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</si>
  <si>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t>As of May 31, 2017</t>
  </si>
  <si>
    <t>05-31-17</t>
  </si>
  <si>
    <r>
      <t>LONG-TERM DEBT</t>
    </r>
    <r>
      <rPr>
        <b/>
        <sz val="12"/>
        <rFont val="Arial"/>
        <family val="2"/>
      </rPr>
      <t xml:space="preserve"> </t>
    </r>
  </si>
  <si>
    <t>Summary Schedule for Expense Months March 2017 through August 2017</t>
  </si>
  <si>
    <t>Page 4 of 4</t>
  </si>
  <si>
    <t>2016 ECR Plans        (2) / 12</t>
  </si>
  <si>
    <t>Detailed Variances for Expense Months March 2017 through August 2017</t>
  </si>
  <si>
    <t>Prior Period Adjustments (as Filed)</t>
  </si>
  <si>
    <t>Prior Period Adustments (as Filed)</t>
  </si>
  <si>
    <t>ES Form 1.10 , Line 12</t>
  </si>
  <si>
    <t>(2) + (3) + (4)</t>
  </si>
  <si>
    <t>(8) + (10) + (11) - (5)</t>
  </si>
  <si>
    <t>ES Form 1.10, Line 11</t>
  </si>
  <si>
    <t>ES Form 1.10, Line 12</t>
  </si>
  <si>
    <t>(25) + (26) Combined 12 Month Avg Rev</t>
  </si>
  <si>
    <t>(27) + (28) Combined Bill Revenue</t>
  </si>
  <si>
    <t>Page 1 of 6</t>
  </si>
  <si>
    <t>Page 2 of 6</t>
  </si>
  <si>
    <t>Page 3 of 6</t>
  </si>
  <si>
    <t>Page 4 of 6</t>
  </si>
  <si>
    <t>Page 5 of 6</t>
  </si>
  <si>
    <t>Page 6 of 6</t>
  </si>
  <si>
    <t>6.  Combined Total Over/(Under) Recovery were provided in the Initial Request for Information Response to Question No. 2, page 2 of 4, column 12.</t>
  </si>
  <si>
    <t>4.  Expense month March 2017 represents a higher revenue variance due to the difference between the 12-month average revenue and the revenue used for billing. Expense month June 2017 represents a higher revenue variance due to the correction filed July 21, 2017 reflecting the prior period adjustment from the ECR 6-month review Case No. 2016-00437.</t>
  </si>
  <si>
    <t>1.  12-Month Average Revenues were provided in the Direct Testimony of Derek A. Rahn on page 6 and consisted of Group 1 and Group 2 combined.</t>
  </si>
  <si>
    <t xml:space="preserve">3.  Billing Factors were provided in the Initial Request for Information Response to Question No. 2, page 2 of 4, columns 6 and 7. </t>
  </si>
  <si>
    <t>5.  Rate of Return True-up was provided in the Initial Request for Information Response to Question No. 1, page 2 of 6, column 9.</t>
  </si>
  <si>
    <t>March 1, 2017 - May 31, 2017</t>
  </si>
  <si>
    <t>March 1, 2017 - August 31, 2017</t>
  </si>
  <si>
    <r>
      <t xml:space="preserve">1   </t>
    </r>
    <r>
      <rPr>
        <sz val="12"/>
        <rFont val="Arial"/>
        <family val="2"/>
      </rPr>
      <t>Includes setup fees for Credit Facility amended January 27, 2017 with a term ending January 27, 2022.</t>
    </r>
  </si>
  <si>
    <t>Corrected Attachment to Response to Question No. 2</t>
  </si>
  <si>
    <t>Corrected Attachment to Response to Question No. 1</t>
  </si>
  <si>
    <t>Overall Rate of Return Adjustment - Corrected Rate Base</t>
  </si>
  <si>
    <t>Overall Corrected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</si>
</sst>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_(&quot;$&quot;* #,##0.00_);_(&quot;$&quot;* \(#,##0.00\);_(&quot;$&quot;* &quot;0&quot;_);_(@_)"/>
    <numFmt numFmtId="183" formatCode="&quot;$&quot;#,##0"/>
    <numFmt numFmtId="184" formatCode="0.0%"/>
    <numFmt numFmtId="185" formatCode="[$-409]mmmm\-yy;@"/>
  </numFmts>
  <fonts count="10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651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43" fontId="72" fillId="0" borderId="0" xfId="11027" applyFont="1" applyAlignment="1">
      <alignment horizontal="center"/>
    </xf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37" fontId="70" fillId="0" borderId="1" xfId="57515" applyFont="1" applyBorder="1" applyAlignment="1">
      <alignment horizontal="center"/>
    </xf>
    <xf numFmtId="37" fontId="70" fillId="0" borderId="1" xfId="57515" applyFont="1" applyFill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6" fontId="70" fillId="0" borderId="34" xfId="12007" applyNumberFormat="1" applyFont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66" fontId="70" fillId="0" borderId="0" xfId="12007" applyNumberFormat="1" applyFont="1" applyFill="1" applyBorder="1" applyAlignment="1">
      <alignment horizontal="center"/>
    </xf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68" fontId="73" fillId="0" borderId="0" xfId="45409" applyNumberFormat="1" applyFont="1" applyBorder="1"/>
    <xf numFmtId="10" fontId="70" fillId="0" borderId="0" xfId="45409" applyNumberFormat="1" applyFont="1" applyBorder="1"/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37" fontId="68" fillId="51" borderId="0" xfId="57515" quotePrefix="1" applyFill="1" applyAlignment="1"/>
    <xf numFmtId="168" fontId="70" fillId="0" borderId="34" xfId="45409" applyNumberFormat="1" applyFont="1" applyFill="1" applyBorder="1"/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right" wrapText="1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7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6" fontId="75" fillId="0" borderId="0" xfId="1" applyNumberFormat="1" applyFont="1" applyFill="1" applyBorder="1"/>
    <xf numFmtId="41" fontId="75" fillId="0" borderId="7" xfId="0" applyNumberFormat="1" applyFont="1" applyFill="1" applyBorder="1"/>
    <xf numFmtId="165" fontId="75" fillId="0" borderId="0" xfId="0" applyNumberFormat="1" applyFont="1" applyFill="1"/>
    <xf numFmtId="37" fontId="75" fillId="0" borderId="0" xfId="1" applyNumberFormat="1" applyFont="1" applyFill="1" applyBorder="1"/>
    <xf numFmtId="177" fontId="75" fillId="0" borderId="0" xfId="2" applyNumberFormat="1" applyFont="1" applyFill="1" applyBorder="1"/>
    <xf numFmtId="0" fontId="75" fillId="0" borderId="0" xfId="0" applyFont="1" applyFill="1" applyBorder="1"/>
    <xf numFmtId="177" fontId="75" fillId="0" borderId="7" xfId="2" applyNumberFormat="1" applyFont="1" applyFill="1" applyBorder="1"/>
    <xf numFmtId="0" fontId="75" fillId="0" borderId="6" xfId="0" applyFont="1" applyFill="1" applyBorder="1"/>
    <xf numFmtId="166" fontId="75" fillId="0" borderId="2" xfId="2" applyNumberFormat="1" applyFont="1" applyFill="1" applyBorder="1"/>
    <xf numFmtId="177" fontId="75" fillId="0" borderId="0" xfId="0" applyNumberFormat="1" applyFont="1" applyFill="1" applyBorder="1"/>
    <xf numFmtId="39" fontId="75" fillId="0" borderId="0" xfId="0" applyNumberFormat="1" applyFont="1" applyFill="1"/>
    <xf numFmtId="0" fontId="75" fillId="0" borderId="0" xfId="1" applyNumberFormat="1" applyFont="1" applyFill="1"/>
    <xf numFmtId="0" fontId="75" fillId="0" borderId="11" xfId="0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43" fontId="75" fillId="0" borderId="12" xfId="0" applyNumberFormat="1" applyFont="1" applyFill="1" applyBorder="1"/>
    <xf numFmtId="4" fontId="77" fillId="0" borderId="12" xfId="0" quotePrefix="1" applyNumberFormat="1" applyFont="1" applyFill="1" applyBorder="1"/>
    <xf numFmtId="166" fontId="75" fillId="0" borderId="7" xfId="0" applyNumberFormat="1" applyFont="1" applyFill="1" applyBorder="1"/>
    <xf numFmtId="165" fontId="75" fillId="0" borderId="7" xfId="1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77" fontId="75" fillId="0" borderId="1" xfId="0" applyNumberFormat="1" applyFont="1" applyFill="1" applyBorder="1"/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177" fontId="4" fillId="0" borderId="1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5" fillId="0" borderId="12" xfId="0" applyNumberFormat="1" applyFont="1" applyFill="1" applyBorder="1"/>
    <xf numFmtId="0" fontId="75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8" fillId="0" borderId="6" xfId="0" applyNumberFormat="1" applyFont="1" applyFill="1" applyBorder="1" applyAlignment="1">
      <alignment horizontal="center"/>
    </xf>
    <xf numFmtId="0" fontId="78" fillId="0" borderId="11" xfId="0" applyFont="1" applyFill="1" applyBorder="1"/>
    <xf numFmtId="10" fontId="78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0" fontId="70" fillId="0" borderId="0" xfId="57515" applyNumberFormat="1" applyFont="1" applyBorder="1" applyAlignment="1">
      <alignment horizontal="center"/>
    </xf>
    <xf numFmtId="37" fontId="70" fillId="0" borderId="7" xfId="57515" applyFont="1" applyBorder="1"/>
    <xf numFmtId="37" fontId="70" fillId="0" borderId="7" xfId="57515" applyFont="1" applyBorder="1" applyAlignment="1">
      <alignment horizontal="center"/>
    </xf>
    <xf numFmtId="37" fontId="70" fillId="0" borderId="0" xfId="57515" applyFont="1" applyFill="1" applyBorder="1" applyAlignment="1">
      <alignment horizontal="center"/>
    </xf>
    <xf numFmtId="37" fontId="71" fillId="0" borderId="6" xfId="57515" applyFont="1" applyBorder="1"/>
    <xf numFmtId="37" fontId="6" fillId="0" borderId="0" xfId="57515" quotePrefix="1" applyFont="1" applyFill="1" applyBorder="1" applyAlignment="1">
      <alignment horizontal="center"/>
    </xf>
    <xf numFmtId="37" fontId="6" fillId="0" borderId="7" xfId="57515" quotePrefix="1" applyFont="1" applyBorder="1" applyAlignment="1">
      <alignment horizontal="center"/>
    </xf>
    <xf numFmtId="37" fontId="69" fillId="0" borderId="6" xfId="57515" applyFont="1" applyBorder="1"/>
    <xf numFmtId="37" fontId="70" fillId="0" borderId="8" xfId="57515" applyFont="1" applyBorder="1" applyAlignment="1">
      <alignment horizontal="center"/>
    </xf>
    <xf numFmtId="37" fontId="70" fillId="0" borderId="6" xfId="57515" quotePrefix="1" applyFont="1" applyBorder="1" applyAlignment="1">
      <alignment horizontal="left"/>
    </xf>
    <xf numFmtId="10" fontId="70" fillId="0" borderId="0" xfId="45409" applyNumberFormat="1" applyFont="1" applyFill="1" applyBorder="1" applyAlignment="1">
      <alignment horizontal="center"/>
    </xf>
    <xf numFmtId="10" fontId="70" fillId="0" borderId="7" xfId="45409" applyNumberFormat="1" applyFont="1" applyFill="1" applyBorder="1" applyAlignment="1">
      <alignment horizontal="center"/>
    </xf>
    <xf numFmtId="10" fontId="70" fillId="0" borderId="44" xfId="45409" quotePrefix="1" applyNumberFormat="1" applyFont="1" applyFill="1" applyBorder="1" applyAlignment="1">
      <alignment horizontal="center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37" fontId="6" fillId="0" borderId="0" xfId="57515" quotePrefix="1" applyFont="1" applyBorder="1" applyAlignment="1">
      <alignment horizontal="center"/>
    </xf>
    <xf numFmtId="37" fontId="6" fillId="0" borderId="7" xfId="57515" quotePrefix="1" applyFont="1" applyFill="1" applyBorder="1" applyAlignment="1">
      <alignment horizontal="center"/>
    </xf>
    <xf numFmtId="37" fontId="70" fillId="0" borderId="0" xfId="57515" quotePrefix="1" applyFont="1" applyBorder="1"/>
    <xf numFmtId="166" fontId="70" fillId="0" borderId="7" xfId="12007" applyNumberFormat="1" applyFont="1" applyFill="1" applyBorder="1"/>
    <xf numFmtId="165" fontId="70" fillId="0" borderId="0" xfId="11027" applyNumberFormat="1" applyFont="1" applyFill="1" applyBorder="1"/>
    <xf numFmtId="10" fontId="70" fillId="0" borderId="0" xfId="45409" applyNumberFormat="1" applyFont="1" applyBorder="1" applyAlignment="1">
      <alignment horizontal="center"/>
    </xf>
    <xf numFmtId="37" fontId="70" fillId="0" borderId="7" xfId="57515" applyFont="1" applyFill="1" applyBorder="1"/>
    <xf numFmtId="166" fontId="70" fillId="0" borderId="44" xfId="12007" applyNumberFormat="1" applyFont="1" applyFill="1" applyBorder="1"/>
    <xf numFmtId="37" fontId="71" fillId="0" borderId="6" xfId="57515" applyFont="1" applyFill="1" applyBorder="1" applyAlignment="1">
      <alignment horizontal="center"/>
    </xf>
    <xf numFmtId="37" fontId="71" fillId="0" borderId="0" xfId="57515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7" xfId="57515" applyFont="1" applyBorder="1" applyAlignment="1">
      <alignment horizontal="center"/>
    </xf>
    <xf numFmtId="37" fontId="71" fillId="0" borderId="6" xfId="57515" applyFont="1" applyFill="1" applyBorder="1" applyAlignment="1">
      <alignment horizontal="centerContinuous"/>
    </xf>
    <xf numFmtId="37" fontId="71" fillId="0" borderId="0" xfId="57515" applyFont="1" applyFill="1" applyBorder="1" applyAlignment="1">
      <alignment horizontal="centerContinuous"/>
    </xf>
    <xf numFmtId="37" fontId="71" fillId="0" borderId="0" xfId="57515" applyFont="1" applyBorder="1" applyAlignment="1">
      <alignment horizontal="centerContinuous"/>
    </xf>
    <xf numFmtId="37" fontId="71" fillId="0" borderId="7" xfId="57515" applyFont="1" applyBorder="1" applyAlignment="1">
      <alignment horizontal="centerContinuous"/>
    </xf>
    <xf numFmtId="37" fontId="80" fillId="0" borderId="0" xfId="57516" applyFont="1" applyFill="1" applyBorder="1"/>
    <xf numFmtId="0" fontId="81" fillId="0" borderId="0" xfId="0" applyFont="1" applyFill="1"/>
    <xf numFmtId="166" fontId="79" fillId="0" borderId="0" xfId="12007" applyNumberFormat="1" applyFont="1" applyFill="1" applyBorder="1"/>
    <xf numFmtId="165" fontId="79" fillId="0" borderId="0" xfId="11027" applyNumberFormat="1" applyFont="1" applyFill="1" applyBorder="1"/>
    <xf numFmtId="37" fontId="70" fillId="0" borderId="1" xfId="57515" applyFont="1" applyFill="1" applyBorder="1"/>
    <xf numFmtId="10" fontId="70" fillId="0" borderId="1" xfId="45409" applyNumberFormat="1" applyFont="1" applyFill="1" applyBorder="1"/>
    <xf numFmtId="165" fontId="70" fillId="0" borderId="1" xfId="11027" applyNumberFormat="1" applyFont="1" applyFill="1" applyBorder="1" applyAlignment="1">
      <alignment horizontal="center"/>
    </xf>
    <xf numFmtId="10" fontId="70" fillId="0" borderId="8" xfId="45409" applyNumberFormat="1" applyFont="1" applyFill="1" applyBorder="1" applyAlignment="1">
      <alignment horizontal="center"/>
    </xf>
    <xf numFmtId="10" fontId="70" fillId="0" borderId="45" xfId="45409" quotePrefix="1" applyNumberFormat="1" applyFont="1" applyFill="1" applyBorder="1" applyAlignment="1">
      <alignment horizontal="center"/>
    </xf>
    <xf numFmtId="37" fontId="71" fillId="0" borderId="6" xfId="57515" applyFont="1" applyBorder="1" applyAlignment="1">
      <alignment horizontal="center"/>
    </xf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6" fontId="0" fillId="0" borderId="7" xfId="0" applyNumberFormat="1" applyFill="1" applyBorder="1"/>
    <xf numFmtId="176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7" fontId="4" fillId="0" borderId="0" xfId="5" applyNumberFormat="1" applyFont="1" applyFill="1" applyBorder="1"/>
    <xf numFmtId="176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37" fontId="70" fillId="0" borderId="11" xfId="57515" quotePrefix="1" applyFont="1" applyBorder="1" applyAlignment="1">
      <alignment horizontal="left"/>
    </xf>
    <xf numFmtId="10" fontId="69" fillId="0" borderId="13" xfId="45409" applyNumberFormat="1" applyFont="1" applyFill="1" applyBorder="1" applyAlignment="1">
      <alignment horizontal="center"/>
    </xf>
    <xf numFmtId="0" fontId="83" fillId="0" borderId="6" xfId="0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 wrapText="1"/>
    </xf>
    <xf numFmtId="0" fontId="83" fillId="0" borderId="7" xfId="0" applyFont="1" applyFill="1" applyBorder="1" applyAlignment="1">
      <alignment horizontal="center" wrapText="1"/>
    </xf>
    <xf numFmtId="0" fontId="83" fillId="0" borderId="0" xfId="0" quotePrefix="1" applyFont="1" applyFill="1" applyBorder="1" applyAlignment="1">
      <alignment horizontal="center" wrapText="1"/>
    </xf>
    <xf numFmtId="0" fontId="83" fillId="0" borderId="7" xfId="0" quotePrefix="1" applyFont="1" applyFill="1" applyBorder="1" applyAlignment="1">
      <alignment horizontal="center" wrapText="1"/>
    </xf>
    <xf numFmtId="0" fontId="83" fillId="0" borderId="0" xfId="0" applyFont="1" applyFill="1" applyAlignment="1">
      <alignment horizontal="center" wrapText="1"/>
    </xf>
    <xf numFmtId="0" fontId="83" fillId="0" borderId="0" xfId="0" applyFont="1" applyFill="1"/>
    <xf numFmtId="0" fontId="78" fillId="0" borderId="0" xfId="0" applyFont="1"/>
    <xf numFmtId="0" fontId="78" fillId="0" borderId="0" xfId="0" quotePrefix="1" applyFont="1" applyAlignment="1">
      <alignment horizontal="left"/>
    </xf>
    <xf numFmtId="17" fontId="78" fillId="0" borderId="0" xfId="0" applyNumberFormat="1" applyFont="1" applyAlignment="1">
      <alignment horizontal="left"/>
    </xf>
    <xf numFmtId="166" fontId="75" fillId="0" borderId="0" xfId="2" applyNumberFormat="1" applyFont="1" applyFill="1" applyBorder="1" applyAlignment="1">
      <alignment horizontal="center"/>
    </xf>
    <xf numFmtId="41" fontId="75" fillId="0" borderId="0" xfId="2" applyNumberFormat="1" applyFont="1" applyFill="1" applyBorder="1" applyAlignment="1">
      <alignment horizontal="center"/>
    </xf>
    <xf numFmtId="42" fontId="78" fillId="53" borderId="4" xfId="1" applyNumberFormat="1" applyFont="1" applyFill="1" applyBorder="1"/>
    <xf numFmtId="165" fontId="78" fillId="53" borderId="0" xfId="1" applyNumberFormat="1" applyFont="1" applyFill="1" applyBorder="1"/>
    <xf numFmtId="165" fontId="78" fillId="53" borderId="12" xfId="1" applyNumberFormat="1" applyFont="1" applyFill="1" applyBorder="1"/>
    <xf numFmtId="42" fontId="75" fillId="0" borderId="0" xfId="2" applyNumberFormat="1" applyFont="1" applyFill="1" applyBorder="1" applyAlignment="1">
      <alignment horizontal="center"/>
    </xf>
    <xf numFmtId="41" fontId="75" fillId="0" borderId="0" xfId="3" applyNumberFormat="1" applyFont="1" applyFill="1" applyBorder="1" applyAlignment="1">
      <alignment horizontal="center"/>
    </xf>
    <xf numFmtId="0" fontId="83" fillId="0" borderId="11" xfId="0" applyFont="1" applyFill="1" applyBorder="1" applyAlignment="1">
      <alignment horizontal="center" wrapText="1"/>
    </xf>
    <xf numFmtId="0" fontId="83" fillId="53" borderId="12" xfId="0" applyFont="1" applyFill="1" applyBorder="1" applyAlignment="1">
      <alignment horizontal="center" wrapText="1"/>
    </xf>
    <xf numFmtId="37" fontId="80" fillId="0" borderId="0" xfId="57515" applyFont="1" applyFill="1" applyBorder="1"/>
    <xf numFmtId="166" fontId="80" fillId="0" borderId="34" xfId="12007" applyNumberFormat="1" applyFont="1" applyFill="1" applyBorder="1"/>
    <xf numFmtId="166" fontId="80" fillId="54" borderId="34" xfId="12007" applyNumberFormat="1" applyFont="1" applyFill="1" applyBorder="1"/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80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1" xfId="24280" applyFont="1" applyFill="1" applyBorder="1" applyAlignment="1">
      <alignment horizontal="center"/>
    </xf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84" fillId="0" borderId="0" xfId="24280" applyFont="1" applyFill="1"/>
    <xf numFmtId="43" fontId="70" fillId="0" borderId="0" xfId="11027" applyFont="1" applyFill="1"/>
    <xf numFmtId="165" fontId="70" fillId="0" borderId="0" xfId="24280" applyNumberFormat="1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8" fontId="70" fillId="0" borderId="0" xfId="24280" applyNumberFormat="1" applyFont="1" applyFill="1"/>
    <xf numFmtId="0" fontId="70" fillId="0" borderId="0" xfId="24280" applyFont="1" applyFill="1" applyAlignment="1"/>
    <xf numFmtId="168" fontId="70" fillId="0" borderId="0" xfId="24280" applyNumberFormat="1" applyFont="1" applyFill="1"/>
    <xf numFmtId="0" fontId="0" fillId="0" borderId="0" xfId="0" applyFill="1"/>
    <xf numFmtId="0" fontId="0" fillId="0" borderId="0" xfId="0" applyFill="1" applyBorder="1"/>
    <xf numFmtId="166" fontId="78" fillId="0" borderId="0" xfId="12007" applyNumberFormat="1" applyFont="1" applyFill="1" applyBorder="1"/>
    <xf numFmtId="37" fontId="75" fillId="0" borderId="0" xfId="1" applyNumberFormat="1" applyFont="1" applyAlignment="1">
      <alignment horizontal="right"/>
    </xf>
    <xf numFmtId="0" fontId="5" fillId="0" borderId="0" xfId="24280" applyFont="1" applyFill="1" applyBorder="1" applyAlignment="1">
      <alignment horizontal="left"/>
    </xf>
    <xf numFmtId="17" fontId="85" fillId="0" borderId="6" xfId="0" applyNumberFormat="1" applyFont="1" applyBorder="1" applyAlignment="1">
      <alignment vertical="center"/>
    </xf>
    <xf numFmtId="17" fontId="85" fillId="0" borderId="11" xfId="0" applyNumberFormat="1" applyFont="1" applyBorder="1" applyAlignment="1">
      <alignment vertical="center"/>
    </xf>
    <xf numFmtId="17" fontId="0" fillId="0" borderId="0" xfId="0" applyNumberFormat="1"/>
    <xf numFmtId="0" fontId="75" fillId="0" borderId="12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17" fontId="79" fillId="0" borderId="6" xfId="0" quotePrefix="1" applyNumberFormat="1" applyFont="1" applyBorder="1" applyAlignment="1">
      <alignment horizontal="center" vertical="center"/>
    </xf>
    <xf numFmtId="0" fontId="75" fillId="0" borderId="0" xfId="0" applyFont="1" applyFill="1" applyAlignment="1">
      <alignment horizontal="left"/>
    </xf>
    <xf numFmtId="182" fontId="75" fillId="0" borderId="0" xfId="1" applyNumberFormat="1" applyFont="1" applyFill="1" applyBorder="1"/>
    <xf numFmtId="182" fontId="75" fillId="0" borderId="7" xfId="2" applyNumberFormat="1" applyFont="1" applyFill="1" applyBorder="1"/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9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5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wrapText="1"/>
    </xf>
    <xf numFmtId="0" fontId="75" fillId="0" borderId="13" xfId="0" applyFont="1" applyFill="1" applyBorder="1" applyAlignment="1">
      <alignment horizont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3" fillId="0" borderId="5" xfId="0" quotePrefix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53" borderId="4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83" fillId="0" borderId="4" xfId="0" quotePrefix="1" applyFont="1" applyFill="1" applyBorder="1" applyAlignment="1">
      <alignment horizontal="center" vertical="center" wrapText="1"/>
    </xf>
    <xf numFmtId="0" fontId="5" fillId="53" borderId="47" xfId="0" applyFont="1" applyFill="1" applyBorder="1" applyAlignment="1"/>
    <xf numFmtId="0" fontId="87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8" fillId="0" borderId="0" xfId="0" quotePrefix="1" applyFont="1" applyAlignment="1">
      <alignment horizontal="center" vertical="center" textRotation="180" wrapText="1"/>
    </xf>
    <xf numFmtId="0" fontId="78" fillId="0" borderId="0" xfId="0" applyFont="1" applyFill="1"/>
    <xf numFmtId="0" fontId="90" fillId="0" borderId="0" xfId="0" applyFont="1" applyFill="1"/>
    <xf numFmtId="0" fontId="90" fillId="0" borderId="0" xfId="0" quotePrefix="1" applyFont="1" applyFill="1" applyAlignment="1">
      <alignment horizontal="center"/>
    </xf>
    <xf numFmtId="0" fontId="90" fillId="0" borderId="0" xfId="0" applyFont="1"/>
    <xf numFmtId="0" fontId="90" fillId="0" borderId="54" xfId="0" applyFont="1" applyFill="1" applyBorder="1" applyAlignment="1">
      <alignment horizontal="center"/>
    </xf>
    <xf numFmtId="0" fontId="90" fillId="55" borderId="54" xfId="0" applyFont="1" applyFill="1" applyBorder="1" applyAlignment="1">
      <alignment horizontal="center"/>
    </xf>
    <xf numFmtId="0" fontId="90" fillId="0" borderId="52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center"/>
    </xf>
    <xf numFmtId="0" fontId="90" fillId="55" borderId="52" xfId="0" applyFont="1" applyFill="1" applyBorder="1" applyAlignment="1">
      <alignment horizontal="center"/>
    </xf>
    <xf numFmtId="0" fontId="90" fillId="0" borderId="37" xfId="0" applyFont="1" applyFill="1" applyBorder="1" applyAlignment="1">
      <alignment horizontal="center"/>
    </xf>
    <xf numFmtId="164" fontId="90" fillId="0" borderId="36" xfId="0" applyNumberFormat="1" applyFont="1" applyFill="1" applyBorder="1" applyAlignment="1">
      <alignment horizontal="center"/>
    </xf>
    <xf numFmtId="164" fontId="90" fillId="55" borderId="50" xfId="0" applyNumberFormat="1" applyFont="1" applyFill="1" applyBorder="1" applyAlignment="1">
      <alignment horizontal="center"/>
    </xf>
    <xf numFmtId="164" fontId="90" fillId="55" borderId="53" xfId="0" applyNumberFormat="1" applyFont="1" applyFill="1" applyBorder="1" applyAlignment="1">
      <alignment horizontal="center"/>
    </xf>
    <xf numFmtId="164" fontId="90" fillId="0" borderId="38" xfId="0" applyNumberFormat="1" applyFont="1" applyFill="1" applyBorder="1" applyAlignment="1">
      <alignment horizontal="center"/>
    </xf>
    <xf numFmtId="164" fontId="90" fillId="0" borderId="42" xfId="0" applyNumberFormat="1" applyFont="1" applyFill="1" applyBorder="1" applyAlignment="1">
      <alignment horizontal="center"/>
    </xf>
    <xf numFmtId="164" fontId="90" fillId="55" borderId="55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54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4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90" fillId="0" borderId="54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183" fontId="90" fillId="0" borderId="0" xfId="1" applyNumberFormat="1" applyFont="1" applyFill="1" applyBorder="1" applyAlignment="1">
      <alignment horizontal="center"/>
    </xf>
    <xf numFmtId="183" fontId="90" fillId="0" borderId="50" xfId="1" applyNumberFormat="1" applyFont="1" applyFill="1" applyBorder="1" applyAlignment="1">
      <alignment horizontal="center"/>
    </xf>
    <xf numFmtId="183" fontId="90" fillId="55" borderId="0" xfId="1" applyNumberFormat="1" applyFont="1" applyFill="1" applyBorder="1" applyAlignment="1">
      <alignment horizontal="center"/>
    </xf>
    <xf numFmtId="183" fontId="90" fillId="55" borderId="50" xfId="1" applyNumberFormat="1" applyFont="1" applyFill="1" applyBorder="1" applyAlignment="1">
      <alignment horizontal="center"/>
    </xf>
    <xf numFmtId="5" fontId="90" fillId="0" borderId="0" xfId="1" applyNumberFormat="1" applyFont="1" applyFill="1" applyBorder="1" applyAlignment="1">
      <alignment horizontal="center"/>
    </xf>
    <xf numFmtId="5" fontId="90" fillId="0" borderId="50" xfId="1" applyNumberFormat="1" applyFont="1" applyFill="1" applyBorder="1" applyAlignment="1">
      <alignment horizontal="center"/>
    </xf>
    <xf numFmtId="183" fontId="90" fillId="0" borderId="53" xfId="1" applyNumberFormat="1" applyFont="1" applyFill="1" applyBorder="1" applyAlignment="1">
      <alignment horizontal="center"/>
    </xf>
    <xf numFmtId="183" fontId="90" fillId="55" borderId="53" xfId="1" applyNumberFormat="1" applyFont="1" applyFill="1" applyBorder="1" applyAlignment="1">
      <alignment horizontal="center"/>
    </xf>
    <xf numFmtId="5" fontId="90" fillId="0" borderId="53" xfId="1" applyNumberFormat="1" applyFont="1" applyFill="1" applyBorder="1" applyAlignment="1">
      <alignment horizontal="center"/>
    </xf>
    <xf numFmtId="183" fontId="90" fillId="0" borderId="1" xfId="1" applyNumberFormat="1" applyFont="1" applyFill="1" applyBorder="1" applyAlignment="1">
      <alignment horizontal="center"/>
    </xf>
    <xf numFmtId="183" fontId="90" fillId="0" borderId="55" xfId="1" applyNumberFormat="1" applyFont="1" applyFill="1" applyBorder="1" applyAlignment="1">
      <alignment horizontal="center"/>
    </xf>
    <xf numFmtId="183" fontId="90" fillId="55" borderId="1" xfId="1" applyNumberFormat="1" applyFont="1" applyFill="1" applyBorder="1" applyAlignment="1">
      <alignment horizontal="center"/>
    </xf>
    <xf numFmtId="183" fontId="90" fillId="55" borderId="55" xfId="1" applyNumberFormat="1" applyFont="1" applyFill="1" applyBorder="1" applyAlignment="1">
      <alignment horizontal="center"/>
    </xf>
    <xf numFmtId="5" fontId="90" fillId="0" borderId="1" xfId="1" applyNumberFormat="1" applyFont="1" applyFill="1" applyBorder="1" applyAlignment="1">
      <alignment horizontal="center"/>
    </xf>
    <xf numFmtId="5" fontId="90" fillId="0" borderId="55" xfId="1" applyNumberFormat="1" applyFont="1" applyFill="1" applyBorder="1" applyAlignment="1">
      <alignment horizontal="center"/>
    </xf>
    <xf numFmtId="183" fontId="90" fillId="0" borderId="0" xfId="0" applyNumberFormat="1" applyFont="1" applyFill="1" applyAlignment="1">
      <alignment horizontal="center"/>
    </xf>
    <xf numFmtId="5" fontId="90" fillId="0" borderId="51" xfId="0" applyNumberFormat="1" applyFont="1" applyFill="1" applyBorder="1" applyAlignment="1">
      <alignment horizontal="center"/>
    </xf>
    <xf numFmtId="5" fontId="90" fillId="0" borderId="54" xfId="0" applyNumberFormat="1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0" borderId="54" xfId="0" quotePrefix="1" applyFont="1" applyFill="1" applyBorder="1" applyAlignment="1">
      <alignment horizontal="center"/>
    </xf>
    <xf numFmtId="0" fontId="90" fillId="55" borderId="53" xfId="0" quotePrefix="1" applyFont="1" applyFill="1" applyBorder="1" applyAlignment="1">
      <alignment horizontal="center"/>
    </xf>
    <xf numFmtId="5" fontId="90" fillId="0" borderId="37" xfId="0" applyNumberFormat="1" applyFont="1" applyFill="1" applyBorder="1" applyAlignment="1">
      <alignment horizontal="center"/>
    </xf>
    <xf numFmtId="5" fontId="90" fillId="0" borderId="31" xfId="0" applyNumberFormat="1" applyFont="1" applyFill="1" applyBorder="1" applyAlignment="1">
      <alignment horizontal="center"/>
    </xf>
    <xf numFmtId="5" fontId="90" fillId="0" borderId="39" xfId="0" applyNumberFormat="1" applyFont="1" applyFill="1" applyBorder="1" applyAlignment="1">
      <alignment horizontal="center"/>
    </xf>
    <xf numFmtId="0" fontId="90" fillId="0" borderId="0" xfId="0" quotePrefix="1" applyFont="1" applyAlignment="1">
      <alignment horizontal="left"/>
    </xf>
    <xf numFmtId="164" fontId="90" fillId="0" borderId="50" xfId="0" applyNumberFormat="1" applyFont="1" applyFill="1" applyBorder="1" applyAlignment="1">
      <alignment horizontal="center"/>
    </xf>
    <xf numFmtId="164" fontId="90" fillId="0" borderId="53" xfId="0" applyNumberFormat="1" applyFont="1" applyFill="1" applyBorder="1" applyAlignment="1">
      <alignment horizontal="center"/>
    </xf>
    <xf numFmtId="164" fontId="90" fillId="0" borderId="55" xfId="0" applyNumberFormat="1" applyFont="1" applyFill="1" applyBorder="1" applyAlignment="1">
      <alignment horizontal="center"/>
    </xf>
    <xf numFmtId="0" fontId="0" fillId="53" borderId="0" xfId="0" applyFill="1"/>
    <xf numFmtId="0" fontId="0" fillId="53" borderId="0" xfId="0" applyFill="1" applyAlignment="1">
      <alignment horizontal="center" vertical="center"/>
    </xf>
    <xf numFmtId="10" fontId="67" fillId="53" borderId="0" xfId="45409" applyNumberFormat="1" applyFont="1" applyFill="1"/>
    <xf numFmtId="10" fontId="88" fillId="53" borderId="0" xfId="45409" applyNumberFormat="1" applyFont="1" applyFill="1"/>
    <xf numFmtId="0" fontId="89" fillId="0" borderId="0" xfId="0" quotePrefix="1" applyFont="1" applyFill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83" fontId="90" fillId="55" borderId="50" xfId="2" applyNumberFormat="1" applyFont="1" applyFill="1" applyBorder="1" applyAlignment="1">
      <alignment horizontal="center"/>
    </xf>
    <xf numFmtId="183" fontId="90" fillId="55" borderId="37" xfId="2" applyNumberFormat="1" applyFont="1" applyFill="1" applyBorder="1" applyAlignment="1">
      <alignment horizontal="center"/>
    </xf>
    <xf numFmtId="183" fontId="90" fillId="55" borderId="53" xfId="2" applyNumberFormat="1" applyFont="1" applyFill="1" applyBorder="1" applyAlignment="1">
      <alignment horizontal="center"/>
    </xf>
    <xf numFmtId="183" fontId="90" fillId="55" borderId="31" xfId="2" applyNumberFormat="1" applyFont="1" applyFill="1" applyBorder="1" applyAlignment="1">
      <alignment horizontal="center"/>
    </xf>
    <xf numFmtId="183" fontId="90" fillId="55" borderId="55" xfId="2" applyNumberFormat="1" applyFont="1" applyFill="1" applyBorder="1" applyAlignment="1">
      <alignment horizontal="center"/>
    </xf>
    <xf numFmtId="183" fontId="90" fillId="55" borderId="39" xfId="2" applyNumberFormat="1" applyFont="1" applyFill="1" applyBorder="1" applyAlignment="1">
      <alignment horizontal="center"/>
    </xf>
    <xf numFmtId="185" fontId="89" fillId="0" borderId="0" xfId="24280" applyNumberFormat="1" applyFont="1" applyFill="1" applyAlignment="1">
      <alignment horizontal="left"/>
    </xf>
    <xf numFmtId="37" fontId="71" fillId="0" borderId="0" xfId="57515" applyFont="1" applyBorder="1" applyAlignment="1">
      <alignment horizontal="center"/>
    </xf>
    <xf numFmtId="165" fontId="78" fillId="0" borderId="0" xfId="0" quotePrefix="1" applyNumberFormat="1" applyFont="1" applyAlignment="1">
      <alignment horizontal="center" vertical="center" textRotation="180" wrapText="1"/>
    </xf>
    <xf numFmtId="5" fontId="0" fillId="0" borderId="0" xfId="0" applyNumberFormat="1"/>
    <xf numFmtId="5" fontId="87" fillId="0" borderId="0" xfId="0" applyNumberFormat="1" applyFont="1" applyAlignment="1">
      <alignment horizontal="center" vertical="center" textRotation="180" wrapText="1"/>
    </xf>
    <xf numFmtId="166" fontId="70" fillId="0" borderId="1" xfId="12007" applyNumberFormat="1" applyFont="1" applyFill="1" applyBorder="1"/>
    <xf numFmtId="0" fontId="95" fillId="0" borderId="38" xfId="24280" applyFont="1" applyFill="1" applyBorder="1" applyAlignment="1">
      <alignment horizontal="left"/>
    </xf>
    <xf numFmtId="0" fontId="96" fillId="0" borderId="0" xfId="24280" applyFont="1" applyFill="1" applyBorder="1" applyAlignment="1">
      <alignment horizontal="center"/>
    </xf>
    <xf numFmtId="0" fontId="96" fillId="0" borderId="0" xfId="24280" applyFont="1" applyFill="1" applyBorder="1"/>
    <xf numFmtId="0" fontId="23" fillId="0" borderId="0" xfId="24280" applyFont="1" applyFill="1" applyBorder="1" applyAlignment="1">
      <alignment horizontal="right"/>
    </xf>
    <xf numFmtId="0" fontId="97" fillId="0" borderId="0" xfId="24280" applyFont="1" applyFill="1" applyBorder="1"/>
    <xf numFmtId="178" fontId="96" fillId="0" borderId="31" xfId="24280" applyNumberFormat="1" applyFont="1" applyFill="1" applyBorder="1"/>
    <xf numFmtId="43" fontId="96" fillId="0" borderId="38" xfId="11027" applyFont="1" applyFill="1" applyBorder="1"/>
    <xf numFmtId="0" fontId="96" fillId="0" borderId="0" xfId="24280" applyFont="1" applyFill="1" applyBorder="1" applyAlignment="1">
      <alignment horizontal="right"/>
    </xf>
    <xf numFmtId="178" fontId="96" fillId="0" borderId="31" xfId="24280" applyNumberFormat="1" applyFont="1" applyFill="1" applyBorder="1" applyAlignment="1">
      <alignment horizontal="center"/>
    </xf>
    <xf numFmtId="0" fontId="96" fillId="0" borderId="38" xfId="24280" applyFont="1" applyFill="1" applyBorder="1"/>
    <xf numFmtId="0" fontId="98" fillId="0" borderId="0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 wrapText="1"/>
    </xf>
    <xf numFmtId="0" fontId="96" fillId="0" borderId="1" xfId="24280" applyFont="1" applyFill="1" applyBorder="1" applyAlignment="1">
      <alignment horizontal="right" wrapText="1"/>
    </xf>
    <xf numFmtId="178" fontId="96" fillId="0" borderId="39" xfId="24280" applyNumberFormat="1" applyFont="1" applyFill="1" applyBorder="1" applyAlignment="1">
      <alignment horizontal="center"/>
    </xf>
    <xf numFmtId="0" fontId="95" fillId="0" borderId="38" xfId="24280" applyFont="1" applyFill="1" applyBorder="1"/>
    <xf numFmtId="179" fontId="96" fillId="0" borderId="0" xfId="24280" applyNumberFormat="1" applyFont="1" applyFill="1" applyBorder="1" applyAlignment="1">
      <alignment horizontal="center"/>
    </xf>
    <xf numFmtId="180" fontId="96" fillId="0" borderId="0" xfId="24280" applyNumberFormat="1" applyFont="1" applyFill="1" applyBorder="1"/>
    <xf numFmtId="37" fontId="96" fillId="0" borderId="0" xfId="24280" applyNumberFormat="1" applyFont="1" applyFill="1" applyBorder="1"/>
    <xf numFmtId="165" fontId="96" fillId="0" borderId="0" xfId="24280" applyNumberFormat="1" applyFont="1" applyFill="1" applyBorder="1"/>
    <xf numFmtId="165" fontId="96" fillId="0" borderId="0" xfId="24280" applyNumberFormat="1" applyFont="1" applyFill="1" applyBorder="1" applyAlignment="1">
      <alignment horizontal="right"/>
    </xf>
    <xf numFmtId="37" fontId="96" fillId="0" borderId="0" xfId="24280" applyNumberFormat="1" applyFont="1" applyFill="1" applyBorder="1" applyAlignment="1">
      <alignment horizontal="right"/>
    </xf>
    <xf numFmtId="168" fontId="96" fillId="0" borderId="0" xfId="45409" applyNumberFormat="1" applyFont="1" applyFill="1" applyBorder="1"/>
    <xf numFmtId="0" fontId="96" fillId="0" borderId="0" xfId="24280" applyFont="1" applyFill="1" applyBorder="1" applyAlignment="1">
      <alignment horizontal="left"/>
    </xf>
    <xf numFmtId="42" fontId="96" fillId="0" borderId="0" xfId="24280" applyNumberFormat="1" applyFont="1" applyFill="1" applyBorder="1"/>
    <xf numFmtId="167" fontId="96" fillId="0" borderId="0" xfId="24280" applyNumberFormat="1" applyFont="1" applyFill="1" applyBorder="1" applyAlignment="1">
      <alignment horizontal="right"/>
    </xf>
    <xf numFmtId="41" fontId="96" fillId="0" borderId="0" xfId="24280" applyNumberFormat="1" applyFont="1" applyFill="1" applyBorder="1"/>
    <xf numFmtId="0" fontId="96" fillId="0" borderId="0" xfId="24280" applyFont="1" applyFill="1" applyBorder="1" applyAlignment="1"/>
    <xf numFmtId="0" fontId="96" fillId="0" borderId="0" xfId="24280" applyNumberFormat="1" applyFont="1" applyFill="1" applyBorder="1" applyAlignment="1">
      <alignment horizontal="left"/>
    </xf>
    <xf numFmtId="168" fontId="96" fillId="0" borderId="31" xfId="45409" applyNumberFormat="1" applyFont="1" applyFill="1" applyBorder="1"/>
    <xf numFmtId="168" fontId="96" fillId="0" borderId="0" xfId="24280" applyNumberFormat="1" applyFont="1" applyFill="1" applyBorder="1"/>
    <xf numFmtId="43" fontId="96" fillId="0" borderId="0" xfId="11027" applyFont="1" applyFill="1" applyBorder="1" applyAlignment="1">
      <alignment horizontal="center"/>
    </xf>
    <xf numFmtId="181" fontId="96" fillId="0" borderId="0" xfId="24280" applyNumberFormat="1" applyFont="1" applyFill="1" applyBorder="1"/>
    <xf numFmtId="42" fontId="96" fillId="0" borderId="40" xfId="24280" applyNumberFormat="1" applyFont="1" applyFill="1" applyBorder="1"/>
    <xf numFmtId="42" fontId="96" fillId="0" borderId="0" xfId="24280" applyNumberFormat="1" applyFont="1" applyFill="1" applyBorder="1" applyAlignment="1">
      <alignment horizontal="right"/>
    </xf>
    <xf numFmtId="42" fontId="96" fillId="0" borderId="40" xfId="24280" applyNumberFormat="1" applyFont="1" applyFill="1" applyBorder="1" applyAlignment="1">
      <alignment horizontal="right"/>
    </xf>
    <xf numFmtId="168" fontId="95" fillId="0" borderId="41" xfId="45409" applyNumberFormat="1" applyFont="1" applyFill="1" applyBorder="1"/>
    <xf numFmtId="41" fontId="96" fillId="0" borderId="0" xfId="24280" applyNumberFormat="1" applyFont="1" applyFill="1" applyBorder="1" applyAlignment="1">
      <alignment horizontal="right"/>
    </xf>
    <xf numFmtId="0" fontId="96" fillId="0" borderId="0" xfId="24280" applyFont="1" applyFill="1" applyAlignment="1">
      <alignment horizontal="right"/>
    </xf>
    <xf numFmtId="0" fontId="97" fillId="0" borderId="0" xfId="24280" applyFont="1" applyFill="1"/>
    <xf numFmtId="175" fontId="96" fillId="0" borderId="0" xfId="24280" applyNumberFormat="1" applyFont="1" applyFill="1" applyBorder="1"/>
    <xf numFmtId="41" fontId="96" fillId="0" borderId="0" xfId="24280" applyNumberFormat="1" applyFont="1" applyFill="1" applyBorder="1" applyAlignment="1">
      <alignment horizontal="center"/>
    </xf>
    <xf numFmtId="0" fontId="96" fillId="0" borderId="38" xfId="24280" applyFont="1" applyFill="1" applyBorder="1" applyAlignment="1">
      <alignment horizontal="left"/>
    </xf>
    <xf numFmtId="179" fontId="96" fillId="0" borderId="0" xfId="24280" applyNumberFormat="1" applyFont="1" applyFill="1" applyBorder="1" applyAlignment="1" applyProtection="1">
      <alignment horizontal="center"/>
    </xf>
    <xf numFmtId="43" fontId="96" fillId="0" borderId="0" xfId="24280" applyNumberFormat="1" applyFont="1" applyFill="1" applyBorder="1" applyAlignment="1">
      <alignment horizontal="right"/>
    </xf>
    <xf numFmtId="43" fontId="96" fillId="0" borderId="0" xfId="24280" applyNumberFormat="1" applyFont="1" applyFill="1" applyBorder="1"/>
    <xf numFmtId="42" fontId="96" fillId="0" borderId="35" xfId="24280" applyNumberFormat="1" applyFont="1" applyFill="1" applyBorder="1"/>
    <xf numFmtId="42" fontId="96" fillId="0" borderId="35" xfId="24280" applyNumberFormat="1" applyFont="1" applyFill="1" applyBorder="1" applyAlignment="1">
      <alignment horizontal="right"/>
    </xf>
    <xf numFmtId="0" fontId="96" fillId="0" borderId="42" xfId="24280" applyFont="1" applyFill="1" applyBorder="1"/>
    <xf numFmtId="181" fontId="96" fillId="0" borderId="1" xfId="24280" applyNumberFormat="1" applyFont="1" applyFill="1" applyBorder="1"/>
    <xf numFmtId="0" fontId="96" fillId="0" borderId="1" xfId="24280" applyFont="1" applyFill="1" applyBorder="1" applyAlignment="1">
      <alignment horizontal="right"/>
    </xf>
    <xf numFmtId="37" fontId="96" fillId="0" borderId="1" xfId="24280" applyNumberFormat="1" applyFont="1" applyFill="1" applyBorder="1"/>
    <xf numFmtId="0" fontId="96" fillId="0" borderId="1" xfId="24280" applyFont="1" applyFill="1" applyBorder="1"/>
    <xf numFmtId="37" fontId="96" fillId="0" borderId="1" xfId="24280" applyNumberFormat="1" applyFont="1" applyFill="1" applyBorder="1" applyAlignment="1">
      <alignment horizontal="right"/>
    </xf>
    <xf numFmtId="178" fontId="96" fillId="0" borderId="39" xfId="24280" applyNumberFormat="1" applyFont="1" applyFill="1" applyBorder="1"/>
    <xf numFmtId="0" fontId="96" fillId="0" borderId="0" xfId="24280" applyFont="1" applyFill="1"/>
    <xf numFmtId="0" fontId="96" fillId="0" borderId="0" xfId="24280" applyFont="1" applyFill="1" applyAlignment="1">
      <alignment horizontal="center"/>
    </xf>
    <xf numFmtId="181" fontId="96" fillId="0" borderId="0" xfId="24280" applyNumberFormat="1" applyFont="1" applyFill="1"/>
    <xf numFmtId="0" fontId="23" fillId="0" borderId="0" xfId="24280" applyFont="1" applyFill="1" applyAlignment="1">
      <alignment horizontal="right"/>
    </xf>
    <xf numFmtId="37" fontId="96" fillId="0" borderId="0" xfId="24280" applyNumberFormat="1" applyFont="1" applyFill="1"/>
    <xf numFmtId="0" fontId="37" fillId="0" borderId="0" xfId="24280" applyFont="1" applyFill="1" applyAlignment="1">
      <alignment horizontal="right"/>
    </xf>
    <xf numFmtId="0" fontId="97" fillId="0" borderId="2" xfId="24280" applyFont="1" applyFill="1" applyBorder="1" applyAlignment="1">
      <alignment horizontal="center"/>
    </xf>
    <xf numFmtId="37" fontId="96" fillId="0" borderId="2" xfId="24280" applyNumberFormat="1" applyFont="1" applyFill="1" applyBorder="1"/>
    <xf numFmtId="37" fontId="23" fillId="0" borderId="2" xfId="24280" applyNumberFormat="1" applyFont="1" applyFill="1" applyBorder="1" applyAlignment="1">
      <alignment horizontal="right"/>
    </xf>
    <xf numFmtId="178" fontId="96" fillId="0" borderId="0" xfId="24280" applyNumberFormat="1" applyFont="1" applyFill="1"/>
    <xf numFmtId="0" fontId="97" fillId="0" borderId="0" xfId="24280" applyFont="1" applyFill="1" applyBorder="1" applyAlignment="1">
      <alignment horizontal="center"/>
    </xf>
    <xf numFmtId="37" fontId="23" fillId="0" borderId="0" xfId="24280" applyNumberFormat="1" applyFont="1" applyFill="1" applyAlignment="1">
      <alignment horizontal="right"/>
    </xf>
    <xf numFmtId="4" fontId="96" fillId="0" borderId="0" xfId="24280" applyNumberFormat="1" applyFont="1" applyFill="1"/>
    <xf numFmtId="0" fontId="98" fillId="0" borderId="0" xfId="24280" applyFont="1" applyFill="1" applyBorder="1" applyAlignment="1">
      <alignment horizontal="right"/>
    </xf>
    <xf numFmtId="178" fontId="98" fillId="0" borderId="31" xfId="24280" applyNumberFormat="1" applyFont="1" applyFill="1" applyBorder="1" applyAlignment="1">
      <alignment horizontal="center"/>
    </xf>
    <xf numFmtId="5" fontId="96" fillId="0" borderId="0" xfId="24280" applyNumberFormat="1" applyFont="1" applyFill="1" applyBorder="1"/>
    <xf numFmtId="42" fontId="96" fillId="0" borderId="0" xfId="24280" applyNumberFormat="1" applyFont="1" applyFill="1" applyBorder="1" applyAlignment="1">
      <alignment horizontal="center"/>
    </xf>
    <xf numFmtId="166" fontId="96" fillId="0" borderId="1" xfId="24280" applyNumberFormat="1" applyFont="1" applyFill="1" applyBorder="1"/>
    <xf numFmtId="41" fontId="96" fillId="0" borderId="1" xfId="24280" applyNumberFormat="1" applyFont="1" applyFill="1" applyBorder="1"/>
    <xf numFmtId="41" fontId="96" fillId="0" borderId="1" xfId="24280" applyNumberFormat="1" applyFont="1" applyFill="1" applyBorder="1" applyAlignment="1">
      <alignment horizontal="center"/>
    </xf>
    <xf numFmtId="41" fontId="96" fillId="0" borderId="1" xfId="24280" applyNumberFormat="1" applyFont="1" applyFill="1" applyBorder="1" applyAlignment="1">
      <alignment horizontal="right"/>
    </xf>
    <xf numFmtId="168" fontId="96" fillId="0" borderId="39" xfId="45409" applyNumberFormat="1" applyFont="1" applyFill="1" applyBorder="1"/>
    <xf numFmtId="5" fontId="96" fillId="0" borderId="35" xfId="24280" applyNumberFormat="1" applyFont="1" applyFill="1" applyBorder="1"/>
    <xf numFmtId="42" fontId="96" fillId="0" borderId="35" xfId="24280" applyNumberFormat="1" applyFont="1" applyFill="1" applyBorder="1" applyAlignment="1">
      <alignment horizontal="center"/>
    </xf>
    <xf numFmtId="168" fontId="95" fillId="0" borderId="43" xfId="45409" applyNumberFormat="1" applyFont="1" applyFill="1" applyBorder="1"/>
    <xf numFmtId="165" fontId="96" fillId="0" borderId="1" xfId="24280" applyNumberFormat="1" applyFont="1" applyFill="1" applyBorder="1"/>
    <xf numFmtId="165" fontId="96" fillId="0" borderId="1" xfId="24280" applyNumberFormat="1" applyFont="1" applyFill="1" applyBorder="1" applyAlignment="1">
      <alignment horizontal="right"/>
    </xf>
    <xf numFmtId="168" fontId="96" fillId="0" borderId="0" xfId="45409" applyNumberFormat="1" applyFont="1" applyFill="1"/>
    <xf numFmtId="42" fontId="96" fillId="0" borderId="34" xfId="24280" applyNumberFormat="1" applyFont="1" applyFill="1" applyBorder="1"/>
    <xf numFmtId="42" fontId="96" fillId="0" borderId="0" xfId="24280" applyNumberFormat="1" applyFont="1" applyFill="1"/>
    <xf numFmtId="42" fontId="96" fillId="0" borderId="0" xfId="24280" applyNumberFormat="1" applyFont="1" applyFill="1" applyAlignment="1">
      <alignment horizontal="right"/>
    </xf>
    <xf numFmtId="42" fontId="96" fillId="0" borderId="34" xfId="24280" applyNumberFormat="1" applyFont="1" applyFill="1" applyBorder="1" applyAlignment="1">
      <alignment horizontal="right"/>
    </xf>
    <xf numFmtId="180" fontId="95" fillId="0" borderId="0" xfId="45409" applyNumberFormat="1" applyFont="1" applyFill="1" applyAlignment="1">
      <alignment horizontal="center"/>
    </xf>
    <xf numFmtId="37" fontId="96" fillId="0" borderId="0" xfId="24280" applyNumberFormat="1" applyFont="1" applyFill="1" applyAlignment="1">
      <alignment horizontal="center"/>
    </xf>
    <xf numFmtId="37" fontId="96" fillId="0" borderId="0" xfId="24280" applyNumberFormat="1" applyFont="1" applyFill="1" applyAlignment="1">
      <alignment horizontal="right"/>
    </xf>
    <xf numFmtId="0" fontId="96" fillId="0" borderId="0" xfId="24280" applyFont="1" applyFill="1" applyAlignment="1">
      <alignment wrapText="1"/>
    </xf>
    <xf numFmtId="0" fontId="96" fillId="0" borderId="0" xfId="24280" applyFont="1" applyFill="1" applyAlignment="1">
      <alignment horizontal="right" wrapText="1"/>
    </xf>
    <xf numFmtId="0" fontId="95" fillId="0" borderId="0" xfId="24280" applyFont="1" applyFill="1" applyAlignment="1"/>
    <xf numFmtId="0" fontId="95" fillId="0" borderId="0" xfId="24280" applyFont="1" applyFill="1"/>
    <xf numFmtId="2" fontId="96" fillId="0" borderId="0" xfId="24280" applyNumberFormat="1" applyFont="1" applyFill="1"/>
    <xf numFmtId="43" fontId="96" fillId="0" borderId="0" xfId="11027" applyFont="1" applyFill="1"/>
    <xf numFmtId="165" fontId="96" fillId="0" borderId="0" xfId="24280" applyNumberFormat="1" applyFont="1" applyFill="1"/>
    <xf numFmtId="0" fontId="95" fillId="0" borderId="0" xfId="24280" applyFont="1" applyFill="1" applyAlignment="1">
      <alignment horizontal="right"/>
    </xf>
    <xf numFmtId="0" fontId="96" fillId="0" borderId="2" xfId="24280" applyFont="1" applyFill="1" applyBorder="1" applyAlignment="1">
      <alignment horizontal="center"/>
    </xf>
    <xf numFmtId="37" fontId="96" fillId="0" borderId="2" xfId="24280" applyNumberFormat="1" applyFont="1" applyFill="1" applyBorder="1" applyAlignment="1">
      <alignment horizontal="right"/>
    </xf>
    <xf numFmtId="0" fontId="96" fillId="0" borderId="0" xfId="24280" applyFont="1" applyFill="1" applyAlignment="1"/>
    <xf numFmtId="10" fontId="0" fillId="0" borderId="0" xfId="0" applyNumberFormat="1"/>
    <xf numFmtId="183" fontId="4" fillId="0" borderId="0" xfId="0" applyNumberFormat="1" applyFont="1"/>
    <xf numFmtId="0" fontId="0" fillId="0" borderId="0" xfId="0" applyAlignment="1">
      <alignment horizontal="center"/>
    </xf>
    <xf numFmtId="42" fontId="0" fillId="0" borderId="0" xfId="0" applyNumberFormat="1"/>
    <xf numFmtId="9" fontId="90" fillId="0" borderId="0" xfId="3" applyFont="1"/>
    <xf numFmtId="10" fontId="78" fillId="0" borderId="5" xfId="3" applyNumberFormat="1" applyFont="1" applyFill="1" applyBorder="1" applyAlignment="1">
      <alignment horizontal="center"/>
    </xf>
    <xf numFmtId="10" fontId="78" fillId="0" borderId="4" xfId="3" applyNumberFormat="1" applyFont="1" applyFill="1" applyBorder="1" applyAlignment="1">
      <alignment horizontal="center"/>
    </xf>
    <xf numFmtId="5" fontId="78" fillId="0" borderId="5" xfId="1" applyNumberFormat="1" applyFont="1" applyFill="1" applyBorder="1"/>
    <xf numFmtId="10" fontId="78" fillId="0" borderId="3" xfId="3" applyNumberFormat="1" applyFont="1" applyFill="1" applyBorder="1" applyAlignment="1">
      <alignment horizontal="center"/>
    </xf>
    <xf numFmtId="10" fontId="78" fillId="0" borderId="7" xfId="3" applyNumberFormat="1" applyFont="1" applyFill="1" applyBorder="1" applyAlignment="1">
      <alignment horizontal="center"/>
    </xf>
    <xf numFmtId="5" fontId="78" fillId="0" borderId="7" xfId="1" applyNumberFormat="1" applyFont="1" applyFill="1" applyBorder="1"/>
    <xf numFmtId="10" fontId="78" fillId="0" borderId="6" xfId="3" applyNumberFormat="1" applyFont="1" applyFill="1" applyBorder="1" applyAlignment="1">
      <alignment horizontal="center"/>
    </xf>
    <xf numFmtId="10" fontId="78" fillId="0" borderId="13" xfId="3" applyNumberFormat="1" applyFont="1" applyFill="1" applyBorder="1" applyAlignment="1">
      <alignment horizontal="center"/>
    </xf>
    <xf numFmtId="10" fontId="78" fillId="0" borderId="12" xfId="3" applyNumberFormat="1" applyFont="1" applyFill="1" applyBorder="1" applyAlignment="1">
      <alignment horizontal="center"/>
    </xf>
    <xf numFmtId="5" fontId="78" fillId="0" borderId="13" xfId="1" applyNumberFormat="1" applyFont="1" applyFill="1" applyBorder="1"/>
    <xf numFmtId="10" fontId="78" fillId="0" borderId="11" xfId="3" applyNumberFormat="1" applyFont="1" applyFill="1" applyBorder="1" applyAlignment="1">
      <alignment horizontal="center"/>
    </xf>
    <xf numFmtId="10" fontId="75" fillId="0" borderId="3" xfId="0" applyNumberFormat="1" applyFont="1" applyFill="1" applyBorder="1" applyAlignment="1">
      <alignment horizontal="center"/>
    </xf>
    <xf numFmtId="165" fontId="78" fillId="0" borderId="4" xfId="1" applyNumberFormat="1" applyFont="1" applyFill="1" applyBorder="1"/>
    <xf numFmtId="165" fontId="78" fillId="0" borderId="5" xfId="1" applyNumberFormat="1" applyFont="1" applyFill="1" applyBorder="1"/>
    <xf numFmtId="10" fontId="75" fillId="0" borderId="6" xfId="0" applyNumberFormat="1" applyFont="1" applyFill="1" applyBorder="1" applyAlignment="1">
      <alignment horizontal="center"/>
    </xf>
    <xf numFmtId="165" fontId="78" fillId="0" borderId="0" xfId="1" applyNumberFormat="1" applyFont="1" applyFill="1" applyBorder="1"/>
    <xf numFmtId="165" fontId="78" fillId="0" borderId="7" xfId="1" applyNumberFormat="1" applyFont="1" applyFill="1" applyBorder="1"/>
    <xf numFmtId="10" fontId="75" fillId="0" borderId="11" xfId="0" applyNumberFormat="1" applyFont="1" applyFill="1" applyBorder="1" applyAlignment="1">
      <alignment horizontal="center"/>
    </xf>
    <xf numFmtId="165" fontId="78" fillId="0" borderId="12" xfId="1" applyNumberFormat="1" applyFont="1" applyFill="1" applyBorder="1"/>
    <xf numFmtId="165" fontId="78" fillId="0" borderId="13" xfId="1" applyNumberFormat="1" applyFont="1" applyFill="1" applyBorder="1"/>
    <xf numFmtId="166" fontId="78" fillId="0" borderId="4" xfId="2" applyNumberFormat="1" applyFont="1" applyFill="1" applyBorder="1"/>
    <xf numFmtId="166" fontId="78" fillId="0" borderId="5" xfId="2" applyNumberFormat="1" applyFont="1" applyFill="1" applyBorder="1"/>
    <xf numFmtId="166" fontId="78" fillId="0" borderId="0" xfId="2" applyNumberFormat="1" applyFont="1" applyFill="1" applyBorder="1"/>
    <xf numFmtId="166" fontId="78" fillId="0" borderId="7" xfId="2" applyNumberFormat="1" applyFont="1" applyFill="1" applyBorder="1"/>
    <xf numFmtId="176" fontId="78" fillId="0" borderId="0" xfId="1" applyNumberFormat="1" applyFont="1" applyFill="1" applyBorder="1"/>
    <xf numFmtId="166" fontId="78" fillId="0" borderId="12" xfId="2" applyNumberFormat="1" applyFont="1" applyFill="1" applyBorder="1"/>
    <xf numFmtId="166" fontId="78" fillId="0" borderId="13" xfId="2" applyNumberFormat="1" applyFont="1" applyFill="1" applyBorder="1"/>
    <xf numFmtId="176" fontId="78" fillId="0" borderId="12" xfId="1" applyNumberFormat="1" applyFont="1" applyFill="1" applyBorder="1"/>
    <xf numFmtId="166" fontId="78" fillId="0" borderId="6" xfId="2" applyNumberFormat="1" applyFont="1" applyFill="1" applyBorder="1"/>
    <xf numFmtId="166" fontId="78" fillId="0" borderId="0" xfId="2" applyNumberFormat="1" applyFont="1" applyFill="1" applyBorder="1" applyAlignment="1">
      <alignment horizontal="center"/>
    </xf>
    <xf numFmtId="166" fontId="78" fillId="0" borderId="7" xfId="2" applyNumberFormat="1" applyFont="1" applyFill="1" applyBorder="1" applyAlignment="1">
      <alignment horizontal="center"/>
    </xf>
    <xf numFmtId="166" fontId="78" fillId="0" borderId="11" xfId="2" applyNumberFormat="1" applyFont="1" applyFill="1" applyBorder="1"/>
    <xf numFmtId="166" fontId="78" fillId="0" borderId="12" xfId="2" quotePrefix="1" applyNumberFormat="1" applyFont="1" applyFill="1" applyBorder="1" applyAlignment="1">
      <alignment horizontal="center"/>
    </xf>
    <xf numFmtId="166" fontId="78" fillId="0" borderId="13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7" fontId="75" fillId="0" borderId="5" xfId="0" applyNumberFormat="1" applyFont="1" applyFill="1" applyBorder="1" applyAlignment="1">
      <alignment horizontal="center"/>
    </xf>
    <xf numFmtId="0" fontId="83" fillId="0" borderId="4" xfId="0" quotePrefix="1" applyFont="1" applyFill="1" applyBorder="1" applyAlignment="1">
      <alignment horizontal="center" wrapText="1"/>
    </xf>
    <xf numFmtId="0" fontId="75" fillId="0" borderId="13" xfId="0" quotePrefix="1" applyFont="1" applyFill="1" applyBorder="1" applyAlignment="1">
      <alignment horizontal="center"/>
    </xf>
    <xf numFmtId="177" fontId="78" fillId="0" borderId="0" xfId="1" applyNumberFormat="1" applyFont="1" applyFill="1" applyBorder="1"/>
    <xf numFmtId="5" fontId="78" fillId="0" borderId="0" xfId="1" applyNumberFormat="1" applyFont="1" applyFill="1" applyBorder="1"/>
    <xf numFmtId="0" fontId="4" fillId="0" borderId="11" xfId="0" quotePrefix="1" applyFont="1" applyFill="1" applyBorder="1" applyAlignment="1">
      <alignment horizontal="center" wrapText="1"/>
    </xf>
    <xf numFmtId="0" fontId="4" fillId="0" borderId="12" xfId="0" quotePrefix="1" applyFont="1" applyFill="1" applyBorder="1" applyAlignment="1">
      <alignment horizontal="center" wrapText="1"/>
    </xf>
    <xf numFmtId="41" fontId="75" fillId="0" borderId="0" xfId="1" applyNumberFormat="1" applyFont="1" applyFill="1" applyBorder="1"/>
    <xf numFmtId="0" fontId="96" fillId="0" borderId="0" xfId="24280" applyFont="1" applyFill="1" applyAlignment="1">
      <alignment horizontal="center"/>
    </xf>
    <xf numFmtId="8" fontId="0" fillId="0" borderId="0" xfId="0" applyNumberFormat="1"/>
    <xf numFmtId="0" fontId="4" fillId="0" borderId="0" xfId="0" applyFont="1" applyAlignment="1">
      <alignment horizontal="center" wrapText="1"/>
    </xf>
    <xf numFmtId="10" fontId="84" fillId="0" borderId="50" xfId="3" applyNumberFormat="1" applyFont="1" applyFill="1" applyBorder="1" applyAlignment="1">
      <alignment horizontal="center"/>
    </xf>
    <xf numFmtId="10" fontId="84" fillId="0" borderId="53" xfId="3" applyNumberFormat="1" applyFont="1" applyFill="1" applyBorder="1" applyAlignment="1">
      <alignment horizontal="center"/>
    </xf>
    <xf numFmtId="10" fontId="84" fillId="0" borderId="55" xfId="3" applyNumberFormat="1" applyFont="1" applyFill="1" applyBorder="1" applyAlignment="1">
      <alignment horizontal="center"/>
    </xf>
    <xf numFmtId="5" fontId="84" fillId="55" borderId="50" xfId="1" applyNumberFormat="1" applyFont="1" applyFill="1" applyBorder="1" applyAlignment="1">
      <alignment horizontal="center"/>
    </xf>
    <xf numFmtId="5" fontId="84" fillId="55" borderId="53" xfId="1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0" xfId="57515" applyFont="1" applyBorder="1" applyAlignment="1"/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37" fontId="70" fillId="0" borderId="3" xfId="57515" applyFont="1" applyBorder="1"/>
    <xf numFmtId="37" fontId="70" fillId="0" borderId="4" xfId="57515" applyFont="1" applyBorder="1"/>
    <xf numFmtId="43" fontId="72" fillId="0" borderId="4" xfId="11027" applyFont="1" applyBorder="1" applyAlignment="1">
      <alignment horizontal="center"/>
    </xf>
    <xf numFmtId="43" fontId="72" fillId="0" borderId="5" xfId="11027" applyFont="1" applyBorder="1" applyAlignment="1">
      <alignment horizontal="center"/>
    </xf>
    <xf numFmtId="0" fontId="95" fillId="0" borderId="0" xfId="24280" applyFont="1" applyFill="1" applyBorder="1" applyAlignment="1">
      <alignment horizontal="right"/>
    </xf>
    <xf numFmtId="166" fontId="0" fillId="0" borderId="0" xfId="0" applyNumberFormat="1"/>
    <xf numFmtId="182" fontId="75" fillId="0" borderId="1" xfId="1" applyNumberFormat="1" applyFont="1" applyFill="1" applyBorder="1"/>
    <xf numFmtId="182" fontId="75" fillId="0" borderId="8" xfId="2" applyNumberFormat="1" applyFont="1" applyFill="1" applyBorder="1"/>
    <xf numFmtId="182" fontId="75" fillId="0" borderId="0" xfId="2" applyNumberFormat="1" applyFont="1" applyFill="1" applyBorder="1"/>
    <xf numFmtId="177" fontId="75" fillId="0" borderId="1" xfId="2" applyNumberFormat="1" applyFont="1" applyFill="1" applyBorder="1"/>
    <xf numFmtId="177" fontId="75" fillId="0" borderId="8" xfId="2" applyNumberFormat="1" applyFont="1" applyFill="1" applyBorder="1"/>
    <xf numFmtId="176" fontId="75" fillId="0" borderId="1" xfId="1" applyNumberFormat="1" applyFont="1" applyFill="1" applyBorder="1"/>
    <xf numFmtId="37" fontId="70" fillId="0" borderId="6" xfId="57515" applyFont="1" applyFill="1" applyBorder="1"/>
    <xf numFmtId="43" fontId="72" fillId="0" borderId="0" xfId="11027" applyFont="1" applyFill="1" applyBorder="1" applyAlignment="1">
      <alignment horizontal="center"/>
    </xf>
    <xf numFmtId="0" fontId="70" fillId="0" borderId="0" xfId="57515" applyNumberFormat="1" applyFont="1" applyFill="1" applyBorder="1" applyAlignment="1">
      <alignment horizontal="center"/>
    </xf>
    <xf numFmtId="37" fontId="70" fillId="0" borderId="7" xfId="57515" applyFont="1" applyFill="1" applyBorder="1" applyAlignment="1">
      <alignment horizontal="center"/>
    </xf>
    <xf numFmtId="37" fontId="71" fillId="0" borderId="6" xfId="57515" applyFont="1" applyFill="1" applyBorder="1"/>
    <xf numFmtId="37" fontId="69" fillId="0" borderId="0" xfId="57515" applyFont="1" applyFill="1" applyBorder="1"/>
    <xf numFmtId="37" fontId="69" fillId="0" borderId="6" xfId="57515" applyFont="1" applyFill="1" applyBorder="1"/>
    <xf numFmtId="37" fontId="70" fillId="0" borderId="8" xfId="57515" applyFont="1" applyFill="1" applyBorder="1" applyAlignment="1">
      <alignment horizontal="center"/>
    </xf>
    <xf numFmtId="37" fontId="70" fillId="0" borderId="6" xfId="57515" quotePrefix="1" applyFont="1" applyFill="1" applyBorder="1" applyAlignment="1">
      <alignment horizontal="left"/>
    </xf>
    <xf numFmtId="10" fontId="70" fillId="0" borderId="0" xfId="57515" applyNumberFormat="1" applyFont="1" applyFill="1" applyBorder="1"/>
    <xf numFmtId="37" fontId="70" fillId="0" borderId="11" xfId="57515" quotePrefix="1" applyFont="1" applyFill="1" applyBorder="1" applyAlignment="1">
      <alignment horizontal="left"/>
    </xf>
    <xf numFmtId="37" fontId="70" fillId="0" borderId="12" xfId="57515" applyFont="1" applyFill="1" applyBorder="1"/>
    <xf numFmtId="37" fontId="71" fillId="0" borderId="0" xfId="57515" applyFont="1" applyFill="1" applyAlignment="1">
      <alignment horizontal="center"/>
    </xf>
    <xf numFmtId="43" fontId="72" fillId="0" borderId="7" xfId="11027" applyFont="1" applyFill="1" applyBorder="1" applyAlignment="1">
      <alignment horizontal="center"/>
    </xf>
    <xf numFmtId="166" fontId="75" fillId="0" borderId="10" xfId="2" applyNumberFormat="1" applyFont="1" applyFill="1" applyBorder="1"/>
    <xf numFmtId="177" fontId="0" fillId="0" borderId="1" xfId="0" applyNumberFormat="1" applyFill="1" applyBorder="1"/>
    <xf numFmtId="176" fontId="4" fillId="0" borderId="1" xfId="5" applyNumberFormat="1" applyFont="1" applyFill="1" applyBorder="1"/>
    <xf numFmtId="177" fontId="0" fillId="0" borderId="8" xfId="0" applyNumberFormat="1" applyFill="1" applyBorder="1"/>
    <xf numFmtId="5" fontId="84" fillId="55" borderId="54" xfId="0" applyNumberFormat="1" applyFont="1" applyFill="1" applyBorder="1" applyAlignment="1">
      <alignment horizontal="center"/>
    </xf>
    <xf numFmtId="17" fontId="85" fillId="0" borderId="3" xfId="0" quotePrefix="1" applyNumberFormat="1" applyFont="1" applyBorder="1" applyAlignment="1">
      <alignment horizontal="center" vertical="center"/>
    </xf>
    <xf numFmtId="17" fontId="85" fillId="0" borderId="6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8" fillId="0" borderId="0" xfId="0" applyFont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17" fontId="78" fillId="0" borderId="0" xfId="0" applyNumberFormat="1" applyFont="1" applyAlignment="1">
      <alignment horizontal="center" vertical="center"/>
    </xf>
    <xf numFmtId="10" fontId="78" fillId="0" borderId="0" xfId="3" applyNumberFormat="1" applyFont="1" applyFill="1" applyAlignment="1">
      <alignment horizontal="center" vertical="center"/>
    </xf>
    <xf numFmtId="184" fontId="78" fillId="0" borderId="0" xfId="0" applyNumberFormat="1" applyFont="1" applyFill="1" applyAlignment="1">
      <alignment horizontal="center" vertical="center"/>
    </xf>
    <xf numFmtId="166" fontId="78" fillId="0" borderId="0" xfId="2" applyNumberFormat="1" applyFont="1" applyFill="1" applyAlignment="1">
      <alignment horizontal="center" vertical="center"/>
    </xf>
    <xf numFmtId="166" fontId="78" fillId="0" borderId="0" xfId="2" applyNumberFormat="1" applyFont="1" applyFill="1" applyBorder="1" applyAlignment="1">
      <alignment horizontal="center" vertical="center"/>
    </xf>
    <xf numFmtId="0" fontId="81" fillId="0" borderId="46" xfId="0" applyFont="1" applyFill="1" applyBorder="1" applyAlignment="1">
      <alignment horizontal="center"/>
    </xf>
    <xf numFmtId="0" fontId="81" fillId="0" borderId="47" xfId="0" applyFont="1" applyFill="1" applyBorder="1" applyAlignment="1">
      <alignment horizontal="center"/>
    </xf>
    <xf numFmtId="0" fontId="81" fillId="0" borderId="48" xfId="0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6" xfId="57515" quotePrefix="1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8" xfId="57515" applyFont="1" applyBorder="1" applyAlignment="1">
      <alignment horizontal="center"/>
    </xf>
    <xf numFmtId="37" fontId="71" fillId="0" borderId="46" xfId="57515" quotePrefix="1" applyFont="1" applyFill="1" applyBorder="1" applyAlignment="1">
      <alignment horizontal="center"/>
    </xf>
    <xf numFmtId="37" fontId="71" fillId="0" borderId="47" xfId="57515" applyFont="1" applyFill="1" applyBorder="1" applyAlignment="1">
      <alignment horizontal="center"/>
    </xf>
    <xf numFmtId="37" fontId="71" fillId="0" borderId="48" xfId="57515" applyFont="1" applyFill="1" applyBorder="1" applyAlignment="1">
      <alignment horizontal="center"/>
    </xf>
    <xf numFmtId="37" fontId="71" fillId="0" borderId="46" xfId="57515" applyFont="1" applyFill="1" applyBorder="1" applyAlignment="1">
      <alignment horizontal="center"/>
    </xf>
    <xf numFmtId="0" fontId="99" fillId="0" borderId="36" xfId="24280" applyFont="1" applyFill="1" applyBorder="1" applyAlignment="1">
      <alignment horizontal="center"/>
    </xf>
    <xf numFmtId="0" fontId="99" fillId="0" borderId="2" xfId="24280" applyFont="1" applyFill="1" applyBorder="1" applyAlignment="1">
      <alignment horizontal="center"/>
    </xf>
    <xf numFmtId="0" fontId="99" fillId="0" borderId="37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/>
    </xf>
    <xf numFmtId="0" fontId="96" fillId="0" borderId="0" xfId="24280" applyFont="1" applyFill="1" applyAlignment="1">
      <alignment horizontal="left" wrapText="1"/>
    </xf>
    <xf numFmtId="0" fontId="95" fillId="0" borderId="0" xfId="24280" applyFont="1" applyFill="1" applyAlignment="1">
      <alignment horizontal="center"/>
    </xf>
    <xf numFmtId="0" fontId="96" fillId="0" borderId="0" xfId="24280" applyFont="1" applyFill="1" applyAlignment="1">
      <alignment horizontal="center"/>
    </xf>
    <xf numFmtId="0" fontId="95" fillId="0" borderId="1" xfId="24280" applyFont="1" applyFill="1" applyBorder="1" applyAlignment="1">
      <alignment horizontal="center"/>
    </xf>
    <xf numFmtId="0" fontId="96" fillId="0" borderId="1" xfId="24280" applyFont="1" applyFill="1" applyBorder="1" applyAlignment="1"/>
    <xf numFmtId="0" fontId="95" fillId="0" borderId="2" xfId="24280" applyFont="1" applyFill="1" applyBorder="1" applyAlignment="1">
      <alignment horizontal="center"/>
    </xf>
    <xf numFmtId="0" fontId="95" fillId="0" borderId="37" xfId="24280" applyFont="1" applyFill="1" applyBorder="1" applyAlignment="1">
      <alignment horizontal="center"/>
    </xf>
    <xf numFmtId="0" fontId="93" fillId="0" borderId="36" xfId="24280" applyFont="1" applyFill="1" applyBorder="1" applyAlignment="1">
      <alignment horizontal="center"/>
    </xf>
    <xf numFmtId="0" fontId="94" fillId="0" borderId="2" xfId="24280" applyFont="1" applyFill="1" applyBorder="1" applyAlignment="1">
      <alignment horizontal="center"/>
    </xf>
    <xf numFmtId="0" fontId="94" fillId="0" borderId="37" xfId="24280" applyFont="1" applyFill="1" applyBorder="1" applyAlignment="1">
      <alignment horizontal="center"/>
    </xf>
    <xf numFmtId="0" fontId="93" fillId="0" borderId="2" xfId="24280" applyFont="1" applyFill="1" applyBorder="1" applyAlignment="1">
      <alignment horizontal="center"/>
    </xf>
    <xf numFmtId="0" fontId="93" fillId="0" borderId="37" xfId="24280" applyFont="1" applyFill="1" applyBorder="1" applyAlignment="1">
      <alignment horizontal="center"/>
    </xf>
    <xf numFmtId="0" fontId="95" fillId="0" borderId="0" xfId="24280" applyFont="1" applyFill="1" applyAlignment="1">
      <alignment horizontal="left" wrapText="1"/>
    </xf>
    <xf numFmtId="0" fontId="82" fillId="0" borderId="46" xfId="5" quotePrefix="1" applyFont="1" applyFill="1" applyBorder="1" applyAlignment="1">
      <alignment horizontal="center"/>
    </xf>
    <xf numFmtId="0" fontId="82" fillId="0" borderId="47" xfId="5" quotePrefix="1" applyFont="1" applyFill="1" applyBorder="1" applyAlignment="1">
      <alignment horizontal="center"/>
    </xf>
    <xf numFmtId="0" fontId="82" fillId="0" borderId="48" xfId="5" quotePrefix="1" applyFont="1" applyFill="1" applyBorder="1" applyAlignment="1">
      <alignment horizontal="center"/>
    </xf>
    <xf numFmtId="0" fontId="82" fillId="0" borderId="47" xfId="5" applyFont="1" applyFill="1" applyBorder="1" applyAlignment="1">
      <alignment horizontal="center"/>
    </xf>
    <xf numFmtId="0" fontId="82" fillId="0" borderId="48" xfId="5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5" fillId="0" borderId="48" xfId="5" quotePrefix="1" applyFont="1" applyFill="1" applyBorder="1" applyAlignment="1">
      <alignment horizontal="center"/>
    </xf>
    <xf numFmtId="0" fontId="90" fillId="0" borderId="50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55" borderId="50" xfId="0" applyFont="1" applyFill="1" applyBorder="1" applyAlignment="1">
      <alignment horizontal="center" vertical="center" wrapText="1"/>
    </xf>
    <xf numFmtId="0" fontId="90" fillId="55" borderId="53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wrapText="1"/>
    </xf>
    <xf numFmtId="0" fontId="90" fillId="0" borderId="52" xfId="0" applyFont="1" applyFill="1" applyBorder="1" applyAlignment="1">
      <alignment horizontal="center" wrapText="1"/>
    </xf>
    <xf numFmtId="0" fontId="90" fillId="55" borderId="51" xfId="0" applyFont="1" applyFill="1" applyBorder="1" applyAlignment="1">
      <alignment horizontal="center" vertical="center" wrapText="1"/>
    </xf>
    <xf numFmtId="0" fontId="90" fillId="55" borderId="52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0" fontId="90" fillId="0" borderId="55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vertical="center" wrapText="1"/>
    </xf>
    <xf numFmtId="0" fontId="90" fillId="0" borderId="52" xfId="0" applyFont="1" applyFill="1" applyBorder="1" applyAlignment="1">
      <alignment horizontal="center" vertical="center" wrapText="1"/>
    </xf>
    <xf numFmtId="0" fontId="90" fillId="55" borderId="51" xfId="0" applyFont="1" applyFill="1" applyBorder="1" applyAlignment="1">
      <alignment horizontal="center" wrapText="1"/>
    </xf>
    <xf numFmtId="0" fontId="90" fillId="55" borderId="52" xfId="0" applyFont="1" applyFill="1" applyBorder="1" applyAlignment="1">
      <alignment horizontal="center" wrapText="1"/>
    </xf>
    <xf numFmtId="0" fontId="90" fillId="0" borderId="0" xfId="0" quotePrefix="1" applyFont="1" applyFill="1" applyAlignment="1">
      <alignment horizontal="left"/>
    </xf>
    <xf numFmtId="0" fontId="90" fillId="0" borderId="0" xfId="0" quotePrefix="1" applyFont="1" applyFill="1" applyAlignment="1">
      <alignment horizontal="left" wrapText="1"/>
    </xf>
    <xf numFmtId="0" fontId="90" fillId="0" borderId="0" xfId="0" applyFont="1" applyFill="1" applyAlignment="1">
      <alignment horizontal="left" wrapText="1"/>
    </xf>
    <xf numFmtId="0" fontId="90" fillId="0" borderId="50" xfId="0" quotePrefix="1" applyFont="1" applyFill="1" applyBorder="1" applyAlignment="1">
      <alignment horizontal="center" wrapText="1"/>
    </xf>
    <xf numFmtId="0" fontId="90" fillId="0" borderId="55" xfId="0" applyFont="1" applyFill="1" applyBorder="1" applyAlignment="1">
      <alignment horizontal="center" wrapText="1"/>
    </xf>
    <xf numFmtId="0" fontId="90" fillId="0" borderId="50" xfId="0" quotePrefix="1" applyFont="1" applyFill="1" applyBorder="1" applyAlignment="1">
      <alignment horizontal="center" vertical="center" wrapText="1"/>
    </xf>
    <xf numFmtId="0" fontId="90" fillId="55" borderId="50" xfId="0" quotePrefix="1" applyFont="1" applyFill="1" applyBorder="1" applyAlignment="1">
      <alignment horizontal="center" vertical="center" wrapText="1"/>
    </xf>
    <xf numFmtId="0" fontId="90" fillId="55" borderId="55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left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AG33"/>
  <sheetViews>
    <sheetView topLeftCell="B1" workbookViewId="0">
      <selection activeCell="O19" sqref="O19"/>
    </sheetView>
  </sheetViews>
  <sheetFormatPr defaultRowHeight="12.75" x14ac:dyDescent="0.2"/>
  <cols>
    <col min="1" max="1" width="41.6640625" bestFit="1" customWidth="1"/>
    <col min="2" max="2" width="13.6640625" style="268" bestFit="1" customWidth="1"/>
    <col min="3" max="3" width="15.33203125" style="268" bestFit="1" customWidth="1"/>
    <col min="4" max="4" width="26.83203125" customWidth="1"/>
    <col min="5" max="5" width="14.1640625" bestFit="1" customWidth="1"/>
    <col min="6" max="6" width="21.1640625" bestFit="1" customWidth="1"/>
    <col min="7" max="7" width="14.1640625" bestFit="1" customWidth="1"/>
    <col min="8" max="8" width="16.83203125" bestFit="1" customWidth="1"/>
    <col min="9" max="9" width="2.83203125" customWidth="1"/>
    <col min="10" max="10" width="16.6640625" bestFit="1" customWidth="1"/>
    <col min="11" max="11" width="19" bestFit="1" customWidth="1"/>
    <col min="12" max="12" width="16" bestFit="1" customWidth="1"/>
    <col min="13" max="13" width="3.1640625" style="249" customWidth="1"/>
    <col min="14" max="14" width="16.6640625" bestFit="1" customWidth="1"/>
    <col min="15" max="15" width="18" bestFit="1" customWidth="1"/>
    <col min="16" max="16" width="19.1640625" bestFit="1" customWidth="1"/>
    <col min="17" max="17" width="18" bestFit="1" customWidth="1"/>
    <col min="18" max="18" width="18" customWidth="1"/>
    <col min="19" max="20" width="15.83203125" bestFit="1" customWidth="1"/>
    <col min="21" max="21" width="20.6640625" bestFit="1" customWidth="1"/>
    <col min="22" max="23" width="17.6640625" bestFit="1" customWidth="1"/>
    <col min="24" max="24" width="3.5" customWidth="1"/>
    <col min="25" max="28" width="20.5" customWidth="1"/>
    <col min="31" max="31" width="20.33203125" customWidth="1"/>
    <col min="32" max="32" width="3.6640625" customWidth="1"/>
    <col min="33" max="33" width="19.6640625" customWidth="1"/>
  </cols>
  <sheetData>
    <row r="2" spans="1:28" x14ac:dyDescent="0.2">
      <c r="A2" s="230" t="s">
        <v>178</v>
      </c>
      <c r="B2" s="584" t="s">
        <v>29</v>
      </c>
      <c r="C2" s="584"/>
      <c r="D2" s="215"/>
      <c r="W2" s="295" t="s">
        <v>29</v>
      </c>
    </row>
    <row r="3" spans="1:28" x14ac:dyDescent="0.2">
      <c r="A3" s="230" t="s">
        <v>179</v>
      </c>
      <c r="B3" s="585" t="s">
        <v>172</v>
      </c>
      <c r="C3" s="585"/>
      <c r="D3" s="216"/>
      <c r="W3" s="295" t="s">
        <v>197</v>
      </c>
    </row>
    <row r="4" spans="1:28" x14ac:dyDescent="0.2">
      <c r="A4" s="230" t="s">
        <v>180</v>
      </c>
      <c r="B4" s="585" t="s">
        <v>97</v>
      </c>
      <c r="C4" s="585"/>
      <c r="D4" s="216"/>
    </row>
    <row r="5" spans="1:28" x14ac:dyDescent="0.2">
      <c r="A5" s="231"/>
    </row>
    <row r="6" spans="1:28" x14ac:dyDescent="0.2">
      <c r="A6" s="230" t="s">
        <v>177</v>
      </c>
      <c r="B6" s="586">
        <v>42856</v>
      </c>
      <c r="C6" s="586"/>
      <c r="D6" s="217"/>
    </row>
    <row r="7" spans="1:28" x14ac:dyDescent="0.2">
      <c r="A7" s="231"/>
    </row>
    <row r="8" spans="1:28" x14ac:dyDescent="0.2">
      <c r="A8" s="230" t="s">
        <v>176</v>
      </c>
      <c r="B8" s="589">
        <v>2721226414</v>
      </c>
      <c r="C8" s="589"/>
      <c r="D8" s="295"/>
    </row>
    <row r="9" spans="1:28" x14ac:dyDescent="0.2">
      <c r="A9" s="252" t="s">
        <v>189</v>
      </c>
      <c r="B9" s="590">
        <v>-5412798</v>
      </c>
      <c r="C9" s="590"/>
      <c r="D9" s="295"/>
      <c r="E9" s="251"/>
    </row>
    <row r="10" spans="1:28" x14ac:dyDescent="0.2">
      <c r="A10" s="230" t="s">
        <v>181</v>
      </c>
      <c r="B10" s="589">
        <v>0</v>
      </c>
      <c r="C10" s="589"/>
      <c r="D10" s="295"/>
    </row>
    <row r="11" spans="1:28" x14ac:dyDescent="0.2">
      <c r="A11" s="230" t="s">
        <v>182</v>
      </c>
      <c r="B11" s="589">
        <v>-428714</v>
      </c>
      <c r="C11" s="589"/>
      <c r="D11" s="295"/>
    </row>
    <row r="12" spans="1:28" x14ac:dyDescent="0.2">
      <c r="A12" s="232" t="s">
        <v>183</v>
      </c>
      <c r="B12" s="587">
        <v>0.89080000000000004</v>
      </c>
      <c r="C12" s="587"/>
    </row>
    <row r="13" spans="1:28" x14ac:dyDescent="0.2">
      <c r="A13" s="230" t="s">
        <v>184</v>
      </c>
      <c r="B13" s="588">
        <v>9.7000000000000003E-2</v>
      </c>
      <c r="C13" s="588"/>
    </row>
    <row r="14" spans="1:28" x14ac:dyDescent="0.2">
      <c r="A14" s="230" t="s">
        <v>185</v>
      </c>
      <c r="B14" s="588">
        <v>9.7000000000000003E-2</v>
      </c>
      <c r="C14" s="588"/>
    </row>
    <row r="15" spans="1:28" x14ac:dyDescent="0.2">
      <c r="B15" s="512">
        <v>2</v>
      </c>
      <c r="C15" s="512">
        <v>3</v>
      </c>
      <c r="D15" s="268">
        <v>4</v>
      </c>
      <c r="E15" s="268">
        <v>5</v>
      </c>
      <c r="F15" s="268">
        <v>6</v>
      </c>
      <c r="G15" s="268">
        <v>7</v>
      </c>
      <c r="H15" s="268">
        <v>8</v>
      </c>
      <c r="I15" s="268">
        <v>9</v>
      </c>
      <c r="J15" s="268">
        <v>10</v>
      </c>
      <c r="K15" s="268">
        <v>11</v>
      </c>
      <c r="L15" s="268">
        <v>12</v>
      </c>
      <c r="M15" s="268">
        <v>13</v>
      </c>
      <c r="N15" s="268">
        <v>14</v>
      </c>
      <c r="O15" s="268">
        <v>15</v>
      </c>
      <c r="P15" s="268">
        <v>16</v>
      </c>
      <c r="Q15" s="268">
        <v>17</v>
      </c>
      <c r="R15" s="268">
        <v>18</v>
      </c>
      <c r="S15" s="268">
        <v>19</v>
      </c>
      <c r="T15" s="268">
        <v>20</v>
      </c>
      <c r="U15" s="268">
        <v>21</v>
      </c>
      <c r="V15" s="268">
        <v>22</v>
      </c>
      <c r="W15" s="268">
        <v>23</v>
      </c>
      <c r="X15" s="268">
        <v>24</v>
      </c>
      <c r="Y15" s="268">
        <v>25</v>
      </c>
      <c r="Z15" s="268">
        <v>26</v>
      </c>
      <c r="AA15" s="268">
        <v>27</v>
      </c>
      <c r="AB15" s="268">
        <v>28</v>
      </c>
    </row>
    <row r="16" spans="1:28" ht="13.5" thickBot="1" x14ac:dyDescent="0.25"/>
    <row r="17" spans="1:33" ht="16.5" thickBot="1" x14ac:dyDescent="0.3">
      <c r="A17" s="215"/>
      <c r="B17" s="269"/>
      <c r="C17" s="270"/>
      <c r="D17" s="263"/>
      <c r="E17" s="576" t="s">
        <v>187</v>
      </c>
      <c r="F17" s="577"/>
      <c r="G17" s="577"/>
      <c r="H17" s="578"/>
      <c r="I17" s="283"/>
      <c r="J17" s="576" t="s">
        <v>188</v>
      </c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8"/>
      <c r="X17" s="348"/>
      <c r="Y17" s="581" t="s">
        <v>228</v>
      </c>
      <c r="Z17" s="582"/>
      <c r="AA17" s="582"/>
      <c r="AB17" s="583"/>
    </row>
    <row r="18" spans="1:33" ht="13.5" thickBot="1" x14ac:dyDescent="0.25">
      <c r="A18" s="215"/>
      <c r="B18" s="284"/>
      <c r="C18" s="277"/>
      <c r="D18" s="264"/>
      <c r="E18" s="579" t="s">
        <v>173</v>
      </c>
      <c r="F18" s="580"/>
      <c r="G18" s="579" t="s">
        <v>174</v>
      </c>
      <c r="H18" s="580"/>
      <c r="I18" s="282"/>
      <c r="J18" s="573" t="s">
        <v>173</v>
      </c>
      <c r="K18" s="574"/>
      <c r="L18" s="575"/>
      <c r="M18" s="292"/>
      <c r="N18" s="573" t="s">
        <v>174</v>
      </c>
      <c r="O18" s="574"/>
      <c r="P18" s="574"/>
      <c r="Q18" s="574"/>
      <c r="R18" s="574"/>
      <c r="S18" s="574"/>
      <c r="T18" s="574"/>
      <c r="U18" s="574"/>
      <c r="V18" s="574"/>
      <c r="W18" s="575"/>
      <c r="X18" s="348"/>
      <c r="Y18" s="353"/>
      <c r="Z18" s="354"/>
      <c r="AA18" s="354"/>
      <c r="AB18" s="355"/>
    </row>
    <row r="19" spans="1:33" s="268" customFormat="1" ht="55.5" customHeight="1" x14ac:dyDescent="0.2">
      <c r="A19" s="267"/>
      <c r="B19" s="280" t="s">
        <v>0</v>
      </c>
      <c r="C19" s="281" t="s">
        <v>1</v>
      </c>
      <c r="D19" s="285" t="s">
        <v>193</v>
      </c>
      <c r="E19" s="286" t="s">
        <v>2</v>
      </c>
      <c r="F19" s="287" t="s">
        <v>3</v>
      </c>
      <c r="G19" s="286" t="s">
        <v>2</v>
      </c>
      <c r="H19" s="287" t="s">
        <v>3</v>
      </c>
      <c r="I19" s="288"/>
      <c r="J19" s="289" t="s">
        <v>7</v>
      </c>
      <c r="K19" s="290" t="s">
        <v>186</v>
      </c>
      <c r="L19" s="287" t="s">
        <v>20</v>
      </c>
      <c r="M19" s="288"/>
      <c r="N19" s="289" t="s">
        <v>7</v>
      </c>
      <c r="O19" s="290" t="s">
        <v>186</v>
      </c>
      <c r="P19" s="290" t="s">
        <v>20</v>
      </c>
      <c r="Q19" s="289" t="s">
        <v>37</v>
      </c>
      <c r="R19" s="514" t="s">
        <v>254</v>
      </c>
      <c r="S19" s="290" t="s">
        <v>32</v>
      </c>
      <c r="T19" s="291" t="s">
        <v>33</v>
      </c>
      <c r="U19" s="290" t="s">
        <v>17</v>
      </c>
      <c r="V19" s="290" t="s">
        <v>34</v>
      </c>
      <c r="W19" s="287" t="s">
        <v>35</v>
      </c>
      <c r="X19" s="349"/>
      <c r="Y19" s="289" t="s">
        <v>229</v>
      </c>
      <c r="Z19" s="291" t="s">
        <v>230</v>
      </c>
      <c r="AA19" s="356" t="s">
        <v>231</v>
      </c>
      <c r="AB19" s="357" t="s">
        <v>232</v>
      </c>
    </row>
    <row r="20" spans="1:33" ht="70.5" customHeight="1" thickBot="1" x14ac:dyDescent="0.25">
      <c r="A20" s="216"/>
      <c r="B20" s="274"/>
      <c r="C20" s="275"/>
      <c r="D20" s="279" t="s">
        <v>21</v>
      </c>
      <c r="E20" s="278" t="s">
        <v>21</v>
      </c>
      <c r="F20" s="279" t="s">
        <v>21</v>
      </c>
      <c r="G20" s="278" t="s">
        <v>21</v>
      </c>
      <c r="H20" s="279" t="s">
        <v>21</v>
      </c>
      <c r="I20" s="226"/>
      <c r="J20" s="225"/>
      <c r="K20" s="276" t="s">
        <v>13</v>
      </c>
      <c r="L20" s="258" t="s">
        <v>13</v>
      </c>
      <c r="M20" s="226"/>
      <c r="N20" s="225"/>
      <c r="O20" s="276" t="s">
        <v>13</v>
      </c>
      <c r="P20" s="257" t="s">
        <v>13</v>
      </c>
      <c r="Q20" s="518" t="s">
        <v>259</v>
      </c>
      <c r="R20" s="519" t="s">
        <v>260</v>
      </c>
      <c r="S20" s="257" t="s">
        <v>28</v>
      </c>
      <c r="T20" s="257" t="s">
        <v>28</v>
      </c>
      <c r="U20" s="257" t="s">
        <v>28</v>
      </c>
      <c r="V20" s="257" t="s">
        <v>233</v>
      </c>
      <c r="W20" s="515" t="s">
        <v>233</v>
      </c>
      <c r="X20" s="348"/>
      <c r="Y20" s="353"/>
      <c r="Z20" s="354"/>
      <c r="AA20" s="358" t="s">
        <v>233</v>
      </c>
      <c r="AB20" s="359" t="s">
        <v>233</v>
      </c>
      <c r="AE20" s="523" t="s">
        <v>261</v>
      </c>
      <c r="AF20" s="475"/>
      <c r="AG20" s="523" t="s">
        <v>262</v>
      </c>
    </row>
    <row r="21" spans="1:33" ht="12.75" customHeight="1" x14ac:dyDescent="0.2">
      <c r="A21" s="571" t="s">
        <v>175</v>
      </c>
      <c r="B21" s="271">
        <f>B6</f>
        <v>42856</v>
      </c>
      <c r="C21" s="265">
        <f t="shared" ref="C21:C26" si="0">EDATE(B21,-2)</f>
        <v>42795</v>
      </c>
      <c r="D21" s="478">
        <v>0.88580000000000003</v>
      </c>
      <c r="E21" s="479">
        <v>0.10539999999999999</v>
      </c>
      <c r="F21" s="480">
        <v>1041124198</v>
      </c>
      <c r="G21" s="481">
        <v>0.1036</v>
      </c>
      <c r="H21" s="480">
        <v>8353533</v>
      </c>
      <c r="I21" s="220"/>
      <c r="J21" s="489">
        <f>'Q1 p3. - ROR (Mar-May)'!$R31</f>
        <v>0.10580000000000001</v>
      </c>
      <c r="K21" s="490">
        <v>1041124198</v>
      </c>
      <c r="L21" s="491">
        <f>4747922+10840.22-76</f>
        <v>4758686.22</v>
      </c>
      <c r="M21" s="220"/>
      <c r="N21" s="489">
        <f>'Q1 p3. - ROR (Mar-May)'!$R45</f>
        <v>0.1042</v>
      </c>
      <c r="O21" s="498">
        <v>8353533</v>
      </c>
      <c r="P21" s="499">
        <v>53977.755767411392</v>
      </c>
      <c r="Q21" s="516">
        <v>0</v>
      </c>
      <c r="R21" s="516">
        <v>0</v>
      </c>
      <c r="S21" s="143">
        <v>2.9264018842722367E-2</v>
      </c>
      <c r="T21" s="143">
        <v>4.3600131284504115E-2</v>
      </c>
      <c r="U21" s="517">
        <v>8842155</v>
      </c>
      <c r="V21" s="517">
        <v>1135332.79</v>
      </c>
      <c r="W21" s="483">
        <v>2006442.55</v>
      </c>
      <c r="X21" s="351"/>
      <c r="Y21" s="506">
        <v>49614958</v>
      </c>
      <c r="Z21" s="500">
        <v>48923863</v>
      </c>
      <c r="AA21" s="507">
        <v>38803322.200000003</v>
      </c>
      <c r="AB21" s="508">
        <v>46450201.18</v>
      </c>
      <c r="AE21" s="522">
        <f>Y21+Z21</f>
        <v>98538821</v>
      </c>
      <c r="AF21" s="522"/>
      <c r="AG21" s="522">
        <f>AA21+AB21</f>
        <v>85253523.379999995</v>
      </c>
    </row>
    <row r="22" spans="1:33" ht="12.75" customHeight="1" x14ac:dyDescent="0.2">
      <c r="A22" s="572"/>
      <c r="B22" s="272">
        <f>EDATE(B21,1)</f>
        <v>42887</v>
      </c>
      <c r="C22" s="265">
        <f t="shared" si="0"/>
        <v>42826</v>
      </c>
      <c r="D22" s="482">
        <v>0.86919999999999997</v>
      </c>
      <c r="E22" s="143">
        <v>0.10539999999999999</v>
      </c>
      <c r="F22" s="483">
        <v>1041677878</v>
      </c>
      <c r="G22" s="484">
        <v>0.1036</v>
      </c>
      <c r="H22" s="483">
        <v>8920416</v>
      </c>
      <c r="I22" s="221"/>
      <c r="J22" s="492">
        <f>J21</f>
        <v>0.10580000000000001</v>
      </c>
      <c r="K22" s="493">
        <v>1041677878</v>
      </c>
      <c r="L22" s="494">
        <f>4229885+2744.52-0</f>
        <v>4232629.5199999996</v>
      </c>
      <c r="M22" s="221"/>
      <c r="N22" s="492">
        <f>N21</f>
        <v>0.1042</v>
      </c>
      <c r="O22" s="500">
        <v>8920416</v>
      </c>
      <c r="P22" s="501">
        <v>59146.962930037938</v>
      </c>
      <c r="Q22" s="502">
        <v>0</v>
      </c>
      <c r="R22" s="502">
        <v>0</v>
      </c>
      <c r="S22" s="143">
        <v>3.3186554597484021E-2</v>
      </c>
      <c r="T22" s="143">
        <v>4.9378422285484419E-2</v>
      </c>
      <c r="U22" s="493">
        <v>7697110</v>
      </c>
      <c r="V22" s="493">
        <v>1583495.79</v>
      </c>
      <c r="W22" s="494">
        <v>2535471.63</v>
      </c>
      <c r="X22" s="350"/>
      <c r="Y22" s="506">
        <v>49607123</v>
      </c>
      <c r="Z22" s="500">
        <v>48738176</v>
      </c>
      <c r="AA22" s="507">
        <v>47840943.749999993</v>
      </c>
      <c r="AB22" s="508">
        <v>52331970.649999991</v>
      </c>
      <c r="AE22" s="522">
        <f t="shared" ref="AE22:AE26" si="1">Y22+Z22</f>
        <v>98345299</v>
      </c>
      <c r="AF22" s="522"/>
      <c r="AG22" s="522">
        <f t="shared" ref="AG22:AG26" si="2">AA22+AB22</f>
        <v>100172914.39999998</v>
      </c>
    </row>
    <row r="23" spans="1:33" ht="12.75" customHeight="1" x14ac:dyDescent="0.2">
      <c r="A23" s="572"/>
      <c r="B23" s="272">
        <f t="shared" ref="B23:B26" si="3">EDATE(B22,1)*1</f>
        <v>42917</v>
      </c>
      <c r="C23" s="265">
        <f t="shared" si="0"/>
        <v>42856</v>
      </c>
      <c r="D23" s="482">
        <v>0.88190000000000002</v>
      </c>
      <c r="E23" s="143">
        <v>0.10539999999999999</v>
      </c>
      <c r="F23" s="483">
        <v>1042353494</v>
      </c>
      <c r="G23" s="484">
        <v>0.1036</v>
      </c>
      <c r="H23" s="483">
        <v>9964967</v>
      </c>
      <c r="I23" s="221"/>
      <c r="J23" s="492">
        <f t="shared" ref="J23:J25" si="4">J22</f>
        <v>0.10580000000000001</v>
      </c>
      <c r="K23" s="493">
        <v>1042353494</v>
      </c>
      <c r="L23" s="494">
        <f>4540497+1485.23-0</f>
        <v>4541982.2300000004</v>
      </c>
      <c r="M23" s="221"/>
      <c r="N23" s="492">
        <f t="shared" ref="N23:N25" si="5">N22</f>
        <v>0.1042</v>
      </c>
      <c r="O23" s="500">
        <v>9964967</v>
      </c>
      <c r="P23" s="501">
        <v>61604.95714006928</v>
      </c>
      <c r="Q23" s="502">
        <v>0</v>
      </c>
      <c r="R23" s="502">
        <v>0</v>
      </c>
      <c r="S23" s="143">
        <v>3.6977067712036203E-2</v>
      </c>
      <c r="T23" s="143">
        <v>5.5166400796730006E-2</v>
      </c>
      <c r="U23" s="493">
        <v>7671760</v>
      </c>
      <c r="V23" s="493">
        <v>2013392.17</v>
      </c>
      <c r="W23" s="494">
        <v>2848529.9</v>
      </c>
      <c r="X23" s="350"/>
      <c r="Y23" s="506">
        <v>49888771</v>
      </c>
      <c r="Z23" s="500">
        <v>48822588</v>
      </c>
      <c r="AA23" s="507">
        <v>54493477.159999989</v>
      </c>
      <c r="AB23" s="508">
        <v>52375278.870000005</v>
      </c>
      <c r="AE23" s="522">
        <f t="shared" si="1"/>
        <v>98711359</v>
      </c>
      <c r="AF23" s="522"/>
      <c r="AG23" s="522">
        <f t="shared" si="2"/>
        <v>106868756.03</v>
      </c>
    </row>
    <row r="24" spans="1:33" ht="12.75" customHeight="1" x14ac:dyDescent="0.2">
      <c r="A24" s="259" t="s">
        <v>234</v>
      </c>
      <c r="B24" s="272">
        <f t="shared" si="3"/>
        <v>42948</v>
      </c>
      <c r="C24" s="265">
        <f t="shared" si="0"/>
        <v>42887</v>
      </c>
      <c r="D24" s="482">
        <v>0.89259999999999995</v>
      </c>
      <c r="E24" s="143">
        <v>0.10349999999999999</v>
      </c>
      <c r="F24" s="483">
        <v>1040848014</v>
      </c>
      <c r="G24" s="484">
        <v>0.10349999999999999</v>
      </c>
      <c r="H24" s="483">
        <v>14736705</v>
      </c>
      <c r="I24" s="221"/>
      <c r="J24" s="492">
        <f>'Q1 p.4 - ROR (Jun-Aug)'!R31</f>
        <v>0.1036</v>
      </c>
      <c r="K24" s="493">
        <v>1040848014</v>
      </c>
      <c r="L24" s="494">
        <f>4794535+22196.13-0</f>
        <v>4816731.13</v>
      </c>
      <c r="M24" s="221"/>
      <c r="N24" s="492">
        <f>'Q1 p.4 - ROR (Jun-Aug)'!R31</f>
        <v>0.1036</v>
      </c>
      <c r="O24" s="500">
        <v>14736705</v>
      </c>
      <c r="P24" s="501">
        <v>68032.281519930242</v>
      </c>
      <c r="Q24" s="502">
        <v>-110995</v>
      </c>
      <c r="R24" s="502">
        <v>0</v>
      </c>
      <c r="S24" s="143">
        <v>2.7218282107514927E-2</v>
      </c>
      <c r="T24" s="143">
        <v>4.0692077749259786E-2</v>
      </c>
      <c r="U24" s="493">
        <v>9019624</v>
      </c>
      <c r="V24" s="493">
        <v>1489843.29</v>
      </c>
      <c r="W24" s="494">
        <v>2478997</v>
      </c>
      <c r="X24" s="350"/>
      <c r="Y24" s="506">
        <v>50073776</v>
      </c>
      <c r="Z24" s="500">
        <v>48982565</v>
      </c>
      <c r="AA24" s="507">
        <v>54500904.279999971</v>
      </c>
      <c r="AB24" s="508">
        <v>57572373.339999989</v>
      </c>
      <c r="AE24" s="522">
        <f t="shared" si="1"/>
        <v>99056341</v>
      </c>
      <c r="AF24" s="522"/>
      <c r="AG24" s="522">
        <f t="shared" si="2"/>
        <v>112073277.61999996</v>
      </c>
    </row>
    <row r="25" spans="1:33" ht="12.75" customHeight="1" x14ac:dyDescent="0.2">
      <c r="A25" s="254"/>
      <c r="B25" s="272">
        <f t="shared" si="3"/>
        <v>42979</v>
      </c>
      <c r="C25" s="265">
        <f t="shared" si="0"/>
        <v>42917</v>
      </c>
      <c r="D25" s="482">
        <v>0.88780000000000003</v>
      </c>
      <c r="E25" s="143">
        <v>0.10349999999999999</v>
      </c>
      <c r="F25" s="483">
        <v>1050180118</v>
      </c>
      <c r="G25" s="484">
        <v>0.10349999999999999</v>
      </c>
      <c r="H25" s="483">
        <v>20177456</v>
      </c>
      <c r="I25" s="221"/>
      <c r="J25" s="492">
        <f t="shared" si="4"/>
        <v>0.1036</v>
      </c>
      <c r="K25" s="493">
        <v>1050361053</v>
      </c>
      <c r="L25" s="494">
        <f>5086595-3423-0</f>
        <v>5083172</v>
      </c>
      <c r="M25" s="221"/>
      <c r="N25" s="492">
        <f t="shared" si="5"/>
        <v>0.1036</v>
      </c>
      <c r="O25" s="500">
        <v>20177730</v>
      </c>
      <c r="P25" s="501">
        <v>70990.890223633949</v>
      </c>
      <c r="Q25" s="502">
        <v>0</v>
      </c>
      <c r="R25" s="502">
        <v>0</v>
      </c>
      <c r="S25" s="143">
        <v>2.6706325961169421E-2</v>
      </c>
      <c r="T25" s="143">
        <v>3.9943104053780952E-2</v>
      </c>
      <c r="U25" s="493">
        <v>9478458</v>
      </c>
      <c r="V25" s="493">
        <v>1251817.55</v>
      </c>
      <c r="W25" s="494">
        <v>2032842.07</v>
      </c>
      <c r="X25" s="350"/>
      <c r="Y25" s="506">
        <v>50068011</v>
      </c>
      <c r="Z25" s="500">
        <v>48977102</v>
      </c>
      <c r="AA25" s="507">
        <v>46882278.529999994</v>
      </c>
      <c r="AB25" s="508">
        <v>51024872.140000001</v>
      </c>
      <c r="AE25" s="522">
        <f t="shared" si="1"/>
        <v>99045113</v>
      </c>
      <c r="AF25" s="522"/>
      <c r="AG25" s="522">
        <f t="shared" si="2"/>
        <v>97907150.669999987</v>
      </c>
    </row>
    <row r="26" spans="1:33" ht="13.5" customHeight="1" thickBot="1" x14ac:dyDescent="0.25">
      <c r="A26" s="255"/>
      <c r="B26" s="273">
        <f t="shared" si="3"/>
        <v>43009</v>
      </c>
      <c r="C26" s="266">
        <f t="shared" si="0"/>
        <v>42948</v>
      </c>
      <c r="D26" s="485">
        <v>0.88870000000000005</v>
      </c>
      <c r="E26" s="486">
        <v>0.10349999999999999</v>
      </c>
      <c r="F26" s="487">
        <v>1048965257</v>
      </c>
      <c r="G26" s="488">
        <v>0.10349999999999999</v>
      </c>
      <c r="H26" s="487">
        <v>28249312</v>
      </c>
      <c r="I26" s="222"/>
      <c r="J26" s="495">
        <f>J25</f>
        <v>0.1036</v>
      </c>
      <c r="K26" s="496">
        <v>1049324598</v>
      </c>
      <c r="L26" s="497">
        <f>5066609+4241.04-0</f>
        <v>5070850.04</v>
      </c>
      <c r="M26" s="222"/>
      <c r="N26" s="495">
        <f>N25</f>
        <v>0.1036</v>
      </c>
      <c r="O26" s="503">
        <v>28249859</v>
      </c>
      <c r="P26" s="504">
        <v>76438.48</v>
      </c>
      <c r="Q26" s="505">
        <v>0</v>
      </c>
      <c r="R26" s="505">
        <v>0</v>
      </c>
      <c r="S26" s="486">
        <v>2.4297050993229524E-2</v>
      </c>
      <c r="T26" s="486">
        <v>3.6299531104929471E-2</v>
      </c>
      <c r="U26" s="496">
        <v>9836556</v>
      </c>
      <c r="V26" s="496">
        <v>995268.33</v>
      </c>
      <c r="W26" s="497">
        <v>1911418.71</v>
      </c>
      <c r="X26" s="350"/>
      <c r="Y26" s="509">
        <v>49659379</v>
      </c>
      <c r="Z26" s="503">
        <v>49261047</v>
      </c>
      <c r="AA26" s="510">
        <v>40804824.289999992</v>
      </c>
      <c r="AB26" s="511">
        <v>51794587.329999998</v>
      </c>
      <c r="AE26" s="522">
        <f t="shared" si="1"/>
        <v>98920426</v>
      </c>
      <c r="AF26" s="522"/>
      <c r="AG26" s="522">
        <f t="shared" si="2"/>
        <v>92599411.61999999</v>
      </c>
    </row>
    <row r="27" spans="1:33" x14ac:dyDescent="0.2">
      <c r="M27" s="250"/>
    </row>
    <row r="28" spans="1:33" x14ac:dyDescent="0.2">
      <c r="A28" s="256"/>
      <c r="D28" s="293"/>
      <c r="E28" s="293"/>
      <c r="F28" s="369"/>
      <c r="G28" s="293"/>
      <c r="H28" s="370"/>
      <c r="J28" s="296"/>
      <c r="K28" s="368"/>
      <c r="L28" s="296"/>
      <c r="M28" s="297"/>
      <c r="N28" s="296"/>
      <c r="P28" s="296"/>
      <c r="Q28" s="293"/>
      <c r="R28" s="293"/>
      <c r="S28" s="293"/>
      <c r="T28" s="293"/>
      <c r="U28" s="293"/>
      <c r="V28" s="293"/>
      <c r="W28" s="293"/>
    </row>
    <row r="29" spans="1:33" x14ac:dyDescent="0.2">
      <c r="A29" s="256"/>
      <c r="F29" s="369"/>
      <c r="K29" s="368"/>
    </row>
    <row r="30" spans="1:33" x14ac:dyDescent="0.2">
      <c r="A30" s="256"/>
      <c r="F30" s="369"/>
      <c r="K30" s="368"/>
    </row>
    <row r="31" spans="1:33" x14ac:dyDescent="0.2">
      <c r="A31" s="256"/>
      <c r="F31" s="369"/>
      <c r="K31" s="368"/>
    </row>
    <row r="32" spans="1:33" x14ac:dyDescent="0.2">
      <c r="F32" s="369"/>
      <c r="K32" s="368"/>
    </row>
    <row r="33" spans="6:6" x14ac:dyDescent="0.2">
      <c r="F33" s="369"/>
    </row>
  </sheetData>
  <mergeCells count="19">
    <mergeCell ref="Y17:AB17"/>
    <mergeCell ref="B2:C2"/>
    <mergeCell ref="B3:C3"/>
    <mergeCell ref="B4:C4"/>
    <mergeCell ref="B6:C6"/>
    <mergeCell ref="E17:H17"/>
    <mergeCell ref="B12:C12"/>
    <mergeCell ref="B13:C13"/>
    <mergeCell ref="B14:C14"/>
    <mergeCell ref="B8:C8"/>
    <mergeCell ref="B9:C9"/>
    <mergeCell ref="B10:C10"/>
    <mergeCell ref="B11:C11"/>
    <mergeCell ref="A21:A23"/>
    <mergeCell ref="N18:W18"/>
    <mergeCell ref="J17:W17"/>
    <mergeCell ref="J18:L18"/>
    <mergeCell ref="E18:F18"/>
    <mergeCell ref="G18:H18"/>
  </mergeCells>
  <dataValidations disablePrompts="1" count="1">
    <dataValidation type="list" allowBlank="1" showInputMessage="1" showErrorMessage="1" sqref="B2:C2">
      <formula1>$W$2:$W$3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D63"/>
  <sheetViews>
    <sheetView workbookViewId="0">
      <selection activeCell="G1" sqref="G1"/>
    </sheetView>
  </sheetViews>
  <sheetFormatPr defaultRowHeight="12.75" x14ac:dyDescent="0.2"/>
  <cols>
    <col min="1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57" t="str">
        <f>'Input Tab'!B2</f>
        <v>Kentucky Utilities Company</v>
      </c>
      <c r="B1" s="3"/>
      <c r="I1" s="1" t="str">
        <f>'Q2 p.1 - Retail E(m)'!H1</f>
        <v>Corrected Attachment to Response to Question No. 2</v>
      </c>
    </row>
    <row r="2" spans="1:27" ht="12.75" customHeight="1" x14ac:dyDescent="0.3">
      <c r="A2" s="57" t="s">
        <v>38</v>
      </c>
      <c r="B2" s="3"/>
      <c r="I2" s="1" t="s">
        <v>192</v>
      </c>
    </row>
    <row r="3" spans="1:27" ht="12.75" customHeight="1" x14ac:dyDescent="0.3">
      <c r="A3" s="58" t="s">
        <v>250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619" t="s">
        <v>100</v>
      </c>
      <c r="B5" s="620"/>
      <c r="C5" s="620"/>
      <c r="D5" s="620"/>
      <c r="E5" s="620"/>
      <c r="F5" s="620"/>
      <c r="G5" s="620"/>
      <c r="H5" s="620"/>
      <c r="I5" s="621"/>
      <c r="K5"/>
      <c r="U5" s="4"/>
    </row>
    <row r="6" spans="1:27" s="5" customFormat="1" x14ac:dyDescent="0.2">
      <c r="A6" s="529">
        <v>-1</v>
      </c>
      <c r="B6" s="196">
        <f t="shared" ref="B6:I6" si="0">+A6-1</f>
        <v>-2</v>
      </c>
      <c r="C6" s="196">
        <f t="shared" si="0"/>
        <v>-3</v>
      </c>
      <c r="D6" s="196">
        <f t="shared" si="0"/>
        <v>-4</v>
      </c>
      <c r="E6" s="196">
        <f t="shared" si="0"/>
        <v>-5</v>
      </c>
      <c r="F6" s="196">
        <f t="shared" si="0"/>
        <v>-6</v>
      </c>
      <c r="G6" s="196">
        <f t="shared" si="0"/>
        <v>-7</v>
      </c>
      <c r="H6" s="196">
        <f t="shared" si="0"/>
        <v>-8</v>
      </c>
      <c r="I6" s="197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530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39</v>
      </c>
      <c r="H7" s="189" t="s">
        <v>40</v>
      </c>
      <c r="I7" s="190" t="s">
        <v>41</v>
      </c>
      <c r="K7"/>
      <c r="U7" s="7"/>
      <c r="V7" s="7"/>
      <c r="W7" s="7"/>
    </row>
    <row r="8" spans="1:27" x14ac:dyDescent="0.2">
      <c r="A8" s="127"/>
      <c r="B8" s="8"/>
      <c r="C8" s="9"/>
      <c r="D8" s="9"/>
      <c r="E8" s="140" t="s">
        <v>9</v>
      </c>
      <c r="F8" s="8"/>
      <c r="G8" s="9" t="s">
        <v>10</v>
      </c>
      <c r="H8" s="8"/>
      <c r="I8" s="133" t="s">
        <v>6</v>
      </c>
      <c r="K8"/>
      <c r="U8" s="7"/>
      <c r="V8" s="7"/>
      <c r="W8" s="7"/>
    </row>
    <row r="9" spans="1:27" x14ac:dyDescent="0.2">
      <c r="A9" s="127"/>
      <c r="B9" s="8"/>
      <c r="C9" s="9"/>
      <c r="D9" s="9"/>
      <c r="E9" s="140"/>
      <c r="F9" s="8"/>
      <c r="G9" s="9"/>
      <c r="H9" s="8"/>
      <c r="I9" s="133"/>
      <c r="K9"/>
      <c r="U9" s="7"/>
      <c r="V9" s="7"/>
      <c r="W9" s="7"/>
    </row>
    <row r="10" spans="1:27" x14ac:dyDescent="0.2">
      <c r="A10" s="531">
        <f>'Q1 p.1 - Rate Base True-up Adj'!A9</f>
        <v>42856</v>
      </c>
      <c r="B10" s="123">
        <f>'Q1 p.1 - Rate Base True-up Adj'!B9</f>
        <v>42795</v>
      </c>
      <c r="C10" s="11">
        <f>'Q1 p.1 - Rate Base True-up Adj'!C9</f>
        <v>0.10539999999999999</v>
      </c>
      <c r="D10" s="12">
        <f>'Q1 p.2 - Rate of Return Adj'!D9</f>
        <v>0.10580000000000001</v>
      </c>
      <c r="E10" s="11">
        <f t="shared" ref="E10:E15" si="1">D10-C10</f>
        <v>4.0000000000001146E-4</v>
      </c>
      <c r="F10" s="60">
        <f>'Q1 p.1 - Rate Base True-up Adj'!E9</f>
        <v>1041124198</v>
      </c>
      <c r="G10" s="60">
        <f t="shared" ref="G10:G15" si="2">(E10*F10)/12</f>
        <v>34704.139933334329</v>
      </c>
      <c r="H10" s="11">
        <f>'Input Tab'!D21</f>
        <v>0.88580000000000003</v>
      </c>
      <c r="I10" s="131">
        <f t="shared" ref="I10:I15" si="3">+G10*H10</f>
        <v>30740.927152947548</v>
      </c>
      <c r="K10"/>
      <c r="M10" s="473"/>
      <c r="U10" s="14"/>
      <c r="V10" s="14"/>
      <c r="W10" s="7"/>
    </row>
    <row r="11" spans="1:27" x14ac:dyDescent="0.2">
      <c r="A11" s="531">
        <f>'Q1 p.1 - Rate Base True-up Adj'!A10</f>
        <v>42887</v>
      </c>
      <c r="B11" s="123">
        <f>'Q1 p.1 - Rate Base True-up Adj'!B10</f>
        <v>42826</v>
      </c>
      <c r="C11" s="11">
        <f>'Q1 p.1 - Rate Base True-up Adj'!C10</f>
        <v>0.10539999999999999</v>
      </c>
      <c r="D11" s="12">
        <f>'Q1 p.2 - Rate of Return Adj'!D10</f>
        <v>0.10580000000000001</v>
      </c>
      <c r="E11" s="11">
        <f t="shared" si="1"/>
        <v>4.0000000000001146E-4</v>
      </c>
      <c r="F11" s="61">
        <f>'Q1 p.1 - Rate Base True-up Adj'!E10</f>
        <v>1041677878</v>
      </c>
      <c r="G11" s="61">
        <f t="shared" si="2"/>
        <v>34722.595933334327</v>
      </c>
      <c r="H11" s="11">
        <f>'Input Tab'!D22</f>
        <v>0.86919999999999997</v>
      </c>
      <c r="I11" s="191">
        <f t="shared" si="3"/>
        <v>30180.880385254197</v>
      </c>
      <c r="K11"/>
      <c r="M11" s="473"/>
      <c r="U11" s="14"/>
      <c r="V11" s="14"/>
      <c r="W11" s="7"/>
    </row>
    <row r="12" spans="1:27" x14ac:dyDescent="0.2">
      <c r="A12" s="531">
        <f>'Q1 p.1 - Rate Base True-up Adj'!A11</f>
        <v>42917</v>
      </c>
      <c r="B12" s="123">
        <f>'Q1 p.1 - Rate Base True-up Adj'!B11</f>
        <v>42856</v>
      </c>
      <c r="C12" s="11">
        <f>'Q1 p.1 - Rate Base True-up Adj'!C11</f>
        <v>0.10539999999999999</v>
      </c>
      <c r="D12" s="12">
        <f>'Q1 p.2 - Rate of Return Adj'!D11</f>
        <v>0.10580000000000001</v>
      </c>
      <c r="E12" s="11">
        <f t="shared" si="1"/>
        <v>4.0000000000001146E-4</v>
      </c>
      <c r="F12" s="61">
        <f>'Q1 p.1 - Rate Base True-up Adj'!E11</f>
        <v>1042353494</v>
      </c>
      <c r="G12" s="61">
        <f t="shared" si="2"/>
        <v>34745.116466667663</v>
      </c>
      <c r="H12" s="11">
        <f>'Input Tab'!D23</f>
        <v>0.88190000000000002</v>
      </c>
      <c r="I12" s="191">
        <f t="shared" si="3"/>
        <v>30641.718211954212</v>
      </c>
      <c r="K12"/>
      <c r="M12" s="473"/>
      <c r="U12" s="14"/>
      <c r="V12" s="14"/>
      <c r="W12" s="7"/>
    </row>
    <row r="13" spans="1:27" x14ac:dyDescent="0.2">
      <c r="A13" s="531">
        <f>'Q1 p.1 - Rate Base True-up Adj'!A12</f>
        <v>42948</v>
      </c>
      <c r="B13" s="123">
        <f>'Q1 p.1 - Rate Base True-up Adj'!B12</f>
        <v>42887</v>
      </c>
      <c r="C13" s="11">
        <f>'Q1 p.1 - Rate Base True-up Adj'!C12</f>
        <v>0.10349999999999999</v>
      </c>
      <c r="D13" s="12">
        <f>'Q1 p.2 - Rate of Return Adj'!D12</f>
        <v>0.1036</v>
      </c>
      <c r="E13" s="11">
        <f t="shared" si="1"/>
        <v>1.0000000000000286E-4</v>
      </c>
      <c r="F13" s="61">
        <f>'Q1 p.1 - Rate Base True-up Adj'!E12</f>
        <v>1040848014</v>
      </c>
      <c r="G13" s="61">
        <f t="shared" si="2"/>
        <v>8673.7334500002489</v>
      </c>
      <c r="H13" s="11">
        <f>'Input Tab'!D24</f>
        <v>0.89259999999999995</v>
      </c>
      <c r="I13" s="191">
        <f t="shared" si="3"/>
        <v>7742.174477470222</v>
      </c>
      <c r="K13"/>
      <c r="M13" s="473"/>
      <c r="U13" s="14"/>
      <c r="V13" s="14"/>
      <c r="W13" s="7"/>
      <c r="X13" s="16"/>
      <c r="Y13" s="17"/>
      <c r="AA13" s="18"/>
    </row>
    <row r="14" spans="1:27" x14ac:dyDescent="0.2">
      <c r="A14" s="531">
        <f>'Q1 p.1 - Rate Base True-up Adj'!A13</f>
        <v>42979</v>
      </c>
      <c r="B14" s="123">
        <f>'Q1 p.1 - Rate Base True-up Adj'!B13</f>
        <v>42917</v>
      </c>
      <c r="C14" s="11">
        <f>'Q1 p.1 - Rate Base True-up Adj'!C13</f>
        <v>0.10349999999999999</v>
      </c>
      <c r="D14" s="12">
        <f>'Q1 p.2 - Rate of Return Adj'!D13</f>
        <v>0.1036</v>
      </c>
      <c r="E14" s="11">
        <f t="shared" si="1"/>
        <v>1.0000000000000286E-4</v>
      </c>
      <c r="F14" s="61">
        <f>'Q1 p.1 - Rate Base True-up Adj'!E13</f>
        <v>1050361053</v>
      </c>
      <c r="G14" s="61">
        <f t="shared" si="2"/>
        <v>8753.0087750002513</v>
      </c>
      <c r="H14" s="11">
        <f>'Input Tab'!D25</f>
        <v>0.88780000000000003</v>
      </c>
      <c r="I14" s="191">
        <f t="shared" si="3"/>
        <v>7770.9211904452231</v>
      </c>
      <c r="K14"/>
      <c r="M14" s="473"/>
      <c r="U14" s="14"/>
      <c r="V14" s="14"/>
      <c r="W14" s="7"/>
      <c r="X14" s="16"/>
      <c r="Y14" s="17"/>
      <c r="AA14" s="18"/>
    </row>
    <row r="15" spans="1:27" x14ac:dyDescent="0.2">
      <c r="A15" s="531">
        <f>'Q1 p.1 - Rate Base True-up Adj'!A14</f>
        <v>43009</v>
      </c>
      <c r="B15" s="123">
        <f>'Q1 p.1 - Rate Base True-up Adj'!B14</f>
        <v>42948</v>
      </c>
      <c r="C15" s="11">
        <f>'Q1 p.1 - Rate Base True-up Adj'!C14</f>
        <v>0.10349999999999999</v>
      </c>
      <c r="D15" s="12">
        <f>'Q1 p.2 - Rate of Return Adj'!D14</f>
        <v>0.1036</v>
      </c>
      <c r="E15" s="11">
        <f t="shared" si="1"/>
        <v>1.0000000000000286E-4</v>
      </c>
      <c r="F15" s="61">
        <f>'Q1 p.1 - Rate Base True-up Adj'!E14</f>
        <v>1049324598</v>
      </c>
      <c r="G15" s="62">
        <f t="shared" si="2"/>
        <v>8744.3716500002502</v>
      </c>
      <c r="H15" s="11">
        <f>'Input Tab'!D26</f>
        <v>0.88870000000000005</v>
      </c>
      <c r="I15" s="192">
        <f t="shared" si="3"/>
        <v>7771.1230853552224</v>
      </c>
      <c r="K15"/>
      <c r="M15" s="473"/>
      <c r="U15" s="14"/>
      <c r="V15" s="14"/>
      <c r="W15" s="7"/>
      <c r="X15" s="16"/>
      <c r="Z15" s="18"/>
    </row>
    <row r="16" spans="1:27" x14ac:dyDescent="0.2">
      <c r="A16" s="532"/>
      <c r="B16" s="10"/>
      <c r="C16" s="8"/>
      <c r="D16" s="8"/>
      <c r="E16" s="8"/>
      <c r="F16" s="8"/>
      <c r="G16" s="60">
        <f>SUM(G10:G15)</f>
        <v>130342.96620833708</v>
      </c>
      <c r="H16" s="8"/>
      <c r="I16" s="131">
        <f>SUM(I10:I15)</f>
        <v>114847.74450342663</v>
      </c>
      <c r="K16"/>
      <c r="U16" s="7"/>
      <c r="V16" s="7"/>
      <c r="W16" s="7"/>
      <c r="Z16" s="18"/>
      <c r="AA16" s="18"/>
    </row>
    <row r="17" spans="1:27" ht="13.5" thickBot="1" x14ac:dyDescent="0.25">
      <c r="A17" s="533"/>
      <c r="B17" s="193"/>
      <c r="C17" s="135"/>
      <c r="D17" s="135"/>
      <c r="E17" s="135"/>
      <c r="F17" s="135"/>
      <c r="G17" s="194"/>
      <c r="H17" s="135"/>
      <c r="I17" s="195"/>
      <c r="K17"/>
      <c r="U17" s="7"/>
      <c r="V17" s="7"/>
      <c r="W17" s="7"/>
      <c r="Z17" s="18"/>
      <c r="AA17" s="18"/>
    </row>
    <row r="18" spans="1:27" ht="13.5" thickBot="1" x14ac:dyDescent="0.25">
      <c r="A18" s="10"/>
      <c r="B18" s="10"/>
      <c r="G18" s="60"/>
      <c r="I18" s="60"/>
      <c r="K18"/>
      <c r="U18" s="7"/>
      <c r="V18" s="7"/>
      <c r="W18" s="7"/>
      <c r="Z18" s="18"/>
      <c r="AA18" s="18"/>
    </row>
    <row r="19" spans="1:27" ht="13.5" thickBot="1" x14ac:dyDescent="0.25">
      <c r="A19" s="619" t="s">
        <v>101</v>
      </c>
      <c r="B19" s="622"/>
      <c r="C19" s="622"/>
      <c r="D19" s="622"/>
      <c r="E19" s="622"/>
      <c r="F19" s="622"/>
      <c r="G19" s="622"/>
      <c r="H19" s="622"/>
      <c r="I19" s="623"/>
      <c r="K19"/>
      <c r="U19" s="7"/>
      <c r="V19" s="7"/>
      <c r="W19" s="7"/>
      <c r="Z19" s="18"/>
      <c r="AA19" s="18"/>
    </row>
    <row r="20" spans="1:27" x14ac:dyDescent="0.2">
      <c r="A20" s="529">
        <v>-1</v>
      </c>
      <c r="B20" s="196">
        <f t="shared" ref="B20" si="4">+A20-1</f>
        <v>-2</v>
      </c>
      <c r="C20" s="196">
        <f t="shared" ref="C20" si="5">+B20-1</f>
        <v>-3</v>
      </c>
      <c r="D20" s="196">
        <f t="shared" ref="D20" si="6">+C20-1</f>
        <v>-4</v>
      </c>
      <c r="E20" s="196">
        <f t="shared" ref="E20" si="7">+D20-1</f>
        <v>-5</v>
      </c>
      <c r="F20" s="196">
        <f t="shared" ref="F20" si="8">+E20-1</f>
        <v>-6</v>
      </c>
      <c r="G20" s="196">
        <f t="shared" ref="G20" si="9">+F20-1</f>
        <v>-7</v>
      </c>
      <c r="H20" s="196">
        <f t="shared" ref="H20" si="10">+G20-1</f>
        <v>-8</v>
      </c>
      <c r="I20" s="197">
        <f t="shared" ref="I20" si="11">+H20-1</f>
        <v>-9</v>
      </c>
      <c r="K20"/>
      <c r="U20" s="7"/>
      <c r="V20" s="7"/>
      <c r="W20" s="7"/>
      <c r="Z20" s="18"/>
      <c r="AA20" s="18"/>
    </row>
    <row r="21" spans="1:27" ht="38.25" x14ac:dyDescent="0.2">
      <c r="A21" s="530" t="s">
        <v>0</v>
      </c>
      <c r="B21" s="20" t="s">
        <v>1</v>
      </c>
      <c r="C21" s="20" t="s">
        <v>2</v>
      </c>
      <c r="D21" s="20" t="s">
        <v>7</v>
      </c>
      <c r="E21" s="20" t="s">
        <v>8</v>
      </c>
      <c r="F21" s="20" t="s">
        <v>14</v>
      </c>
      <c r="G21" s="20" t="s">
        <v>39</v>
      </c>
      <c r="H21" s="189" t="s">
        <v>40</v>
      </c>
      <c r="I21" s="190" t="s">
        <v>41</v>
      </c>
      <c r="K21"/>
      <c r="U21" s="7"/>
      <c r="V21" s="7"/>
      <c r="W21" s="7"/>
      <c r="Z21" s="18"/>
      <c r="AA21" s="18"/>
    </row>
    <row r="22" spans="1:27" x14ac:dyDescent="0.2">
      <c r="A22" s="127"/>
      <c r="B22" s="8"/>
      <c r="C22" s="9"/>
      <c r="D22" s="9"/>
      <c r="E22" s="140" t="s">
        <v>9</v>
      </c>
      <c r="F22" s="8"/>
      <c r="G22" s="9" t="s">
        <v>10</v>
      </c>
      <c r="H22" s="8"/>
      <c r="I22" s="133" t="s">
        <v>6</v>
      </c>
      <c r="K22"/>
      <c r="U22" s="7"/>
      <c r="V22" s="7"/>
      <c r="W22" s="7"/>
      <c r="Z22" s="18"/>
      <c r="AA22" s="18"/>
    </row>
    <row r="23" spans="1:27" x14ac:dyDescent="0.2">
      <c r="A23" s="127"/>
      <c r="B23" s="8"/>
      <c r="C23" s="9"/>
      <c r="D23" s="9"/>
      <c r="E23" s="140"/>
      <c r="F23" s="8"/>
      <c r="G23" s="9"/>
      <c r="H23" s="8"/>
      <c r="I23" s="133"/>
      <c r="K23"/>
      <c r="U23" s="7"/>
      <c r="V23" s="7"/>
      <c r="W23" s="7"/>
      <c r="Z23" s="18"/>
      <c r="AA23" s="18"/>
    </row>
    <row r="24" spans="1:27" x14ac:dyDescent="0.2">
      <c r="A24" s="531">
        <f>'Q1 p.1 - Rate Base True-up Adj'!A22</f>
        <v>42856</v>
      </c>
      <c r="B24" s="123">
        <f>'Q1 p.1 - Rate Base True-up Adj'!B22</f>
        <v>42795</v>
      </c>
      <c r="C24" s="11">
        <f>'Q1 p.1 - Rate Base True-up Adj'!C22</f>
        <v>0.1036</v>
      </c>
      <c r="D24" s="12">
        <f>'Q1 p.2 - Rate of Return Adj'!D22</f>
        <v>0.1042</v>
      </c>
      <c r="E24" s="11">
        <f>D24-C24</f>
        <v>6.0000000000000331E-4</v>
      </c>
      <c r="F24" s="60">
        <f>'Q1 p.1 - Rate Base True-up Adj'!E22</f>
        <v>8353533</v>
      </c>
      <c r="G24" s="60">
        <f t="shared" ref="G24:G29" si="12">(E24*F24)/12</f>
        <v>417.67665000000233</v>
      </c>
      <c r="H24" s="11">
        <f>H10</f>
        <v>0.88580000000000003</v>
      </c>
      <c r="I24" s="131">
        <f>+G24*H24</f>
        <v>369.97797657000206</v>
      </c>
      <c r="K24"/>
      <c r="U24" s="7"/>
      <c r="V24" s="7"/>
      <c r="W24" s="7"/>
      <c r="Z24" s="18"/>
      <c r="AA24" s="18"/>
    </row>
    <row r="25" spans="1:27" x14ac:dyDescent="0.2">
      <c r="A25" s="531">
        <f>'Q1 p.1 - Rate Base True-up Adj'!A23</f>
        <v>42887</v>
      </c>
      <c r="B25" s="123">
        <f>'Q1 p.1 - Rate Base True-up Adj'!B23</f>
        <v>42826</v>
      </c>
      <c r="C25" s="11">
        <f>'Q1 p.1 - Rate Base True-up Adj'!C23</f>
        <v>0.1036</v>
      </c>
      <c r="D25" s="12">
        <f>'Q1 p.2 - Rate of Return Adj'!D23</f>
        <v>0.1042</v>
      </c>
      <c r="E25" s="11">
        <f t="shared" ref="E25:E29" si="13">D25-C25</f>
        <v>6.0000000000000331E-4</v>
      </c>
      <c r="F25" s="60">
        <f>'Q1 p.1 - Rate Base True-up Adj'!E23</f>
        <v>8920416</v>
      </c>
      <c r="G25" s="61">
        <f t="shared" si="12"/>
        <v>446.02080000000245</v>
      </c>
      <c r="H25" s="11">
        <f t="shared" ref="H25:H29" si="14">H11</f>
        <v>0.86919999999999997</v>
      </c>
      <c r="I25" s="191">
        <f t="shared" ref="I25:I29" si="15">+G25*H25</f>
        <v>387.68127936000212</v>
      </c>
      <c r="K25"/>
      <c r="U25" s="7"/>
      <c r="V25" s="7"/>
      <c r="W25" s="7"/>
      <c r="Z25" s="18"/>
      <c r="AA25" s="18"/>
    </row>
    <row r="26" spans="1:27" x14ac:dyDescent="0.2">
      <c r="A26" s="531">
        <f>'Q1 p.1 - Rate Base True-up Adj'!A24</f>
        <v>42917</v>
      </c>
      <c r="B26" s="123">
        <f>'Q1 p.1 - Rate Base True-up Adj'!B24</f>
        <v>42856</v>
      </c>
      <c r="C26" s="11">
        <f>'Q1 p.1 - Rate Base True-up Adj'!C24</f>
        <v>0.1036</v>
      </c>
      <c r="D26" s="12">
        <f>'Q1 p.2 - Rate of Return Adj'!D24</f>
        <v>0.1042</v>
      </c>
      <c r="E26" s="11">
        <f t="shared" si="13"/>
        <v>6.0000000000000331E-4</v>
      </c>
      <c r="F26" s="60">
        <f>'Q1 p.1 - Rate Base True-up Adj'!E24</f>
        <v>9964967</v>
      </c>
      <c r="G26" s="61">
        <f t="shared" si="12"/>
        <v>498.24835000000274</v>
      </c>
      <c r="H26" s="11">
        <f t="shared" si="14"/>
        <v>0.88190000000000002</v>
      </c>
      <c r="I26" s="191">
        <f t="shared" si="15"/>
        <v>439.40521986500244</v>
      </c>
      <c r="K26"/>
      <c r="U26" s="7"/>
      <c r="V26" s="7"/>
      <c r="W26" s="7"/>
      <c r="Z26" s="18"/>
      <c r="AA26" s="18"/>
    </row>
    <row r="27" spans="1:27" x14ac:dyDescent="0.2">
      <c r="A27" s="531">
        <f>'Q1 p.1 - Rate Base True-up Adj'!A25</f>
        <v>42948</v>
      </c>
      <c r="B27" s="123">
        <f>'Q1 p.1 - Rate Base True-up Adj'!B25</f>
        <v>42887</v>
      </c>
      <c r="C27" s="11">
        <f>'Q1 p.1 - Rate Base True-up Adj'!C25</f>
        <v>0.10349999999999999</v>
      </c>
      <c r="D27" s="12">
        <f>'Q1 p.2 - Rate of Return Adj'!D25</f>
        <v>0.1036</v>
      </c>
      <c r="E27" s="11">
        <f t="shared" si="13"/>
        <v>1.0000000000000286E-4</v>
      </c>
      <c r="F27" s="60">
        <f>'Q1 p.1 - Rate Base True-up Adj'!E25</f>
        <v>14736705</v>
      </c>
      <c r="G27" s="61">
        <f t="shared" si="12"/>
        <v>122.80587500000352</v>
      </c>
      <c r="H27" s="11">
        <f t="shared" si="14"/>
        <v>0.89259999999999995</v>
      </c>
      <c r="I27" s="191">
        <f t="shared" si="15"/>
        <v>109.61652402500314</v>
      </c>
      <c r="K27"/>
      <c r="U27" s="7"/>
      <c r="V27" s="7"/>
      <c r="W27" s="7"/>
      <c r="Z27" s="18"/>
      <c r="AA27" s="18"/>
    </row>
    <row r="28" spans="1:27" x14ac:dyDescent="0.2">
      <c r="A28" s="531">
        <f>'Q1 p.1 - Rate Base True-up Adj'!A26</f>
        <v>42979</v>
      </c>
      <c r="B28" s="123">
        <f>'Q1 p.1 - Rate Base True-up Adj'!B26</f>
        <v>42917</v>
      </c>
      <c r="C28" s="11">
        <f>'Q1 p.1 - Rate Base True-up Adj'!C26</f>
        <v>0.10349999999999999</v>
      </c>
      <c r="D28" s="12">
        <f>'Q1 p.2 - Rate of Return Adj'!D26</f>
        <v>0.1036</v>
      </c>
      <c r="E28" s="11">
        <f t="shared" si="13"/>
        <v>1.0000000000000286E-4</v>
      </c>
      <c r="F28" s="60">
        <f>'Q1 p.1 - Rate Base True-up Adj'!E26</f>
        <v>20177730</v>
      </c>
      <c r="G28" s="61">
        <f t="shared" si="12"/>
        <v>168.14775000000483</v>
      </c>
      <c r="H28" s="11">
        <f t="shared" si="14"/>
        <v>0.88780000000000003</v>
      </c>
      <c r="I28" s="191">
        <f t="shared" si="15"/>
        <v>149.28157245000429</v>
      </c>
      <c r="K28"/>
      <c r="U28" s="7"/>
      <c r="V28" s="7"/>
      <c r="W28" s="7"/>
      <c r="Z28" s="18"/>
      <c r="AA28" s="18"/>
    </row>
    <row r="29" spans="1:27" x14ac:dyDescent="0.2">
      <c r="A29" s="531">
        <f>'Q1 p.1 - Rate Base True-up Adj'!A27</f>
        <v>43009</v>
      </c>
      <c r="B29" s="123">
        <f>'Q1 p.1 - Rate Base True-up Adj'!B27</f>
        <v>42948</v>
      </c>
      <c r="C29" s="11">
        <f>'Q1 p.1 - Rate Base True-up Adj'!C27</f>
        <v>0.10349999999999999</v>
      </c>
      <c r="D29" s="12">
        <f>'Q1 p.2 - Rate of Return Adj'!D27</f>
        <v>0.1036</v>
      </c>
      <c r="E29" s="11">
        <f t="shared" si="13"/>
        <v>1.0000000000000286E-4</v>
      </c>
      <c r="F29" s="60">
        <f>'Q1 p.1 - Rate Base True-up Adj'!E27</f>
        <v>28249859</v>
      </c>
      <c r="G29" s="62">
        <f t="shared" si="12"/>
        <v>235.41549166667343</v>
      </c>
      <c r="H29" s="11">
        <f t="shared" si="14"/>
        <v>0.88870000000000005</v>
      </c>
      <c r="I29" s="192">
        <f t="shared" si="15"/>
        <v>209.2137474441727</v>
      </c>
      <c r="K29"/>
      <c r="U29" s="7"/>
      <c r="V29" s="7"/>
      <c r="W29" s="7"/>
      <c r="Z29" s="18"/>
      <c r="AA29" s="18"/>
    </row>
    <row r="30" spans="1:27" x14ac:dyDescent="0.2">
      <c r="A30" s="532"/>
      <c r="B30" s="10"/>
      <c r="C30" s="8"/>
      <c r="D30" s="8"/>
      <c r="E30" s="8"/>
      <c r="F30" s="8"/>
      <c r="G30" s="60">
        <f>SUM(G24:G29)</f>
        <v>1888.3149166666892</v>
      </c>
      <c r="H30" s="8"/>
      <c r="I30" s="131">
        <f>SUM(I24:I29)</f>
        <v>1665.1763197141868</v>
      </c>
      <c r="K30"/>
      <c r="U30" s="7"/>
      <c r="V30" s="7"/>
      <c r="W30" s="7"/>
      <c r="Z30" s="18"/>
      <c r="AA30" s="18"/>
    </row>
    <row r="31" spans="1:27" ht="13.5" thickBot="1" x14ac:dyDescent="0.25">
      <c r="A31" s="134"/>
      <c r="B31" s="135"/>
      <c r="C31" s="135"/>
      <c r="D31" s="135"/>
      <c r="E31" s="135"/>
      <c r="F31" s="135"/>
      <c r="G31" s="135"/>
      <c r="H31" s="135"/>
      <c r="I31" s="137"/>
      <c r="K31"/>
      <c r="U31" s="7"/>
      <c r="V31" s="7"/>
      <c r="W31" s="7"/>
    </row>
    <row r="32" spans="1:27" ht="13.5" thickBot="1" x14ac:dyDescent="0.25">
      <c r="K32"/>
      <c r="U32" s="7"/>
      <c r="V32" s="7"/>
      <c r="W32" s="7"/>
    </row>
    <row r="33" spans="1:30" s="5" customFormat="1" ht="13.5" thickBot="1" x14ac:dyDescent="0.25">
      <c r="A33" s="59"/>
      <c r="B33" s="619" t="s">
        <v>42</v>
      </c>
      <c r="C33" s="620"/>
      <c r="D33" s="620"/>
      <c r="E33" s="620"/>
      <c r="F33" s="620"/>
      <c r="G33" s="621"/>
      <c r="H33" s="6"/>
      <c r="I33" s="1"/>
      <c r="J33" s="19"/>
      <c r="K33"/>
      <c r="L33"/>
      <c r="M33"/>
      <c r="N33"/>
      <c r="O33"/>
      <c r="P33"/>
      <c r="Q33"/>
      <c r="R33"/>
      <c r="S33"/>
      <c r="T33"/>
      <c r="U33" s="19"/>
      <c r="V33" s="9"/>
      <c r="W33" s="9"/>
    </row>
    <row r="34" spans="1:30" x14ac:dyDescent="0.2">
      <c r="B34" s="198">
        <v>-1</v>
      </c>
      <c r="C34" s="187">
        <f t="shared" ref="C34:G34" si="16">+B34-1</f>
        <v>-2</v>
      </c>
      <c r="D34" s="187">
        <f t="shared" si="16"/>
        <v>-3</v>
      </c>
      <c r="E34" s="187">
        <f t="shared" si="16"/>
        <v>-4</v>
      </c>
      <c r="F34" s="187">
        <f t="shared" si="16"/>
        <v>-5</v>
      </c>
      <c r="G34" s="188">
        <f t="shared" si="16"/>
        <v>-6</v>
      </c>
      <c r="L34" s="4"/>
      <c r="M34" s="4"/>
      <c r="U34" s="7"/>
    </row>
    <row r="35" spans="1:30" ht="51" x14ac:dyDescent="0.2">
      <c r="B35" s="199" t="s">
        <v>43</v>
      </c>
      <c r="C35" s="189" t="s">
        <v>44</v>
      </c>
      <c r="D35" s="20" t="s">
        <v>18</v>
      </c>
      <c r="E35" s="189" t="s">
        <v>166</v>
      </c>
      <c r="F35" s="189" t="s">
        <v>167</v>
      </c>
      <c r="G35" s="200" t="s">
        <v>45</v>
      </c>
      <c r="H35" s="59"/>
      <c r="I35" s="63"/>
      <c r="J35" s="7"/>
      <c r="K35"/>
      <c r="U35" s="7"/>
    </row>
    <row r="36" spans="1:30" x14ac:dyDescent="0.2">
      <c r="B36" s="132"/>
      <c r="C36" s="9"/>
      <c r="D36" s="140" t="s">
        <v>46</v>
      </c>
      <c r="E36" s="9"/>
      <c r="F36" s="8"/>
      <c r="G36" s="133"/>
      <c r="H36" s="59"/>
      <c r="I36" s="7"/>
      <c r="J36" s="7"/>
      <c r="K36"/>
      <c r="U36" s="7"/>
    </row>
    <row r="37" spans="1:30" x14ac:dyDescent="0.2">
      <c r="B37" s="201"/>
      <c r="C37" s="9"/>
      <c r="D37" s="9"/>
      <c r="E37" s="8"/>
      <c r="F37" s="8"/>
      <c r="G37" s="129"/>
      <c r="H37" s="59"/>
      <c r="I37" s="21"/>
      <c r="J37" s="19"/>
      <c r="K37"/>
      <c r="U37" s="7"/>
    </row>
    <row r="38" spans="1:30" x14ac:dyDescent="0.2">
      <c r="B38" s="202">
        <f t="shared" ref="B38:C43" si="17">+A10</f>
        <v>42856</v>
      </c>
      <c r="C38" s="124">
        <f t="shared" si="17"/>
        <v>42795</v>
      </c>
      <c r="D38" s="60">
        <f>'Q2 p.2 - Detailed Over-Under'!L10</f>
        <v>-474355.66000000015</v>
      </c>
      <c r="E38" s="60">
        <f t="shared" ref="E38:E43" si="18">-I10</f>
        <v>-30740.927152947548</v>
      </c>
      <c r="F38" s="203">
        <f t="shared" ref="F38:F43" si="19">-I24</f>
        <v>-369.97797657000206</v>
      </c>
      <c r="G38" s="131">
        <f>D38-E38-F38</f>
        <v>-443244.7548704826</v>
      </c>
      <c r="H38" s="59"/>
      <c r="I38" s="13"/>
      <c r="J38" s="19"/>
      <c r="K38"/>
      <c r="U38" s="7"/>
    </row>
    <row r="39" spans="1:30" x14ac:dyDescent="0.2">
      <c r="B39" s="202">
        <f t="shared" si="17"/>
        <v>42887</v>
      </c>
      <c r="C39" s="124">
        <f t="shared" si="17"/>
        <v>42826</v>
      </c>
      <c r="D39" s="60">
        <f>'Q2 p.2 - Detailed Over-Under'!L11</f>
        <v>35495.419999998063</v>
      </c>
      <c r="E39" s="204">
        <f t="shared" si="18"/>
        <v>-30180.880385254197</v>
      </c>
      <c r="F39" s="203">
        <f t="shared" si="19"/>
        <v>-387.68127936000212</v>
      </c>
      <c r="G39" s="131">
        <f t="shared" ref="G39:G43" si="20">D39-E39-F39</f>
        <v>66063.981664612249</v>
      </c>
      <c r="H39" s="59"/>
      <c r="I39" s="13"/>
      <c r="J39" s="19"/>
      <c r="K39"/>
      <c r="U39" s="7"/>
    </row>
    <row r="40" spans="1:30" x14ac:dyDescent="0.2">
      <c r="B40" s="202">
        <f t="shared" si="17"/>
        <v>42917</v>
      </c>
      <c r="C40" s="124">
        <f t="shared" si="17"/>
        <v>42856</v>
      </c>
      <c r="D40" s="60">
        <f>'Q2 p.2 - Detailed Over-Under'!L12</f>
        <v>292734.0700000003</v>
      </c>
      <c r="E40" s="204">
        <f t="shared" si="18"/>
        <v>-30641.718211954212</v>
      </c>
      <c r="F40" s="203">
        <f t="shared" si="19"/>
        <v>-439.40521986500244</v>
      </c>
      <c r="G40" s="131">
        <f t="shared" si="20"/>
        <v>323815.19343181956</v>
      </c>
      <c r="H40" s="59"/>
      <c r="I40" s="13"/>
      <c r="J40" s="19"/>
      <c r="K40"/>
      <c r="U40" s="7"/>
    </row>
    <row r="41" spans="1:30" x14ac:dyDescent="0.2">
      <c r="B41" s="202">
        <f t="shared" si="17"/>
        <v>42948</v>
      </c>
      <c r="C41" s="124">
        <f t="shared" si="17"/>
        <v>42887</v>
      </c>
      <c r="D41" s="60">
        <f>'Q2 p.2 - Detailed Over-Under'!L13</f>
        <v>604864.28999999911</v>
      </c>
      <c r="E41" s="204">
        <f t="shared" si="18"/>
        <v>-7742.174477470222</v>
      </c>
      <c r="F41" s="203">
        <f t="shared" si="19"/>
        <v>-109.61652402500314</v>
      </c>
      <c r="G41" s="131">
        <f t="shared" si="20"/>
        <v>612716.08100149431</v>
      </c>
      <c r="H41" s="59"/>
      <c r="I41" s="13"/>
      <c r="J41" s="19"/>
      <c r="K41"/>
      <c r="U41" s="7"/>
    </row>
    <row r="42" spans="1:30" x14ac:dyDescent="0.2">
      <c r="B42" s="202">
        <f t="shared" si="17"/>
        <v>42979</v>
      </c>
      <c r="C42" s="124">
        <f t="shared" si="17"/>
        <v>42917</v>
      </c>
      <c r="D42" s="60">
        <f>'Q2 p.2 - Detailed Over-Under'!L14</f>
        <v>-18078.379999998957</v>
      </c>
      <c r="E42" s="204">
        <f t="shared" si="18"/>
        <v>-7770.9211904452231</v>
      </c>
      <c r="F42" s="203">
        <f t="shared" si="19"/>
        <v>-149.28157245000429</v>
      </c>
      <c r="G42" s="131">
        <f t="shared" si="20"/>
        <v>-10158.177237103728</v>
      </c>
      <c r="H42" s="59"/>
      <c r="I42" s="13"/>
      <c r="J42" s="19"/>
      <c r="K42"/>
      <c r="U42" s="7"/>
    </row>
    <row r="43" spans="1:30" x14ac:dyDescent="0.2">
      <c r="B43" s="205">
        <f t="shared" si="17"/>
        <v>43009</v>
      </c>
      <c r="C43" s="125">
        <f t="shared" si="17"/>
        <v>42948</v>
      </c>
      <c r="D43" s="567">
        <f>'Q2 p.2 - Detailed Over-Under'!L15</f>
        <v>-98780.960000000894</v>
      </c>
      <c r="E43" s="568">
        <f t="shared" si="18"/>
        <v>-7771.1230853552224</v>
      </c>
      <c r="F43" s="126">
        <f t="shared" si="19"/>
        <v>-209.2137474441727</v>
      </c>
      <c r="G43" s="569">
        <f t="shared" si="20"/>
        <v>-90800.623167201498</v>
      </c>
      <c r="H43" s="59"/>
      <c r="I43" s="13"/>
      <c r="J43" s="19"/>
      <c r="K43"/>
      <c r="U43" s="7"/>
    </row>
    <row r="44" spans="1:30" x14ac:dyDescent="0.2">
      <c r="B44" s="127" t="s">
        <v>96</v>
      </c>
      <c r="C44" s="8"/>
      <c r="D44" s="60">
        <f>SUM(D38:D43)</f>
        <v>341878.77999999747</v>
      </c>
      <c r="E44" s="60">
        <f>SUM(E38:E43)</f>
        <v>-114847.74450342663</v>
      </c>
      <c r="F44" s="60">
        <f>SUM(F38:F43)</f>
        <v>-1665.1763197141868</v>
      </c>
      <c r="G44" s="131">
        <f>SUM(G38:G43)</f>
        <v>458391.70082313835</v>
      </c>
      <c r="H44" s="16"/>
      <c r="I44" s="7"/>
      <c r="J44" s="15"/>
      <c r="K44"/>
      <c r="U44" s="4"/>
      <c r="W44" s="18"/>
      <c r="X44" s="18"/>
      <c r="Y44" s="18"/>
      <c r="AA44" s="23"/>
      <c r="AB44" s="18"/>
      <c r="AC44" s="24"/>
      <c r="AD44" s="16"/>
    </row>
    <row r="45" spans="1:30" ht="13.5" thickBot="1" x14ac:dyDescent="0.25">
      <c r="B45" s="134"/>
      <c r="C45" s="135"/>
      <c r="D45" s="135"/>
      <c r="E45" s="135"/>
      <c r="F45" s="135"/>
      <c r="G45" s="137"/>
      <c r="H45" s="16"/>
      <c r="I45" s="7"/>
      <c r="J45" s="15"/>
      <c r="K45"/>
      <c r="U45" s="4"/>
      <c r="W45" s="18"/>
      <c r="X45" s="18"/>
      <c r="Y45" s="18"/>
      <c r="AA45" s="23"/>
      <c r="AB45" s="18"/>
      <c r="AC45" s="24"/>
      <c r="AD45" s="16"/>
    </row>
    <row r="46" spans="1:30" ht="13.5" thickBot="1" x14ac:dyDescent="0.25">
      <c r="K46"/>
      <c r="U46" s="4"/>
    </row>
    <row r="47" spans="1:30" ht="13.5" thickBot="1" x14ac:dyDescent="0.25">
      <c r="B47" s="624" t="s">
        <v>47</v>
      </c>
      <c r="C47" s="625"/>
      <c r="D47" s="625"/>
      <c r="E47" s="625"/>
      <c r="F47" s="625"/>
      <c r="G47" s="626"/>
      <c r="K47"/>
      <c r="U47" s="4"/>
    </row>
    <row r="48" spans="1:30" x14ac:dyDescent="0.2">
      <c r="B48" s="127"/>
      <c r="C48" s="8"/>
      <c r="D48" s="128"/>
      <c r="E48" s="8"/>
      <c r="F48" s="8"/>
      <c r="G48" s="129"/>
      <c r="I48" s="8"/>
      <c r="K48"/>
      <c r="U48" s="4"/>
    </row>
    <row r="49" spans="2:21" x14ac:dyDescent="0.2">
      <c r="B49" s="127"/>
      <c r="C49" s="8"/>
      <c r="D49" s="130" t="s">
        <v>48</v>
      </c>
      <c r="E49" s="8"/>
      <c r="F49" s="60">
        <f>D44</f>
        <v>341878.77999999747</v>
      </c>
      <c r="G49" s="129"/>
      <c r="I49" s="8"/>
      <c r="K49"/>
      <c r="U49" s="4"/>
    </row>
    <row r="50" spans="2:21" x14ac:dyDescent="0.2">
      <c r="B50" s="127"/>
      <c r="C50" s="8"/>
      <c r="D50" s="8"/>
      <c r="E50" s="8"/>
      <c r="F50" s="8"/>
      <c r="G50" s="129"/>
      <c r="I50" s="22"/>
      <c r="K50"/>
      <c r="U50" s="4"/>
    </row>
    <row r="51" spans="2:21" x14ac:dyDescent="0.2">
      <c r="B51" s="127"/>
      <c r="C51" s="9"/>
      <c r="D51" s="130" t="s">
        <v>168</v>
      </c>
      <c r="E51" s="60">
        <f>E44</f>
        <v>-114847.74450342663</v>
      </c>
      <c r="F51" s="8"/>
      <c r="G51" s="129"/>
      <c r="I51" s="8"/>
      <c r="K51"/>
      <c r="U51" s="4"/>
    </row>
    <row r="52" spans="2:21" x14ac:dyDescent="0.2">
      <c r="B52" s="127"/>
      <c r="C52" s="9"/>
      <c r="D52" s="130" t="s">
        <v>169</v>
      </c>
      <c r="E52" s="60">
        <f>F44</f>
        <v>-1665.1763197141868</v>
      </c>
      <c r="F52" s="8"/>
      <c r="G52" s="129"/>
      <c r="I52" s="8"/>
      <c r="K52"/>
      <c r="U52" s="4"/>
    </row>
    <row r="53" spans="2:21" x14ac:dyDescent="0.2">
      <c r="B53" s="127"/>
      <c r="C53" s="9"/>
      <c r="D53" s="25" t="s">
        <v>45</v>
      </c>
      <c r="E53" s="567">
        <f>G44</f>
        <v>458391.70082313835</v>
      </c>
      <c r="F53" s="8"/>
      <c r="G53" s="129"/>
      <c r="I53" s="8"/>
      <c r="K53"/>
      <c r="U53" s="4"/>
    </row>
    <row r="54" spans="2:21" x14ac:dyDescent="0.2">
      <c r="B54" s="127"/>
      <c r="C54" s="8"/>
      <c r="D54" s="25"/>
      <c r="E54" s="22"/>
      <c r="F54" s="9"/>
      <c r="G54" s="129"/>
      <c r="I54" s="8"/>
      <c r="K54"/>
      <c r="U54" s="4"/>
    </row>
    <row r="55" spans="2:21" x14ac:dyDescent="0.2">
      <c r="B55" s="127"/>
      <c r="C55" s="8"/>
      <c r="D55" s="25" t="s">
        <v>49</v>
      </c>
      <c r="E55" s="8"/>
      <c r="F55" s="60">
        <f>SUM(E51:E53)</f>
        <v>341878.77999999753</v>
      </c>
      <c r="G55" s="129"/>
      <c r="I55" s="8"/>
      <c r="K55"/>
      <c r="U55" s="4"/>
    </row>
    <row r="56" spans="2:21" x14ac:dyDescent="0.2">
      <c r="B56" s="127"/>
      <c r="C56" s="8"/>
      <c r="D56" s="25"/>
      <c r="E56" s="22"/>
      <c r="F56" s="8"/>
      <c r="G56" s="129"/>
      <c r="K56"/>
      <c r="U56" s="4"/>
    </row>
    <row r="57" spans="2:21" x14ac:dyDescent="0.2">
      <c r="B57" s="127"/>
      <c r="C57" s="8"/>
      <c r="D57" s="25" t="s">
        <v>50</v>
      </c>
      <c r="E57" s="8"/>
      <c r="F57" s="60">
        <f>+F49-F55</f>
        <v>0</v>
      </c>
      <c r="G57" s="129"/>
      <c r="K57"/>
      <c r="U57" s="4"/>
    </row>
    <row r="58" spans="2:21" ht="13.5" thickBot="1" x14ac:dyDescent="0.25">
      <c r="B58" s="134"/>
      <c r="C58" s="135"/>
      <c r="D58" s="135"/>
      <c r="E58" s="136"/>
      <c r="F58" s="135"/>
      <c r="G58" s="137"/>
      <c r="K58"/>
      <c r="U58" s="4"/>
    </row>
    <row r="59" spans="2:21" x14ac:dyDescent="0.2">
      <c r="K59"/>
      <c r="U59" s="4"/>
    </row>
    <row r="60" spans="2:21" x14ac:dyDescent="0.2">
      <c r="C60" s="8"/>
      <c r="D60" s="8"/>
      <c r="E60" s="26"/>
      <c r="F60" s="8"/>
      <c r="G60" s="8"/>
      <c r="K60"/>
      <c r="U60" s="4"/>
    </row>
    <row r="61" spans="2:21" x14ac:dyDescent="0.2">
      <c r="D61" s="8"/>
      <c r="E61" s="8"/>
      <c r="F61" s="26"/>
      <c r="G61" s="8"/>
      <c r="H61" s="8"/>
    </row>
    <row r="62" spans="2:21" x14ac:dyDescent="0.2">
      <c r="D62" s="8"/>
      <c r="E62" s="8"/>
      <c r="F62" s="26"/>
      <c r="G62" s="8"/>
      <c r="H62" s="8"/>
    </row>
    <row r="63" spans="2:21" x14ac:dyDescent="0.2">
      <c r="D63" s="8"/>
      <c r="E63" s="8"/>
      <c r="F63" s="26"/>
      <c r="G63" s="8"/>
      <c r="H63" s="8"/>
    </row>
  </sheetData>
  <mergeCells count="4">
    <mergeCell ref="A5:I5"/>
    <mergeCell ref="A19:I19"/>
    <mergeCell ref="B33:G33"/>
    <mergeCell ref="B47:G47"/>
  </mergeCells>
  <pageMargins left="1" right="0.75" top="1" bottom="0.55000000000000004" header="0.5" footer="0.5"/>
  <pageSetup scale="6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G48"/>
  <sheetViews>
    <sheetView zoomScaleNormal="100" workbookViewId="0">
      <selection activeCell="H1" sqref="H1"/>
    </sheetView>
  </sheetViews>
  <sheetFormatPr defaultRowHeight="15" x14ac:dyDescent="0.25"/>
  <cols>
    <col min="1" max="2" width="13.6640625" style="300" customWidth="1"/>
    <col min="3" max="3" width="19.5" style="300" customWidth="1"/>
    <col min="4" max="4" width="27.1640625" style="300" customWidth="1"/>
    <col min="5" max="8" width="19.5" style="300" customWidth="1"/>
    <col min="9" max="9" width="9.33203125" style="300"/>
    <col min="10" max="10" width="5.33203125" style="300" customWidth="1"/>
    <col min="11" max="11" width="22.6640625" style="300" customWidth="1"/>
    <col min="12" max="12" width="15.83203125" style="300" customWidth="1"/>
    <col min="13" max="13" width="15.6640625" style="300" customWidth="1"/>
    <col min="14" max="14" width="4.1640625" style="300" customWidth="1"/>
    <col min="15" max="15" width="19.83203125" style="300" bestFit="1" customWidth="1"/>
    <col min="16" max="16" width="16.1640625" style="300" customWidth="1"/>
    <col min="17" max="17" width="16.83203125" style="300" customWidth="1"/>
    <col min="18" max="16384" width="9.33203125" style="300"/>
  </cols>
  <sheetData>
    <row r="1" spans="1:33" x14ac:dyDescent="0.25">
      <c r="A1" s="57" t="str">
        <f>'Input Tab'!B2</f>
        <v>Kentucky Utilities Company</v>
      </c>
      <c r="H1" s="1" t="s">
        <v>277</v>
      </c>
    </row>
    <row r="2" spans="1:33" x14ac:dyDescent="0.25">
      <c r="A2" s="57" t="s">
        <v>253</v>
      </c>
      <c r="H2" s="1" t="s">
        <v>251</v>
      </c>
    </row>
    <row r="3" spans="1:33" x14ac:dyDescent="0.25">
      <c r="A3" s="58"/>
      <c r="H3" s="2" t="s">
        <v>97</v>
      </c>
    </row>
    <row r="4" spans="1:33" x14ac:dyDescent="0.25"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298"/>
      <c r="B5" s="298"/>
      <c r="C5" s="299"/>
      <c r="D5" s="299"/>
      <c r="E5" s="299"/>
      <c r="F5" s="299"/>
      <c r="G5" s="299"/>
      <c r="H5" s="29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8" x14ac:dyDescent="0.25">
      <c r="A6" s="627" t="s">
        <v>1</v>
      </c>
      <c r="B6" s="629" t="s">
        <v>0</v>
      </c>
      <c r="C6" s="638" t="s">
        <v>198</v>
      </c>
      <c r="D6" s="639"/>
      <c r="E6" s="640" t="s">
        <v>199</v>
      </c>
      <c r="F6" s="641"/>
      <c r="G6" s="635" t="s">
        <v>200</v>
      </c>
      <c r="H6" s="63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628"/>
      <c r="B7" s="630"/>
      <c r="C7" s="301" t="s">
        <v>201</v>
      </c>
      <c r="D7" s="301" t="s">
        <v>202</v>
      </c>
      <c r="E7" s="302" t="s">
        <v>201</v>
      </c>
      <c r="F7" s="302" t="s">
        <v>202</v>
      </c>
      <c r="G7" s="303" t="s">
        <v>201</v>
      </c>
      <c r="H7" s="301" t="s">
        <v>202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637"/>
      <c r="B8" s="630"/>
      <c r="C8" s="304" t="s">
        <v>203</v>
      </c>
      <c r="D8" s="301" t="s">
        <v>204</v>
      </c>
      <c r="E8" s="302" t="s">
        <v>205</v>
      </c>
      <c r="F8" s="305" t="s">
        <v>206</v>
      </c>
      <c r="G8" s="301" t="s">
        <v>207</v>
      </c>
      <c r="H8" s="306" t="s">
        <v>208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345">
        <f>'Input Tab'!C21</f>
        <v>42795</v>
      </c>
      <c r="B9" s="308">
        <f>EDATE(A9,2)</f>
        <v>42856</v>
      </c>
      <c r="C9" s="321">
        <f>'Input Tab'!Y21</f>
        <v>49614958</v>
      </c>
      <c r="D9" s="321">
        <f>'Input Tab'!Z21</f>
        <v>48923863</v>
      </c>
      <c r="E9" s="360">
        <f>'Input Tab'!AA21</f>
        <v>38803322.200000003</v>
      </c>
      <c r="F9" s="361">
        <f>'Input Tab'!AB21</f>
        <v>46450201.18</v>
      </c>
      <c r="G9" s="524">
        <f>ROUND('Input Tab'!S21,4)</f>
        <v>2.93E-2</v>
      </c>
      <c r="H9" s="524">
        <f>ROUND('Input Tab'!T21,4)</f>
        <v>4.36E-2</v>
      </c>
      <c r="I9" s="477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346">
        <f>'Input Tab'!C22</f>
        <v>42826</v>
      </c>
      <c r="B10" s="309">
        <f t="shared" ref="B10:B14" si="0">EDATE(A10,2)</f>
        <v>42887</v>
      </c>
      <c r="C10" s="326">
        <f>'Input Tab'!Y22</f>
        <v>49607123</v>
      </c>
      <c r="D10" s="326">
        <f>'Input Tab'!Z22</f>
        <v>48738176</v>
      </c>
      <c r="E10" s="362">
        <f>'Input Tab'!AA22</f>
        <v>47840943.749999993</v>
      </c>
      <c r="F10" s="363">
        <f>'Input Tab'!AB22</f>
        <v>52331970.649999991</v>
      </c>
      <c r="G10" s="525">
        <f>ROUND('Input Tab'!S22,4)</f>
        <v>3.32E-2</v>
      </c>
      <c r="H10" s="525">
        <f>ROUND('Input Tab'!T22,4)</f>
        <v>4.9399999999999999E-2</v>
      </c>
      <c r="I10" s="47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346">
        <f>'Input Tab'!C23</f>
        <v>42856</v>
      </c>
      <c r="B11" s="309">
        <f t="shared" si="0"/>
        <v>42917</v>
      </c>
      <c r="C11" s="326">
        <f>'Input Tab'!Y23</f>
        <v>49888771</v>
      </c>
      <c r="D11" s="326">
        <f>'Input Tab'!Z23</f>
        <v>48822588</v>
      </c>
      <c r="E11" s="362">
        <f>'Input Tab'!AA23</f>
        <v>54493477.159999989</v>
      </c>
      <c r="F11" s="363">
        <f>'Input Tab'!AB23</f>
        <v>52375278.870000005</v>
      </c>
      <c r="G11" s="525">
        <f>ROUND('Input Tab'!S23,4)</f>
        <v>3.6999999999999998E-2</v>
      </c>
      <c r="H11" s="525">
        <f>ROUND('Input Tab'!T23,4)</f>
        <v>5.5199999999999999E-2</v>
      </c>
      <c r="I11" s="477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346">
        <f>'Input Tab'!C24</f>
        <v>42887</v>
      </c>
      <c r="B12" s="309">
        <f t="shared" si="0"/>
        <v>42948</v>
      </c>
      <c r="C12" s="326">
        <f>'Input Tab'!Y24</f>
        <v>50073776</v>
      </c>
      <c r="D12" s="326">
        <f>'Input Tab'!Z24</f>
        <v>48982565</v>
      </c>
      <c r="E12" s="362">
        <f>'Input Tab'!AA24</f>
        <v>54500904.279999971</v>
      </c>
      <c r="F12" s="363">
        <f>'Input Tab'!AB24</f>
        <v>57572373.339999989</v>
      </c>
      <c r="G12" s="525">
        <f>ROUND('Input Tab'!S24,4)</f>
        <v>2.7199999999999998E-2</v>
      </c>
      <c r="H12" s="525">
        <f>ROUND('Input Tab'!T24,4)</f>
        <v>4.07E-2</v>
      </c>
      <c r="I12" s="477"/>
      <c r="J12" s="47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 s="346">
        <f>'Input Tab'!C25</f>
        <v>42917</v>
      </c>
      <c r="B13" s="309">
        <f t="shared" si="0"/>
        <v>42979</v>
      </c>
      <c r="C13" s="326">
        <f>'Input Tab'!Y25</f>
        <v>50068011</v>
      </c>
      <c r="D13" s="326">
        <f>'Input Tab'!Z25</f>
        <v>48977102</v>
      </c>
      <c r="E13" s="362">
        <f>'Input Tab'!AA25</f>
        <v>46882278.529999994</v>
      </c>
      <c r="F13" s="363">
        <f>'Input Tab'!AB25</f>
        <v>51024872.140000001</v>
      </c>
      <c r="G13" s="525">
        <f>ROUND('Input Tab'!S25,4)</f>
        <v>2.6700000000000002E-2</v>
      </c>
      <c r="H13" s="525">
        <f>ROUND('Input Tab'!T25,4)</f>
        <v>3.9899999999999998E-2</v>
      </c>
      <c r="I13" s="47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 s="347">
        <f>'Input Tab'!C26</f>
        <v>42948</v>
      </c>
      <c r="B14" s="312">
        <f t="shared" si="0"/>
        <v>43009</v>
      </c>
      <c r="C14" s="330">
        <f>'Input Tab'!Y26</f>
        <v>49659379</v>
      </c>
      <c r="D14" s="330">
        <f>'Input Tab'!Z26</f>
        <v>49261047</v>
      </c>
      <c r="E14" s="364">
        <f>'Input Tab'!AA26</f>
        <v>40804824.289999992</v>
      </c>
      <c r="F14" s="365">
        <f>'Input Tab'!AB26</f>
        <v>51794587.329999998</v>
      </c>
      <c r="G14" s="526">
        <f>ROUND('Input Tab'!S26,4)</f>
        <v>2.4299999999999999E-2</v>
      </c>
      <c r="H14" s="526">
        <f>ROUND('Input Tab'!T26,4)</f>
        <v>3.6299999999999999E-2</v>
      </c>
      <c r="I14" s="47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 s="298"/>
      <c r="B15" s="298"/>
      <c r="C15" s="313"/>
      <c r="D15" s="313"/>
      <c r="E15" s="313"/>
      <c r="F15" s="313"/>
      <c r="G15" s="313"/>
      <c r="H15" s="31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298"/>
      <c r="B16" s="298"/>
      <c r="C16" s="299"/>
      <c r="D16" s="299"/>
      <c r="E16" s="299"/>
      <c r="F16" s="299"/>
      <c r="G16" s="299"/>
      <c r="H16" s="299"/>
      <c r="J16" s="232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25">
      <c r="A17" s="627" t="s">
        <v>1</v>
      </c>
      <c r="B17" s="629" t="s">
        <v>0</v>
      </c>
      <c r="C17" s="631" t="s">
        <v>209</v>
      </c>
      <c r="D17" s="632"/>
      <c r="E17" s="633" t="s">
        <v>210</v>
      </c>
      <c r="F17" s="634"/>
      <c r="G17" s="635" t="s">
        <v>211</v>
      </c>
      <c r="H17" s="636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628"/>
      <c r="B18" s="630"/>
      <c r="C18" s="314" t="s">
        <v>212</v>
      </c>
      <c r="D18" s="315" t="s">
        <v>213</v>
      </c>
      <c r="E18" s="316" t="s">
        <v>214</v>
      </c>
      <c r="F18" s="317" t="s">
        <v>215</v>
      </c>
      <c r="G18" s="318" t="s">
        <v>216</v>
      </c>
      <c r="H18" s="319" t="s">
        <v>217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628"/>
      <c r="B19" s="630"/>
      <c r="C19" s="301" t="s">
        <v>201</v>
      </c>
      <c r="D19" s="301" t="s">
        <v>202</v>
      </c>
      <c r="E19" s="302" t="s">
        <v>201</v>
      </c>
      <c r="F19" s="302" t="s">
        <v>202</v>
      </c>
      <c r="G19" s="303" t="s">
        <v>201</v>
      </c>
      <c r="H19" s="301" t="s">
        <v>202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 s="307">
        <f>A9</f>
        <v>42795</v>
      </c>
      <c r="B20" s="308">
        <f>B9</f>
        <v>42856</v>
      </c>
      <c r="C20" s="320">
        <f t="shared" ref="C20:D25" si="1">C9*G9</f>
        <v>1453718.2693999999</v>
      </c>
      <c r="D20" s="321">
        <f t="shared" si="1"/>
        <v>2133080.4268</v>
      </c>
      <c r="E20" s="322">
        <f t="shared" ref="E20:F25" si="2">E9*G9</f>
        <v>1136937.3404600001</v>
      </c>
      <c r="F20" s="323">
        <f t="shared" si="2"/>
        <v>2025228.7714479999</v>
      </c>
      <c r="G20" s="324">
        <f>E20-C20</f>
        <v>-316780.92893999978</v>
      </c>
      <c r="H20" s="325">
        <f>F20-D20</f>
        <v>-107851.65535200015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 s="310">
        <f t="shared" ref="A21:B25" si="3">A10</f>
        <v>42826</v>
      </c>
      <c r="B21" s="309">
        <f t="shared" si="3"/>
        <v>42887</v>
      </c>
      <c r="C21" s="320">
        <f t="shared" si="1"/>
        <v>1646956.4835999999</v>
      </c>
      <c r="D21" s="326">
        <f t="shared" si="1"/>
        <v>2407665.8944000001</v>
      </c>
      <c r="E21" s="322">
        <f t="shared" si="2"/>
        <v>1588319.3324999998</v>
      </c>
      <c r="F21" s="327">
        <f t="shared" si="2"/>
        <v>2585199.3501099995</v>
      </c>
      <c r="G21" s="324">
        <f t="shared" ref="G21:H25" si="4">E21-C21</f>
        <v>-58637.151100000134</v>
      </c>
      <c r="H21" s="328">
        <f t="shared" si="4"/>
        <v>177533.45570999943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 s="310">
        <f t="shared" si="3"/>
        <v>42856</v>
      </c>
      <c r="B22" s="309">
        <f t="shared" si="3"/>
        <v>42917</v>
      </c>
      <c r="C22" s="320">
        <f t="shared" si="1"/>
        <v>1845884.527</v>
      </c>
      <c r="D22" s="326">
        <f t="shared" si="1"/>
        <v>2695006.8575999998</v>
      </c>
      <c r="E22" s="322">
        <f t="shared" si="2"/>
        <v>2016258.6549199994</v>
      </c>
      <c r="F22" s="327">
        <f t="shared" si="2"/>
        <v>2891115.3936240003</v>
      </c>
      <c r="G22" s="324">
        <f t="shared" si="4"/>
        <v>170374.12791999942</v>
      </c>
      <c r="H22" s="328">
        <f t="shared" si="4"/>
        <v>196108.5360240005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310">
        <f t="shared" si="3"/>
        <v>42887</v>
      </c>
      <c r="B23" s="309">
        <f t="shared" si="3"/>
        <v>42948</v>
      </c>
      <c r="C23" s="320">
        <f t="shared" si="1"/>
        <v>1362006.7071999998</v>
      </c>
      <c r="D23" s="326">
        <f t="shared" si="1"/>
        <v>1993590.3955000001</v>
      </c>
      <c r="E23" s="322">
        <f t="shared" si="2"/>
        <v>1482424.5964159991</v>
      </c>
      <c r="F23" s="327">
        <f t="shared" si="2"/>
        <v>2343195.5949379997</v>
      </c>
      <c r="G23" s="324">
        <f t="shared" si="4"/>
        <v>120417.88921599928</v>
      </c>
      <c r="H23" s="328">
        <f t="shared" si="4"/>
        <v>349605.19943799963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 s="310">
        <f t="shared" si="3"/>
        <v>42917</v>
      </c>
      <c r="B24" s="309">
        <f t="shared" si="3"/>
        <v>42979</v>
      </c>
      <c r="C24" s="320">
        <f t="shared" si="1"/>
        <v>1336815.8937000001</v>
      </c>
      <c r="D24" s="326">
        <f t="shared" si="1"/>
        <v>1954186.3698</v>
      </c>
      <c r="E24" s="322">
        <f t="shared" si="2"/>
        <v>1251756.8367509998</v>
      </c>
      <c r="F24" s="327">
        <f t="shared" si="2"/>
        <v>2035892.398386</v>
      </c>
      <c r="G24" s="324">
        <f t="shared" si="4"/>
        <v>-85059.05694900034</v>
      </c>
      <c r="H24" s="328">
        <f t="shared" si="4"/>
        <v>81706.028585999971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311">
        <f t="shared" si="3"/>
        <v>42948</v>
      </c>
      <c r="B25" s="312">
        <f t="shared" si="3"/>
        <v>43009</v>
      </c>
      <c r="C25" s="329">
        <f t="shared" si="1"/>
        <v>1206722.9097</v>
      </c>
      <c r="D25" s="330">
        <f t="shared" si="1"/>
        <v>1788176.0060999999</v>
      </c>
      <c r="E25" s="331">
        <f t="shared" si="2"/>
        <v>991557.23024699977</v>
      </c>
      <c r="F25" s="332">
        <f t="shared" si="2"/>
        <v>1880143.5200789999</v>
      </c>
      <c r="G25" s="333">
        <f t="shared" si="4"/>
        <v>-215165.67945300019</v>
      </c>
      <c r="H25" s="334">
        <f t="shared" si="4"/>
        <v>91967.513979000039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298"/>
      <c r="B26" s="298"/>
      <c r="C26" s="335"/>
      <c r="D26" s="335"/>
      <c r="E26" s="335"/>
      <c r="F26" s="335"/>
      <c r="G26" s="336">
        <f>SUM(G20:G25)</f>
        <v>-384850.79930600175</v>
      </c>
      <c r="H26" s="337">
        <f>SUM(H20:H25)</f>
        <v>789069.07838499942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298"/>
      <c r="B27" s="298"/>
      <c r="C27" s="313"/>
      <c r="D27" s="313"/>
      <c r="E27" s="313"/>
      <c r="F27" s="313"/>
      <c r="G27" s="313"/>
      <c r="H27" s="31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298"/>
      <c r="B28" s="298"/>
      <c r="C28" s="313"/>
      <c r="D28" s="313"/>
      <c r="E28" s="313"/>
      <c r="F28" s="313"/>
      <c r="G28" s="313"/>
      <c r="H28" s="31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627" t="s">
        <v>1</v>
      </c>
      <c r="B29" s="629" t="s">
        <v>0</v>
      </c>
      <c r="C29" s="627" t="s">
        <v>218</v>
      </c>
      <c r="D29" s="645" t="s">
        <v>219</v>
      </c>
      <c r="E29" s="647" t="s">
        <v>220</v>
      </c>
      <c r="F29" s="648" t="s">
        <v>221</v>
      </c>
      <c r="G29" s="338"/>
      <c r="H29" s="31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2.25" customHeight="1" x14ac:dyDescent="0.25">
      <c r="A30" s="628"/>
      <c r="B30" s="630"/>
      <c r="C30" s="628"/>
      <c r="D30" s="646"/>
      <c r="E30" s="637"/>
      <c r="F30" s="649"/>
      <c r="G30" s="338"/>
      <c r="H30" s="313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7.25" customHeight="1" x14ac:dyDescent="0.25">
      <c r="A31" s="628"/>
      <c r="B31" s="630"/>
      <c r="C31" s="301" t="s">
        <v>222</v>
      </c>
      <c r="D31" s="339" t="s">
        <v>223</v>
      </c>
      <c r="E31" s="339" t="s">
        <v>224</v>
      </c>
      <c r="F31" s="340" t="s">
        <v>225</v>
      </c>
      <c r="G31" s="338"/>
      <c r="H31" s="313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307">
        <f>A9</f>
        <v>42795</v>
      </c>
      <c r="B32" s="308">
        <f>B9</f>
        <v>42856</v>
      </c>
      <c r="C32" s="341">
        <f>G20+H20</f>
        <v>-424632.58429199993</v>
      </c>
      <c r="D32" s="325">
        <f>F32-C32-E32</f>
        <v>-80833.980837517767</v>
      </c>
      <c r="E32" s="325">
        <f>'Q1 p.2 - Rate of Return Adj'!I9+'Q1 p.2 - Rate of Return Adj'!I22</f>
        <v>31110.905129517549</v>
      </c>
      <c r="F32" s="527">
        <f>'Q2 p.2 - Detailed Over-Under'!L10</f>
        <v>-474355.66000000015</v>
      </c>
      <c r="G32" s="338"/>
      <c r="H32" s="313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 s="310">
        <f>A10</f>
        <v>42826</v>
      </c>
      <c r="B33" s="309">
        <f>B10</f>
        <v>42887</v>
      </c>
      <c r="C33" s="342">
        <f t="shared" ref="C33:C37" si="5">G21+H21</f>
        <v>118896.30460999929</v>
      </c>
      <c r="D33" s="328">
        <f t="shared" ref="D33:D37" si="6">F33-C33-E33</f>
        <v>-113969.44627461543</v>
      </c>
      <c r="E33" s="328">
        <f>'Q1 p.2 - Rate of Return Adj'!I10+'Q1 p.2 - Rate of Return Adj'!I23</f>
        <v>30568.561664614201</v>
      </c>
      <c r="F33" s="528">
        <f>'Q2 p.2 - Detailed Over-Under'!L11</f>
        <v>35495.419999998063</v>
      </c>
      <c r="G33" s="338"/>
      <c r="H33" s="31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310">
        <f t="shared" ref="A34:B37" si="7">A11</f>
        <v>42856</v>
      </c>
      <c r="B34" s="309">
        <f t="shared" si="7"/>
        <v>42917</v>
      </c>
      <c r="C34" s="342">
        <f t="shared" si="5"/>
        <v>366482.66394399991</v>
      </c>
      <c r="D34" s="328">
        <f t="shared" si="6"/>
        <v>-104829.71737581883</v>
      </c>
      <c r="E34" s="328">
        <f>'Q1 p.2 - Rate of Return Adj'!I11+'Q1 p.2 - Rate of Return Adj'!I24</f>
        <v>31081.123431819215</v>
      </c>
      <c r="F34" s="528">
        <f>'Q2 p.2 - Detailed Over-Under'!L12</f>
        <v>292734.0700000003</v>
      </c>
      <c r="G34" s="338"/>
      <c r="H34" s="313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310">
        <f t="shared" si="7"/>
        <v>42887</v>
      </c>
      <c r="B35" s="309">
        <f t="shared" si="7"/>
        <v>42948</v>
      </c>
      <c r="C35" s="342">
        <f t="shared" si="5"/>
        <v>470023.08865399892</v>
      </c>
      <c r="D35" s="328">
        <f t="shared" si="6"/>
        <v>126989.41034450497</v>
      </c>
      <c r="E35" s="328">
        <f>'Q1 p.2 - Rate of Return Adj'!I12+'Q1 p.2 - Rate of Return Adj'!I25</f>
        <v>7851.7910014952249</v>
      </c>
      <c r="F35" s="528">
        <f>'Q2 p.2 - Detailed Over-Under'!L13</f>
        <v>604864.28999999911</v>
      </c>
      <c r="G35" s="338"/>
      <c r="H35" s="313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 s="310">
        <f t="shared" si="7"/>
        <v>42917</v>
      </c>
      <c r="B36" s="309">
        <f t="shared" si="7"/>
        <v>42979</v>
      </c>
      <c r="C36" s="342">
        <f t="shared" si="5"/>
        <v>-3353.0283630003687</v>
      </c>
      <c r="D36" s="328">
        <f t="shared" si="6"/>
        <v>-22645.554399893816</v>
      </c>
      <c r="E36" s="328">
        <f>'Q1 p.2 - Rate of Return Adj'!I13+'Q1 p.2 - Rate of Return Adj'!I26</f>
        <v>7920.2027628952274</v>
      </c>
      <c r="F36" s="528">
        <f>'Q2 p.2 - Detailed Over-Under'!L14</f>
        <v>-18078.379999998957</v>
      </c>
      <c r="G36" s="338"/>
      <c r="H36" s="313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A37" s="311">
        <f t="shared" si="7"/>
        <v>42948</v>
      </c>
      <c r="B37" s="312">
        <f t="shared" si="7"/>
        <v>43009</v>
      </c>
      <c r="C37" s="343">
        <f t="shared" si="5"/>
        <v>-123198.16547400015</v>
      </c>
      <c r="D37" s="334">
        <f t="shared" si="6"/>
        <v>16436.868641199864</v>
      </c>
      <c r="E37" s="328">
        <f>'Q1 p.2 - Rate of Return Adj'!I14+'Q1 p.2 - Rate of Return Adj'!I27</f>
        <v>7980.3368327993949</v>
      </c>
      <c r="F37" s="528">
        <f>'Q2 p.2 - Detailed Over-Under'!L15</f>
        <v>-98780.960000000894</v>
      </c>
      <c r="G37" s="338"/>
      <c r="H37" s="313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A38" s="298"/>
      <c r="B38" s="298"/>
      <c r="C38" s="337">
        <f>G26+H26</f>
        <v>404218.27907899767</v>
      </c>
      <c r="D38" s="337">
        <f>SUM(D32:D37)</f>
        <v>-178852.41990214097</v>
      </c>
      <c r="E38" s="336">
        <f>SUM(E32:E37)</f>
        <v>116512.9208231408</v>
      </c>
      <c r="F38" s="570">
        <f>SUM(F32:F37)</f>
        <v>341878.77999999747</v>
      </c>
      <c r="G38" s="338"/>
      <c r="H38" s="313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C39" s="34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5">
      <c r="A41" s="298" t="s">
        <v>226</v>
      </c>
      <c r="B41" s="298"/>
      <c r="C41" s="298"/>
      <c r="D41" s="298"/>
      <c r="E41" s="298"/>
      <c r="F41" s="298"/>
      <c r="G41" s="298"/>
      <c r="H41" s="298"/>
      <c r="I41" s="298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650" t="s">
        <v>271</v>
      </c>
      <c r="B42" s="650"/>
      <c r="C42" s="650"/>
      <c r="D42" s="650"/>
      <c r="E42" s="650"/>
      <c r="F42" s="650"/>
      <c r="G42" s="650"/>
      <c r="H42" s="650"/>
      <c r="I42" s="298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5">
      <c r="A43" s="650" t="s">
        <v>227</v>
      </c>
      <c r="B43" s="650"/>
      <c r="C43" s="650"/>
      <c r="D43" s="650"/>
      <c r="E43" s="650"/>
      <c r="F43" s="650"/>
      <c r="G43" s="650"/>
      <c r="H43" s="650"/>
      <c r="I43" s="298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6.5" customHeight="1" x14ac:dyDescent="0.25">
      <c r="A44" s="643" t="s">
        <v>272</v>
      </c>
      <c r="B44" s="644"/>
      <c r="C44" s="644"/>
      <c r="D44" s="644"/>
      <c r="E44" s="644"/>
      <c r="F44" s="644"/>
      <c r="G44" s="644"/>
      <c r="H44" s="644"/>
      <c r="I44" s="298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46.5" customHeight="1" x14ac:dyDescent="0.25">
      <c r="A45" s="643" t="s">
        <v>270</v>
      </c>
      <c r="B45" s="643"/>
      <c r="C45" s="643"/>
      <c r="D45" s="643"/>
      <c r="E45" s="643"/>
      <c r="F45" s="643"/>
      <c r="G45" s="643"/>
      <c r="H45" s="643"/>
      <c r="I45" s="298"/>
    </row>
    <row r="46" spans="1:33" ht="17.25" customHeight="1" x14ac:dyDescent="0.25">
      <c r="A46" s="642" t="s">
        <v>273</v>
      </c>
      <c r="B46" s="642"/>
      <c r="C46" s="642"/>
      <c r="D46" s="642"/>
      <c r="E46" s="642"/>
      <c r="F46" s="642"/>
      <c r="G46" s="642"/>
      <c r="H46" s="642"/>
      <c r="I46" s="298"/>
    </row>
    <row r="47" spans="1:33" x14ac:dyDescent="0.25">
      <c r="A47" s="642" t="s">
        <v>269</v>
      </c>
      <c r="B47" s="642"/>
      <c r="C47" s="642"/>
      <c r="D47" s="642"/>
      <c r="E47" s="642"/>
      <c r="F47" s="642"/>
      <c r="G47" s="642"/>
      <c r="H47" s="642"/>
      <c r="I47" s="298"/>
    </row>
    <row r="48" spans="1:33" x14ac:dyDescent="0.25">
      <c r="A48" s="298"/>
      <c r="B48" s="298"/>
      <c r="C48" s="298"/>
      <c r="D48" s="298"/>
      <c r="E48" s="298"/>
      <c r="F48" s="298"/>
      <c r="G48" s="298"/>
      <c r="H48" s="298"/>
      <c r="I48" s="298"/>
    </row>
  </sheetData>
  <mergeCells count="22">
    <mergeCell ref="A46:H46"/>
    <mergeCell ref="A47:H47"/>
    <mergeCell ref="A44:H44"/>
    <mergeCell ref="A45:H45"/>
    <mergeCell ref="A29:A31"/>
    <mergeCell ref="B29:B31"/>
    <mergeCell ref="C29:C30"/>
    <mergeCell ref="D29:D30"/>
    <mergeCell ref="E29:E30"/>
    <mergeCell ref="F29:F30"/>
    <mergeCell ref="A42:H42"/>
    <mergeCell ref="A43:H43"/>
    <mergeCell ref="A6:A8"/>
    <mergeCell ref="B6:B8"/>
    <mergeCell ref="C6:D6"/>
    <mergeCell ref="E6:F6"/>
    <mergeCell ref="G6:H6"/>
    <mergeCell ref="A17:A19"/>
    <mergeCell ref="B17:B19"/>
    <mergeCell ref="C17:D17"/>
    <mergeCell ref="E17:F17"/>
    <mergeCell ref="G17:H17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A1:AK30"/>
  <sheetViews>
    <sheetView tabSelected="1" workbookViewId="0">
      <selection activeCell="I1" sqref="I1"/>
    </sheetView>
  </sheetViews>
  <sheetFormatPr defaultRowHeight="12.75" x14ac:dyDescent="0.2"/>
  <cols>
    <col min="1" max="3" width="16.83203125" style="65" customWidth="1"/>
    <col min="4" max="4" width="17.83203125" style="65" bestFit="1" customWidth="1"/>
    <col min="5" max="6" width="17.33203125" style="65" customWidth="1"/>
    <col min="7" max="7" width="19.5" style="65" customWidth="1"/>
    <col min="8" max="8" width="21.83203125" style="65" customWidth="1"/>
    <col min="9" max="9" width="19.5" style="65" customWidth="1"/>
    <col min="10" max="10" width="5" style="65" customWidth="1"/>
    <col min="12" max="12" width="14.6640625" customWidth="1"/>
    <col min="13" max="13" width="21.83203125" customWidth="1"/>
    <col min="21" max="21" width="24" style="65" customWidth="1"/>
    <col min="22" max="22" width="36.1640625" style="65" customWidth="1"/>
    <col min="23" max="23" width="10.83203125" style="65" customWidth="1"/>
    <col min="24" max="24" width="14.6640625" style="65" customWidth="1"/>
    <col min="25" max="25" width="16" style="65" customWidth="1"/>
    <col min="26" max="26" width="17.6640625" style="65" customWidth="1"/>
    <col min="27" max="28" width="13" style="65" customWidth="1"/>
    <col min="29" max="29" width="17" style="65" customWidth="1"/>
    <col min="30" max="30" width="10.33203125" style="65" customWidth="1"/>
    <col min="31" max="31" width="17.5" style="65" bestFit="1" customWidth="1"/>
    <col min="32" max="32" width="15.83203125" style="65" customWidth="1"/>
    <col min="33" max="33" width="19.6640625" style="65" customWidth="1"/>
    <col min="34" max="34" width="4.5" style="65" customWidth="1"/>
    <col min="35" max="35" width="20.33203125" style="67" customWidth="1"/>
    <col min="36" max="36" width="16.5" style="65" bestFit="1" customWidth="1"/>
    <col min="37" max="38" width="16.83203125" style="65" bestFit="1" customWidth="1"/>
    <col min="39" max="39" width="13.1640625" style="65" bestFit="1" customWidth="1"/>
    <col min="40" max="40" width="16" style="65" bestFit="1" customWidth="1"/>
    <col min="41" max="41" width="14.6640625" style="65" bestFit="1" customWidth="1"/>
    <col min="42" max="42" width="15.5" style="65" bestFit="1" customWidth="1"/>
    <col min="43" max="43" width="14.6640625" style="65" bestFit="1" customWidth="1"/>
    <col min="44" max="44" width="11.83203125" style="65" bestFit="1" customWidth="1"/>
    <col min="45" max="16384" width="9.33203125" style="65"/>
  </cols>
  <sheetData>
    <row r="1" spans="1:37" x14ac:dyDescent="0.2">
      <c r="A1" s="64" t="str">
        <f>'Input Tab'!B2</f>
        <v>Kentucky Utilities Company</v>
      </c>
      <c r="I1" s="66" t="s">
        <v>278</v>
      </c>
      <c r="AD1" s="64"/>
    </row>
    <row r="2" spans="1:37" x14ac:dyDescent="0.2">
      <c r="A2" s="69" t="s">
        <v>279</v>
      </c>
      <c r="B2" s="260"/>
      <c r="I2" s="66" t="s">
        <v>263</v>
      </c>
      <c r="AD2" s="64"/>
    </row>
    <row r="3" spans="1:37" x14ac:dyDescent="0.2">
      <c r="A3" s="64" t="s">
        <v>23</v>
      </c>
      <c r="I3" s="68" t="str">
        <f>'Input Tab'!B3</f>
        <v>Rahn/Metts</v>
      </c>
      <c r="AD3" s="64"/>
    </row>
    <row r="4" spans="1:37" ht="13.5" thickBot="1" x14ac:dyDescent="0.25">
      <c r="A4" s="64"/>
      <c r="U4" s="68"/>
      <c r="W4" s="69"/>
      <c r="AD4" s="64"/>
      <c r="AG4" s="68"/>
    </row>
    <row r="5" spans="1:37" ht="13.5" thickBot="1" x14ac:dyDescent="0.25">
      <c r="A5" s="591" t="s">
        <v>100</v>
      </c>
      <c r="B5" s="592"/>
      <c r="C5" s="592"/>
      <c r="D5" s="592"/>
      <c r="E5" s="592"/>
      <c r="F5" s="592"/>
      <c r="G5" s="592"/>
      <c r="H5" s="592"/>
      <c r="I5" s="593"/>
      <c r="U5" s="68"/>
      <c r="W5" s="69"/>
      <c r="AD5" s="64"/>
      <c r="AG5" s="68"/>
    </row>
    <row r="6" spans="1:37" x14ac:dyDescent="0.2">
      <c r="A6" s="116">
        <v>-1</v>
      </c>
      <c r="B6" s="117">
        <f t="shared" ref="B6:I6" si="0">A6-1</f>
        <v>-2</v>
      </c>
      <c r="C6" s="117">
        <f t="shared" si="0"/>
        <v>-3</v>
      </c>
      <c r="D6" s="117">
        <f t="shared" si="0"/>
        <v>-4</v>
      </c>
      <c r="E6" s="117">
        <f t="shared" si="0"/>
        <v>-5</v>
      </c>
      <c r="F6" s="117">
        <f t="shared" si="0"/>
        <v>-6</v>
      </c>
      <c r="G6" s="117">
        <f t="shared" si="0"/>
        <v>-7</v>
      </c>
      <c r="H6" s="117">
        <f t="shared" si="0"/>
        <v>-8</v>
      </c>
      <c r="I6" s="118">
        <f t="shared" si="0"/>
        <v>-9</v>
      </c>
      <c r="U6" s="67"/>
      <c r="AI6" s="65"/>
    </row>
    <row r="7" spans="1:37" s="70" customFormat="1" ht="38.25" x14ac:dyDescent="0.2">
      <c r="A7" s="208" t="s">
        <v>0</v>
      </c>
      <c r="B7" s="209" t="s">
        <v>1</v>
      </c>
      <c r="C7" s="209" t="s">
        <v>2</v>
      </c>
      <c r="D7" s="209" t="s">
        <v>3</v>
      </c>
      <c r="E7" s="209" t="s">
        <v>19</v>
      </c>
      <c r="F7" s="209" t="s">
        <v>4</v>
      </c>
      <c r="G7" s="209" t="s">
        <v>5</v>
      </c>
      <c r="H7" s="209" t="s">
        <v>22</v>
      </c>
      <c r="I7" s="212" t="s">
        <v>30</v>
      </c>
      <c r="J7" s="213"/>
      <c r="U7" s="71"/>
    </row>
    <row r="8" spans="1:37" x14ac:dyDescent="0.2">
      <c r="A8" s="72"/>
      <c r="B8" s="73"/>
      <c r="C8" s="113"/>
      <c r="D8" s="113"/>
      <c r="E8" s="113"/>
      <c r="F8" s="78" t="s">
        <v>102</v>
      </c>
      <c r="G8" s="78" t="s">
        <v>103</v>
      </c>
      <c r="H8" s="75"/>
      <c r="I8" s="76" t="s">
        <v>6</v>
      </c>
      <c r="U8" s="67"/>
      <c r="AI8" s="65"/>
    </row>
    <row r="9" spans="1:37" x14ac:dyDescent="0.2">
      <c r="A9" s="121">
        <f>EDATE('Input Tab'!B21,0)*1</f>
        <v>42856</v>
      </c>
      <c r="B9" s="122">
        <f t="shared" ref="B9:B14" si="1">EDATE(A9,-2)</f>
        <v>42795</v>
      </c>
      <c r="C9" s="88">
        <f>'Input Tab'!E21</f>
        <v>0.10539999999999999</v>
      </c>
      <c r="D9" s="218">
        <f>'Input Tab'!F21</f>
        <v>1041124198</v>
      </c>
      <c r="E9" s="81">
        <f>'Input Tab'!K21</f>
        <v>1041124198</v>
      </c>
      <c r="F9" s="98">
        <f t="shared" ref="F9:F14" si="2">(E9-D9)</f>
        <v>0</v>
      </c>
      <c r="G9" s="261">
        <f t="shared" ref="G9:G14" si="3">(C9*F9)/12</f>
        <v>0</v>
      </c>
      <c r="H9" s="88">
        <f>'Input Tab'!D21</f>
        <v>0.88580000000000003</v>
      </c>
      <c r="I9" s="262">
        <f t="shared" ref="I9:I14" si="4">G9*H9</f>
        <v>0</v>
      </c>
      <c r="M9" s="476"/>
      <c r="U9"/>
      <c r="V9"/>
      <c r="W9" s="91"/>
      <c r="X9" s="91"/>
      <c r="Y9" s="91"/>
      <c r="Z9" s="91"/>
      <c r="AA9" s="91"/>
      <c r="AB9" s="91"/>
      <c r="AC9" s="91"/>
      <c r="AD9" s="91"/>
      <c r="AI9" s="65"/>
    </row>
    <row r="10" spans="1:37" x14ac:dyDescent="0.2">
      <c r="A10" s="121">
        <f>EDATE('Input Tab'!B22,0)*1</f>
        <v>42887</v>
      </c>
      <c r="B10" s="122">
        <f t="shared" si="1"/>
        <v>42826</v>
      </c>
      <c r="C10" s="88">
        <f>'Input Tab'!E22</f>
        <v>0.10539999999999999</v>
      </c>
      <c r="D10" s="219">
        <v>1041677878</v>
      </c>
      <c r="E10" s="81">
        <f>'Input Tab'!K22</f>
        <v>1041677878</v>
      </c>
      <c r="F10" s="98">
        <f t="shared" si="2"/>
        <v>0</v>
      </c>
      <c r="G10" s="261">
        <f t="shared" si="3"/>
        <v>0</v>
      </c>
      <c r="H10" s="88">
        <f>'Input Tab'!D22</f>
        <v>0.86919999999999997</v>
      </c>
      <c r="I10" s="262">
        <f t="shared" si="4"/>
        <v>0</v>
      </c>
      <c r="M10" s="476"/>
      <c r="U10"/>
      <c r="V10"/>
      <c r="W10" s="91"/>
      <c r="X10" s="91"/>
      <c r="Y10" s="91"/>
      <c r="Z10" s="91"/>
      <c r="AA10" s="91"/>
      <c r="AB10" s="91"/>
      <c r="AC10" s="91"/>
      <c r="AD10" s="91"/>
      <c r="AI10" s="65"/>
    </row>
    <row r="11" spans="1:37" x14ac:dyDescent="0.2">
      <c r="A11" s="121">
        <f>EDATE('Input Tab'!B23,0)*1</f>
        <v>42917</v>
      </c>
      <c r="B11" s="122">
        <f t="shared" si="1"/>
        <v>42856</v>
      </c>
      <c r="C11" s="88">
        <f>'Input Tab'!E23</f>
        <v>0.10539999999999999</v>
      </c>
      <c r="D11" s="219">
        <f>'Input Tab'!F23</f>
        <v>1042353494</v>
      </c>
      <c r="E11" s="81">
        <f>'Input Tab'!K23</f>
        <v>1042353494</v>
      </c>
      <c r="F11" s="98">
        <f t="shared" si="2"/>
        <v>0</v>
      </c>
      <c r="G11" s="261">
        <f t="shared" si="3"/>
        <v>0</v>
      </c>
      <c r="H11" s="88">
        <f>'Input Tab'!D23</f>
        <v>0.88190000000000002</v>
      </c>
      <c r="I11" s="262">
        <f t="shared" si="4"/>
        <v>0</v>
      </c>
      <c r="M11" s="476"/>
      <c r="U11"/>
      <c r="V11"/>
      <c r="W11" s="91"/>
      <c r="X11" s="91"/>
      <c r="Y11" s="91"/>
      <c r="Z11" s="91"/>
      <c r="AA11" s="91"/>
      <c r="AB11" s="91"/>
      <c r="AC11" s="91"/>
      <c r="AD11" s="91"/>
      <c r="AI11" s="65"/>
    </row>
    <row r="12" spans="1:37" x14ac:dyDescent="0.2">
      <c r="A12" s="121">
        <f>EDATE('Input Tab'!B24,0)*1</f>
        <v>42948</v>
      </c>
      <c r="B12" s="122">
        <f t="shared" si="1"/>
        <v>42887</v>
      </c>
      <c r="C12" s="88">
        <f>'Input Tab'!E24</f>
        <v>0.10349999999999999</v>
      </c>
      <c r="D12" s="219">
        <f>'Input Tab'!F24</f>
        <v>1040848014</v>
      </c>
      <c r="E12" s="81">
        <f>'Input Tab'!K24</f>
        <v>1040848014</v>
      </c>
      <c r="F12" s="98">
        <f t="shared" si="2"/>
        <v>0</v>
      </c>
      <c r="G12" s="261">
        <f t="shared" si="3"/>
        <v>0</v>
      </c>
      <c r="H12" s="88">
        <f>'Input Tab'!D24</f>
        <v>0.89259999999999995</v>
      </c>
      <c r="I12" s="262">
        <f t="shared" si="4"/>
        <v>0</v>
      </c>
      <c r="M12" s="476"/>
      <c r="U12"/>
      <c r="V12"/>
      <c r="W12" s="91"/>
      <c r="X12" s="91"/>
      <c r="Y12" s="91"/>
      <c r="Z12" s="91"/>
      <c r="AA12" s="91"/>
      <c r="AB12" s="91"/>
      <c r="AC12" s="91"/>
      <c r="AD12" s="91"/>
      <c r="AI12" s="65"/>
    </row>
    <row r="13" spans="1:37" x14ac:dyDescent="0.2">
      <c r="A13" s="121">
        <f>EDATE('Input Tab'!B25,0)*1</f>
        <v>42979</v>
      </c>
      <c r="B13" s="122">
        <f t="shared" si="1"/>
        <v>42917</v>
      </c>
      <c r="C13" s="88">
        <f>'Input Tab'!E25</f>
        <v>0.10349999999999999</v>
      </c>
      <c r="D13" s="219">
        <f>'Input Tab'!F25</f>
        <v>1050180118</v>
      </c>
      <c r="E13" s="81">
        <f>'Input Tab'!K25</f>
        <v>1050361053</v>
      </c>
      <c r="F13" s="98">
        <f t="shared" si="2"/>
        <v>180935</v>
      </c>
      <c r="G13" s="261">
        <f t="shared" si="3"/>
        <v>1560.5643749999999</v>
      </c>
      <c r="H13" s="88">
        <f>'Input Tab'!D25</f>
        <v>0.88780000000000003</v>
      </c>
      <c r="I13" s="262">
        <f t="shared" si="4"/>
        <v>1385.469052125</v>
      </c>
      <c r="M13" s="476"/>
      <c r="U13" s="67"/>
      <c r="V13"/>
      <c r="W13" s="104"/>
      <c r="AI13" s="65"/>
    </row>
    <row r="14" spans="1:37" x14ac:dyDescent="0.2">
      <c r="A14" s="121">
        <f>EDATE('Input Tab'!B26,0)*1</f>
        <v>43009</v>
      </c>
      <c r="B14" s="122">
        <f t="shared" si="1"/>
        <v>42948</v>
      </c>
      <c r="C14" s="88">
        <f>'Input Tab'!E26</f>
        <v>0.10349999999999999</v>
      </c>
      <c r="D14" s="219">
        <f>'Input Tab'!F26</f>
        <v>1048965257</v>
      </c>
      <c r="E14" s="81">
        <f>'Input Tab'!K26</f>
        <v>1049324598</v>
      </c>
      <c r="F14" s="98">
        <f t="shared" si="2"/>
        <v>359341</v>
      </c>
      <c r="G14" s="546">
        <f t="shared" si="3"/>
        <v>3099.3161249999998</v>
      </c>
      <c r="H14" s="88">
        <f>'Input Tab'!D26</f>
        <v>0.88870000000000005</v>
      </c>
      <c r="I14" s="547">
        <f t="shared" si="4"/>
        <v>2754.3622402874998</v>
      </c>
      <c r="M14" s="476"/>
      <c r="U14" s="67"/>
      <c r="V14"/>
      <c r="W14" s="104"/>
      <c r="AI14" s="65"/>
    </row>
    <row r="15" spans="1:37" x14ac:dyDescent="0.2">
      <c r="A15" s="141"/>
      <c r="B15" s="93"/>
      <c r="C15" s="88"/>
      <c r="D15" s="97"/>
      <c r="E15" s="86"/>
      <c r="F15" s="86"/>
      <c r="G15" s="548">
        <f>SUM(G9:G14)</f>
        <v>4659.8804999999993</v>
      </c>
      <c r="H15" s="88"/>
      <c r="I15" s="262">
        <f>SUM(I9:I14)</f>
        <v>4139.8312924125003</v>
      </c>
      <c r="U15" s="67"/>
      <c r="V15"/>
      <c r="W15" s="104"/>
      <c r="AI15" s="65"/>
    </row>
    <row r="16" spans="1:37" ht="13.5" thickBot="1" x14ac:dyDescent="0.25">
      <c r="A16" s="142"/>
      <c r="B16" s="107"/>
      <c r="C16" s="107"/>
      <c r="D16" s="107"/>
      <c r="E16" s="107"/>
      <c r="F16" s="107"/>
      <c r="G16" s="107"/>
      <c r="H16" s="107"/>
      <c r="I16" s="108"/>
      <c r="U16" s="105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3.5" thickBot="1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U17" s="99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3.5" thickBot="1" x14ac:dyDescent="0.25">
      <c r="A18" s="591" t="s">
        <v>101</v>
      </c>
      <c r="B18" s="592"/>
      <c r="C18" s="592"/>
      <c r="D18" s="592"/>
      <c r="E18" s="592"/>
      <c r="F18" s="592"/>
      <c r="G18" s="592"/>
      <c r="H18" s="592"/>
      <c r="I18" s="593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116">
        <v>-1</v>
      </c>
      <c r="B19" s="117">
        <f t="shared" ref="B19:I19" si="5">A19-1</f>
        <v>-2</v>
      </c>
      <c r="C19" s="117">
        <f t="shared" si="5"/>
        <v>-3</v>
      </c>
      <c r="D19" s="117">
        <f t="shared" si="5"/>
        <v>-4</v>
      </c>
      <c r="E19" s="117">
        <f t="shared" si="5"/>
        <v>-5</v>
      </c>
      <c r="F19" s="117">
        <f t="shared" si="5"/>
        <v>-6</v>
      </c>
      <c r="G19" s="117">
        <f t="shared" si="5"/>
        <v>-7</v>
      </c>
      <c r="H19" s="117">
        <f t="shared" si="5"/>
        <v>-8</v>
      </c>
      <c r="I19" s="118">
        <f t="shared" si="5"/>
        <v>-9</v>
      </c>
      <c r="U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38.25" x14ac:dyDescent="0.2">
      <c r="A20" s="208" t="s">
        <v>0</v>
      </c>
      <c r="B20" s="209" t="s">
        <v>1</v>
      </c>
      <c r="C20" s="209" t="s">
        <v>2</v>
      </c>
      <c r="D20" s="209" t="s">
        <v>3</v>
      </c>
      <c r="E20" s="209" t="s">
        <v>19</v>
      </c>
      <c r="F20" s="209" t="s">
        <v>4</v>
      </c>
      <c r="G20" s="209" t="s">
        <v>5</v>
      </c>
      <c r="H20" s="209" t="s">
        <v>22</v>
      </c>
      <c r="I20" s="212" t="s">
        <v>30</v>
      </c>
      <c r="J20" s="214"/>
      <c r="U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 s="72"/>
      <c r="B21" s="73"/>
      <c r="C21" s="113"/>
      <c r="D21" s="113"/>
      <c r="E21" s="113"/>
      <c r="F21" s="78" t="s">
        <v>102</v>
      </c>
      <c r="G21" s="78" t="s">
        <v>103</v>
      </c>
      <c r="H21" s="75"/>
      <c r="I21" s="76" t="s">
        <v>6</v>
      </c>
      <c r="M21" s="476"/>
      <c r="U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121">
        <f t="shared" ref="A22:A27" si="6">A9</f>
        <v>42856</v>
      </c>
      <c r="B22" s="122">
        <f t="shared" ref="B22:B27" si="7">EDATE(A22,-2)</f>
        <v>42795</v>
      </c>
      <c r="C22" s="88">
        <f>'Input Tab'!G21</f>
        <v>0.1036</v>
      </c>
      <c r="D22" s="223">
        <f>'Input Tab'!H21</f>
        <v>8353533</v>
      </c>
      <c r="E22" s="82">
        <f>'Input Tab'!O21</f>
        <v>8353533</v>
      </c>
      <c r="F22" s="98">
        <f t="shared" ref="F22:F27" si="8">E22-D22</f>
        <v>0</v>
      </c>
      <c r="G22" s="98">
        <f t="shared" ref="G22:G27" si="9">(C22*F22)/12</f>
        <v>0</v>
      </c>
      <c r="H22" s="88">
        <f t="shared" ref="H22:H27" si="10">H9</f>
        <v>0.88580000000000003</v>
      </c>
      <c r="I22" s="100">
        <f t="shared" ref="I22:I27" si="11">G22*H22</f>
        <v>0</v>
      </c>
      <c r="M22" s="476"/>
      <c r="U22" s="67"/>
      <c r="AI22" s="65"/>
    </row>
    <row r="23" spans="1:37" x14ac:dyDescent="0.2">
      <c r="A23" s="121">
        <f t="shared" si="6"/>
        <v>42887</v>
      </c>
      <c r="B23" s="122">
        <f t="shared" si="7"/>
        <v>42826</v>
      </c>
      <c r="C23" s="88">
        <f>'Input Tab'!G22</f>
        <v>0.1036</v>
      </c>
      <c r="D23" s="224">
        <f>'Input Tab'!H22</f>
        <v>8920416</v>
      </c>
      <c r="E23" s="82">
        <f>'Input Tab'!O22</f>
        <v>8920416</v>
      </c>
      <c r="F23" s="98">
        <f t="shared" si="8"/>
        <v>0</v>
      </c>
      <c r="G23" s="98">
        <f t="shared" si="9"/>
        <v>0</v>
      </c>
      <c r="H23" s="88">
        <f t="shared" si="10"/>
        <v>0.86919999999999997</v>
      </c>
      <c r="I23" s="100">
        <f t="shared" si="11"/>
        <v>0</v>
      </c>
      <c r="M23" s="476"/>
      <c r="U23" s="67"/>
      <c r="AI23" s="65"/>
    </row>
    <row r="24" spans="1:37" x14ac:dyDescent="0.2">
      <c r="A24" s="121">
        <f t="shared" si="6"/>
        <v>42917</v>
      </c>
      <c r="B24" s="122">
        <f t="shared" si="7"/>
        <v>42856</v>
      </c>
      <c r="C24" s="88">
        <f>'Input Tab'!G23</f>
        <v>0.1036</v>
      </c>
      <c r="D24" s="224">
        <f>'Input Tab'!H23</f>
        <v>9964967</v>
      </c>
      <c r="E24" s="82">
        <f>'Input Tab'!O23</f>
        <v>9964967</v>
      </c>
      <c r="F24" s="98">
        <f t="shared" si="8"/>
        <v>0</v>
      </c>
      <c r="G24" s="98">
        <f t="shared" si="9"/>
        <v>0</v>
      </c>
      <c r="H24" s="88">
        <f t="shared" si="10"/>
        <v>0.88190000000000002</v>
      </c>
      <c r="I24" s="100">
        <f t="shared" si="11"/>
        <v>0</v>
      </c>
      <c r="M24" s="476"/>
      <c r="U24" s="67"/>
      <c r="AI24" s="65"/>
    </row>
    <row r="25" spans="1:37" x14ac:dyDescent="0.2">
      <c r="A25" s="121">
        <f t="shared" si="6"/>
        <v>42948</v>
      </c>
      <c r="B25" s="122">
        <f t="shared" si="7"/>
        <v>42887</v>
      </c>
      <c r="C25" s="88">
        <f>'Input Tab'!G24</f>
        <v>0.10349999999999999</v>
      </c>
      <c r="D25" s="224">
        <f>'Input Tab'!H24</f>
        <v>14736705</v>
      </c>
      <c r="E25" s="82">
        <f>'Input Tab'!O24</f>
        <v>14736705</v>
      </c>
      <c r="F25" s="98">
        <f t="shared" si="8"/>
        <v>0</v>
      </c>
      <c r="G25" s="98">
        <f t="shared" si="9"/>
        <v>0</v>
      </c>
      <c r="H25" s="88">
        <f t="shared" si="10"/>
        <v>0.89259999999999995</v>
      </c>
      <c r="I25" s="100">
        <f t="shared" si="11"/>
        <v>0</v>
      </c>
      <c r="M25" s="476"/>
      <c r="U25" s="67"/>
      <c r="AI25" s="65"/>
    </row>
    <row r="26" spans="1:37" x14ac:dyDescent="0.2">
      <c r="A26" s="121">
        <f t="shared" si="6"/>
        <v>42979</v>
      </c>
      <c r="B26" s="122">
        <f t="shared" si="7"/>
        <v>42917</v>
      </c>
      <c r="C26" s="88">
        <f>'Input Tab'!G25</f>
        <v>0.10349999999999999</v>
      </c>
      <c r="D26" s="224">
        <f>'Input Tab'!H25</f>
        <v>20177456</v>
      </c>
      <c r="E26" s="82">
        <f>'Input Tab'!O25</f>
        <v>20177730</v>
      </c>
      <c r="F26" s="98">
        <f t="shared" si="8"/>
        <v>274</v>
      </c>
      <c r="G26" s="98">
        <f t="shared" si="9"/>
        <v>2.3632499999999999</v>
      </c>
      <c r="H26" s="88">
        <f t="shared" si="10"/>
        <v>0.88780000000000003</v>
      </c>
      <c r="I26" s="100">
        <f t="shared" si="11"/>
        <v>2.0980933500000001</v>
      </c>
      <c r="M26" s="476"/>
      <c r="U26" s="67"/>
      <c r="AI26" s="65"/>
    </row>
    <row r="27" spans="1:37" x14ac:dyDescent="0.2">
      <c r="A27" s="121">
        <f t="shared" si="6"/>
        <v>43009</v>
      </c>
      <c r="B27" s="122">
        <f t="shared" si="7"/>
        <v>42948</v>
      </c>
      <c r="C27" s="88">
        <f>'Input Tab'!G26</f>
        <v>0.10349999999999999</v>
      </c>
      <c r="D27" s="224">
        <f>'Input Tab'!H26</f>
        <v>28249312</v>
      </c>
      <c r="E27" s="82">
        <f>'Input Tab'!O26</f>
        <v>28249859</v>
      </c>
      <c r="F27" s="98">
        <f t="shared" si="8"/>
        <v>547</v>
      </c>
      <c r="G27" s="549">
        <f t="shared" si="9"/>
        <v>4.7178750000000003</v>
      </c>
      <c r="H27" s="88">
        <f t="shared" si="10"/>
        <v>0.88870000000000005</v>
      </c>
      <c r="I27" s="550">
        <f t="shared" si="11"/>
        <v>4.1927755125000008</v>
      </c>
      <c r="U27" s="67"/>
      <c r="AI27" s="65"/>
    </row>
    <row r="28" spans="1:37" x14ac:dyDescent="0.2">
      <c r="A28" s="92"/>
      <c r="B28" s="93"/>
      <c r="C28" s="143"/>
      <c r="D28" s="88"/>
      <c r="E28" s="97"/>
      <c r="F28" s="86"/>
      <c r="G28" s="98">
        <f>SUM(G22:G27)</f>
        <v>7.0811250000000001</v>
      </c>
      <c r="H28" s="98"/>
      <c r="I28" s="100">
        <f>SUM(I22:I27)</f>
        <v>6.2908688625000009</v>
      </c>
      <c r="J28"/>
      <c r="W28" s="67"/>
      <c r="AI28" s="65"/>
    </row>
    <row r="29" spans="1:37" ht="13.5" thickBot="1" x14ac:dyDescent="0.25">
      <c r="A29" s="106"/>
      <c r="B29" s="107"/>
      <c r="C29" s="107"/>
      <c r="D29" s="107"/>
      <c r="E29" s="107"/>
      <c r="F29" s="107"/>
      <c r="G29" s="107"/>
      <c r="H29" s="107"/>
      <c r="I29" s="108"/>
      <c r="J29"/>
      <c r="W29" s="67"/>
      <c r="AI29" s="65"/>
    </row>
    <row r="30" spans="1:37" x14ac:dyDescent="0.2">
      <c r="J30"/>
    </row>
  </sheetData>
  <mergeCells count="2">
    <mergeCell ref="A5:I5"/>
    <mergeCell ref="A18:I18"/>
  </mergeCells>
  <phoneticPr fontId="6" type="noConversion"/>
  <printOptions horizontalCentered="1"/>
  <pageMargins left="0.25" right="0.25" top="0.75" bottom="0.5" header="0.5" footer="0.5"/>
  <pageSetup scale="69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  <pageSetUpPr fitToPage="1"/>
  </sheetPr>
  <dimension ref="A1:L30"/>
  <sheetViews>
    <sheetView workbookViewId="0">
      <selection activeCell="C11" sqref="C11"/>
    </sheetView>
  </sheetViews>
  <sheetFormatPr defaultRowHeight="12.75" x14ac:dyDescent="0.2"/>
  <cols>
    <col min="1" max="3" width="16.83203125" style="65" customWidth="1"/>
    <col min="4" max="4" width="17.1640625" style="65" customWidth="1"/>
    <col min="5" max="5" width="16.5" style="65" customWidth="1"/>
    <col min="6" max="9" width="16.83203125" style="65" customWidth="1"/>
    <col min="10" max="10" width="5.6640625" style="65" customWidth="1"/>
    <col min="11" max="11" width="16.83203125" customWidth="1"/>
    <col min="12" max="12" width="16" customWidth="1"/>
    <col min="13" max="13" width="16.6640625" customWidth="1"/>
  </cols>
  <sheetData>
    <row r="1" spans="1:12" x14ac:dyDescent="0.2">
      <c r="A1" s="64" t="str">
        <f>'Q1 p.1 - Rate Base True-up Adj'!A1</f>
        <v>Kentucky Utilities Company</v>
      </c>
      <c r="I1" s="66" t="str">
        <f>'Q1 p.1 - Rate Base True-up Adj'!I1</f>
        <v>Corrected Attachment to Response to Question No. 1</v>
      </c>
    </row>
    <row r="2" spans="1:12" x14ac:dyDescent="0.2">
      <c r="A2" s="69" t="s">
        <v>280</v>
      </c>
      <c r="I2" s="66" t="s">
        <v>264</v>
      </c>
    </row>
    <row r="3" spans="1:12" x14ac:dyDescent="0.2">
      <c r="A3" s="64" t="str">
        <f>'Q1 p.1 - Rate Base True-up Adj'!A3</f>
        <v xml:space="preserve">Impact on Calculated E(m) </v>
      </c>
      <c r="I3" s="68" t="str">
        <f>'Q1 p.1 - Rate Base True-up Adj'!I3</f>
        <v>Rahn/Metts</v>
      </c>
    </row>
    <row r="4" spans="1:12" ht="13.5" thickBot="1" x14ac:dyDescent="0.25">
      <c r="D4" s="68"/>
      <c r="F4" s="64"/>
    </row>
    <row r="5" spans="1:12" ht="13.5" thickBot="1" x14ac:dyDescent="0.25">
      <c r="A5" s="591" t="s">
        <v>100</v>
      </c>
      <c r="B5" s="592"/>
      <c r="C5" s="592"/>
      <c r="D5" s="592"/>
      <c r="E5" s="592"/>
      <c r="F5" s="592"/>
      <c r="G5" s="592"/>
      <c r="H5" s="592"/>
      <c r="I5" s="593"/>
    </row>
    <row r="6" spans="1:12" x14ac:dyDescent="0.2">
      <c r="A6" s="119">
        <v>-1</v>
      </c>
      <c r="B6" s="120">
        <f t="shared" ref="B6:I6" si="0">A6-1</f>
        <v>-2</v>
      </c>
      <c r="C6" s="120">
        <f t="shared" si="0"/>
        <v>-3</v>
      </c>
      <c r="D6" s="120">
        <f t="shared" si="0"/>
        <v>-4</v>
      </c>
      <c r="E6" s="120">
        <f t="shared" si="0"/>
        <v>-5</v>
      </c>
      <c r="F6" s="120">
        <f t="shared" si="0"/>
        <v>-6</v>
      </c>
      <c r="G6" s="120">
        <f t="shared" si="0"/>
        <v>-7</v>
      </c>
      <c r="H6" s="120">
        <f t="shared" si="0"/>
        <v>-8</v>
      </c>
      <c r="I6" s="118">
        <f t="shared" si="0"/>
        <v>-9</v>
      </c>
    </row>
    <row r="7" spans="1:12" ht="38.25" x14ac:dyDescent="0.2">
      <c r="A7" s="208" t="s">
        <v>0</v>
      </c>
      <c r="B7" s="209" t="s">
        <v>1</v>
      </c>
      <c r="C7" s="209" t="s">
        <v>2</v>
      </c>
      <c r="D7" s="209" t="s">
        <v>7</v>
      </c>
      <c r="E7" s="209" t="s">
        <v>8</v>
      </c>
      <c r="F7" s="209" t="s">
        <v>14</v>
      </c>
      <c r="G7" s="209" t="s">
        <v>5</v>
      </c>
      <c r="H7" s="209" t="s">
        <v>22</v>
      </c>
      <c r="I7" s="212" t="s">
        <v>30</v>
      </c>
      <c r="J7" s="70"/>
    </row>
    <row r="8" spans="1:12" x14ac:dyDescent="0.2">
      <c r="A8" s="72"/>
      <c r="B8" s="73"/>
      <c r="C8" s="113"/>
      <c r="D8" s="113"/>
      <c r="E8" s="78" t="s">
        <v>9</v>
      </c>
      <c r="F8" s="113"/>
      <c r="G8" s="78" t="s">
        <v>10</v>
      </c>
      <c r="H8" s="75"/>
      <c r="I8" s="76" t="s">
        <v>6</v>
      </c>
    </row>
    <row r="9" spans="1:12" x14ac:dyDescent="0.2">
      <c r="A9" s="121">
        <f>'Q1 p.1 - Rate Base True-up Adj'!A9</f>
        <v>42856</v>
      </c>
      <c r="B9" s="122">
        <f>'Q1 p.1 - Rate Base True-up Adj'!B9</f>
        <v>42795</v>
      </c>
      <c r="C9" s="88">
        <f>'Input Tab'!E21</f>
        <v>0.10539999999999999</v>
      </c>
      <c r="D9" s="88">
        <f>'Input Tab'!J21</f>
        <v>0.10580000000000001</v>
      </c>
      <c r="E9" s="88">
        <f t="shared" ref="E9:E14" si="1">D9-C9</f>
        <v>4.0000000000001146E-4</v>
      </c>
      <c r="F9" s="82">
        <f>'Input Tab'!K21</f>
        <v>1041124198</v>
      </c>
      <c r="G9" s="103">
        <f t="shared" ref="G9:G14" si="2">(E9*F9)/12</f>
        <v>34704.139933334329</v>
      </c>
      <c r="H9" s="84">
        <f>'Input Tab'!D21</f>
        <v>0.88580000000000003</v>
      </c>
      <c r="I9" s="111">
        <f t="shared" ref="I9:I14" si="3">H9*G9</f>
        <v>30740.927152947548</v>
      </c>
    </row>
    <row r="10" spans="1:12" x14ac:dyDescent="0.2">
      <c r="A10" s="121">
        <f>'Q1 p.1 - Rate Base True-up Adj'!A10</f>
        <v>42887</v>
      </c>
      <c r="B10" s="122">
        <f>'Q1 p.1 - Rate Base True-up Adj'!B10</f>
        <v>42826</v>
      </c>
      <c r="C10" s="88">
        <f>'Input Tab'!E22</f>
        <v>0.10539999999999999</v>
      </c>
      <c r="D10" s="88">
        <f>'Input Tab'!J22</f>
        <v>0.10580000000000001</v>
      </c>
      <c r="E10" s="88">
        <f t="shared" si="1"/>
        <v>4.0000000000001146E-4</v>
      </c>
      <c r="F10" s="82">
        <f>'Input Tab'!K22</f>
        <v>1041677878</v>
      </c>
      <c r="G10" s="94">
        <f t="shared" si="2"/>
        <v>34722.595933334327</v>
      </c>
      <c r="H10" s="84">
        <f>'Input Tab'!D22</f>
        <v>0.86919999999999997</v>
      </c>
      <c r="I10" s="111">
        <f t="shared" si="3"/>
        <v>30180.880385254197</v>
      </c>
    </row>
    <row r="11" spans="1:12" x14ac:dyDescent="0.2">
      <c r="A11" s="121">
        <f>'Q1 p.1 - Rate Base True-up Adj'!A11</f>
        <v>42917</v>
      </c>
      <c r="B11" s="122">
        <f>'Q1 p.1 - Rate Base True-up Adj'!B11</f>
        <v>42856</v>
      </c>
      <c r="C11" s="88">
        <f>'Input Tab'!E23</f>
        <v>0.10539999999999999</v>
      </c>
      <c r="D11" s="88">
        <f>'Input Tab'!J23</f>
        <v>0.10580000000000001</v>
      </c>
      <c r="E11" s="88">
        <f t="shared" si="1"/>
        <v>4.0000000000001146E-4</v>
      </c>
      <c r="F11" s="82">
        <f>'Input Tab'!K23</f>
        <v>1042353494</v>
      </c>
      <c r="G11" s="94">
        <f t="shared" si="2"/>
        <v>34745.116466667663</v>
      </c>
      <c r="H11" s="84">
        <f>'Input Tab'!D23</f>
        <v>0.88190000000000002</v>
      </c>
      <c r="I11" s="111">
        <f t="shared" si="3"/>
        <v>30641.718211954212</v>
      </c>
    </row>
    <row r="12" spans="1:12" x14ac:dyDescent="0.2">
      <c r="A12" s="121">
        <f>'Q1 p.1 - Rate Base True-up Adj'!A12</f>
        <v>42948</v>
      </c>
      <c r="B12" s="122">
        <f>'Q1 p.1 - Rate Base True-up Adj'!B12</f>
        <v>42887</v>
      </c>
      <c r="C12" s="88">
        <f>'Input Tab'!E24</f>
        <v>0.10349999999999999</v>
      </c>
      <c r="D12" s="88">
        <f>'Input Tab'!J24</f>
        <v>0.1036</v>
      </c>
      <c r="E12" s="88">
        <f t="shared" si="1"/>
        <v>1.0000000000000286E-4</v>
      </c>
      <c r="F12" s="82">
        <f>'Input Tab'!K24</f>
        <v>1040848014</v>
      </c>
      <c r="G12" s="94">
        <f t="shared" si="2"/>
        <v>8673.7334500002489</v>
      </c>
      <c r="H12" s="84">
        <f>'Input Tab'!D24</f>
        <v>0.89259999999999995</v>
      </c>
      <c r="I12" s="111">
        <f t="shared" si="3"/>
        <v>7742.174477470222</v>
      </c>
    </row>
    <row r="13" spans="1:12" x14ac:dyDescent="0.2">
      <c r="A13" s="121">
        <f>'Q1 p.1 - Rate Base True-up Adj'!A13</f>
        <v>42979</v>
      </c>
      <c r="B13" s="122">
        <f>'Q1 p.1 - Rate Base True-up Adj'!B13</f>
        <v>42917</v>
      </c>
      <c r="C13" s="88">
        <f>'Input Tab'!E25</f>
        <v>0.10349999999999999</v>
      </c>
      <c r="D13" s="88">
        <f>'Input Tab'!J25</f>
        <v>0.1036</v>
      </c>
      <c r="E13" s="88">
        <f t="shared" si="1"/>
        <v>1.0000000000000286E-4</v>
      </c>
      <c r="F13" s="82">
        <f>'Input Tab'!K25</f>
        <v>1050361053</v>
      </c>
      <c r="G13" s="94">
        <f t="shared" si="2"/>
        <v>8753.0087750002513</v>
      </c>
      <c r="H13" s="84">
        <f>'Input Tab'!D25</f>
        <v>0.88780000000000003</v>
      </c>
      <c r="I13" s="111">
        <f t="shared" si="3"/>
        <v>7770.9211904452231</v>
      </c>
      <c r="L13" s="545"/>
    </row>
    <row r="14" spans="1:12" x14ac:dyDescent="0.2">
      <c r="A14" s="121">
        <f>'Q1 p.1 - Rate Base True-up Adj'!A14</f>
        <v>43009</v>
      </c>
      <c r="B14" s="122">
        <f>'Q1 p.1 - Rate Base True-up Adj'!B14</f>
        <v>42948</v>
      </c>
      <c r="C14" s="88">
        <f>'Input Tab'!E26</f>
        <v>0.10349999999999999</v>
      </c>
      <c r="D14" s="88">
        <f>'Input Tab'!J26</f>
        <v>0.1036</v>
      </c>
      <c r="E14" s="88">
        <f t="shared" si="1"/>
        <v>1.0000000000000286E-4</v>
      </c>
      <c r="F14" s="82">
        <f>'Input Tab'!K26</f>
        <v>1049324598</v>
      </c>
      <c r="G14" s="551">
        <f t="shared" si="2"/>
        <v>8744.3716500002502</v>
      </c>
      <c r="H14" s="84">
        <f>'Input Tab'!D26</f>
        <v>0.88870000000000005</v>
      </c>
      <c r="I14" s="115">
        <f t="shared" si="3"/>
        <v>7771.1230853552224</v>
      </c>
      <c r="L14" s="545"/>
    </row>
    <row r="15" spans="1:12" x14ac:dyDescent="0.2">
      <c r="A15" s="92"/>
      <c r="B15" s="93"/>
      <c r="C15" s="99"/>
      <c r="D15" s="99"/>
      <c r="E15" s="99"/>
      <c r="F15" s="99"/>
      <c r="G15" s="98">
        <f>SUM(G9:G14)</f>
        <v>130342.96620833708</v>
      </c>
      <c r="H15" s="99"/>
      <c r="I15" s="100">
        <f>SUM(I9:I14)</f>
        <v>114847.74450342663</v>
      </c>
    </row>
    <row r="16" spans="1:12" ht="13.5" thickBot="1" x14ac:dyDescent="0.25">
      <c r="A16" s="106"/>
      <c r="B16" s="107"/>
      <c r="C16" s="107"/>
      <c r="D16" s="107"/>
      <c r="E16" s="107"/>
      <c r="F16" s="107"/>
      <c r="G16" s="107"/>
      <c r="H16" s="107"/>
      <c r="I16" s="108"/>
    </row>
    <row r="17" spans="1:10" ht="13.5" thickBot="1" x14ac:dyDescent="0.25">
      <c r="A17" s="99"/>
      <c r="B17" s="99"/>
      <c r="C17" s="99"/>
      <c r="D17" s="99"/>
      <c r="F17" s="99"/>
      <c r="G17" s="99"/>
      <c r="H17" s="99"/>
      <c r="I17" s="99"/>
      <c r="J17" s="99"/>
    </row>
    <row r="18" spans="1:10" ht="13.5" thickBot="1" x14ac:dyDescent="0.25">
      <c r="A18" s="591" t="s">
        <v>101</v>
      </c>
      <c r="B18" s="592"/>
      <c r="C18" s="592"/>
      <c r="D18" s="592"/>
      <c r="E18" s="592"/>
      <c r="F18" s="592"/>
      <c r="G18" s="592"/>
      <c r="H18" s="592"/>
      <c r="I18" s="593"/>
    </row>
    <row r="19" spans="1:10" x14ac:dyDescent="0.2">
      <c r="A19" s="116">
        <v>-1</v>
      </c>
      <c r="B19" s="117">
        <f t="shared" ref="B19:I19" si="4">A19-1</f>
        <v>-2</v>
      </c>
      <c r="C19" s="117">
        <f t="shared" si="4"/>
        <v>-3</v>
      </c>
      <c r="D19" s="117">
        <f t="shared" si="4"/>
        <v>-4</v>
      </c>
      <c r="E19" s="117">
        <f t="shared" si="4"/>
        <v>-5</v>
      </c>
      <c r="F19" s="117">
        <f t="shared" si="4"/>
        <v>-6</v>
      </c>
      <c r="G19" s="117">
        <f t="shared" si="4"/>
        <v>-7</v>
      </c>
      <c r="H19" s="117">
        <f t="shared" si="4"/>
        <v>-8</v>
      </c>
      <c r="I19" s="118">
        <f t="shared" si="4"/>
        <v>-9</v>
      </c>
    </row>
    <row r="20" spans="1:10" ht="38.25" x14ac:dyDescent="0.2">
      <c r="A20" s="208" t="s">
        <v>0</v>
      </c>
      <c r="B20" s="209" t="s">
        <v>1</v>
      </c>
      <c r="C20" s="209" t="s">
        <v>2</v>
      </c>
      <c r="D20" s="209" t="s">
        <v>7</v>
      </c>
      <c r="E20" s="209" t="s">
        <v>8</v>
      </c>
      <c r="F20" s="209" t="s">
        <v>14</v>
      </c>
      <c r="G20" s="209" t="s">
        <v>5</v>
      </c>
      <c r="H20" s="209" t="s">
        <v>22</v>
      </c>
      <c r="I20" s="212" t="s">
        <v>30</v>
      </c>
    </row>
    <row r="21" spans="1:10" x14ac:dyDescent="0.2">
      <c r="A21" s="72"/>
      <c r="B21" s="73"/>
      <c r="C21" s="113"/>
      <c r="D21" s="113"/>
      <c r="E21" s="78" t="s">
        <v>9</v>
      </c>
      <c r="F21" s="113"/>
      <c r="G21" s="78" t="s">
        <v>10</v>
      </c>
      <c r="H21" s="75"/>
      <c r="I21" s="76" t="s">
        <v>6</v>
      </c>
    </row>
    <row r="22" spans="1:10" x14ac:dyDescent="0.2">
      <c r="A22" s="121">
        <f>'Q1 p.1 - Rate Base True-up Adj'!A22</f>
        <v>42856</v>
      </c>
      <c r="B22" s="122">
        <f>'Q1 p.1 - Rate Base True-up Adj'!B22</f>
        <v>42795</v>
      </c>
      <c r="C22" s="88">
        <f>'Input Tab'!G21</f>
        <v>0.1036</v>
      </c>
      <c r="D22" s="88">
        <f>'Input Tab'!N21</f>
        <v>0.1042</v>
      </c>
      <c r="E22" s="88">
        <f t="shared" ref="E22:E27" si="5">D22-C22</f>
        <v>6.0000000000000331E-4</v>
      </c>
      <c r="F22" s="82">
        <f>'Input Tab'!O21</f>
        <v>8353533</v>
      </c>
      <c r="G22" s="103">
        <f t="shared" ref="G22:G27" si="6">E22*F22/12</f>
        <v>417.67665000000233</v>
      </c>
      <c r="H22" s="84">
        <f>'Input Tab'!D21</f>
        <v>0.88580000000000003</v>
      </c>
      <c r="I22" s="111">
        <f t="shared" ref="I22:I27" si="7">G22*H22</f>
        <v>369.97797657000206</v>
      </c>
    </row>
    <row r="23" spans="1:10" x14ac:dyDescent="0.2">
      <c r="A23" s="121">
        <f>'Q1 p.1 - Rate Base True-up Adj'!A23</f>
        <v>42887</v>
      </c>
      <c r="B23" s="122">
        <f>'Q1 p.1 - Rate Base True-up Adj'!B23</f>
        <v>42826</v>
      </c>
      <c r="C23" s="88">
        <f>'Input Tab'!G22</f>
        <v>0.1036</v>
      </c>
      <c r="D23" s="88">
        <f>'Input Tab'!N22</f>
        <v>0.1042</v>
      </c>
      <c r="E23" s="88">
        <f t="shared" si="5"/>
        <v>6.0000000000000331E-4</v>
      </c>
      <c r="F23" s="82">
        <f>'Input Tab'!O22</f>
        <v>8920416</v>
      </c>
      <c r="G23" s="103">
        <f t="shared" si="6"/>
        <v>446.02080000000245</v>
      </c>
      <c r="H23" s="84">
        <f>'Input Tab'!D22</f>
        <v>0.86919999999999997</v>
      </c>
      <c r="I23" s="111">
        <f t="shared" si="7"/>
        <v>387.68127936000212</v>
      </c>
    </row>
    <row r="24" spans="1:10" x14ac:dyDescent="0.2">
      <c r="A24" s="121">
        <f>'Q1 p.1 - Rate Base True-up Adj'!A24</f>
        <v>42917</v>
      </c>
      <c r="B24" s="122">
        <f>'Q1 p.1 - Rate Base True-up Adj'!B24</f>
        <v>42856</v>
      </c>
      <c r="C24" s="88">
        <f>'Input Tab'!G23</f>
        <v>0.1036</v>
      </c>
      <c r="D24" s="88">
        <f>'Input Tab'!N23</f>
        <v>0.1042</v>
      </c>
      <c r="E24" s="88">
        <f t="shared" si="5"/>
        <v>6.0000000000000331E-4</v>
      </c>
      <c r="F24" s="82">
        <f>'Input Tab'!O23</f>
        <v>9964967</v>
      </c>
      <c r="G24" s="103">
        <f t="shared" si="6"/>
        <v>498.24835000000274</v>
      </c>
      <c r="H24" s="84">
        <f>'Input Tab'!D23</f>
        <v>0.88190000000000002</v>
      </c>
      <c r="I24" s="111">
        <f t="shared" si="7"/>
        <v>439.40521986500244</v>
      </c>
    </row>
    <row r="25" spans="1:10" x14ac:dyDescent="0.2">
      <c r="A25" s="121">
        <f>'Q1 p.1 - Rate Base True-up Adj'!A25</f>
        <v>42948</v>
      </c>
      <c r="B25" s="122">
        <f>'Q1 p.1 - Rate Base True-up Adj'!B25</f>
        <v>42887</v>
      </c>
      <c r="C25" s="88">
        <f>'Input Tab'!G24</f>
        <v>0.10349999999999999</v>
      </c>
      <c r="D25" s="88">
        <f>'Input Tab'!N24</f>
        <v>0.1036</v>
      </c>
      <c r="E25" s="88">
        <f t="shared" si="5"/>
        <v>1.0000000000000286E-4</v>
      </c>
      <c r="F25" s="82">
        <f>'Input Tab'!O24</f>
        <v>14736705</v>
      </c>
      <c r="G25" s="103">
        <f t="shared" si="6"/>
        <v>122.80587500000352</v>
      </c>
      <c r="H25" s="84">
        <f>'Input Tab'!D24</f>
        <v>0.89259999999999995</v>
      </c>
      <c r="I25" s="111">
        <f t="shared" si="7"/>
        <v>109.61652402500314</v>
      </c>
    </row>
    <row r="26" spans="1:10" x14ac:dyDescent="0.2">
      <c r="A26" s="121">
        <f>'Q1 p.1 - Rate Base True-up Adj'!A26</f>
        <v>42979</v>
      </c>
      <c r="B26" s="122">
        <f>'Q1 p.1 - Rate Base True-up Adj'!B26</f>
        <v>42917</v>
      </c>
      <c r="C26" s="88">
        <f>'Input Tab'!G25</f>
        <v>0.10349999999999999</v>
      </c>
      <c r="D26" s="88">
        <f>'Input Tab'!N25</f>
        <v>0.1036</v>
      </c>
      <c r="E26" s="88">
        <f t="shared" si="5"/>
        <v>1.0000000000000286E-4</v>
      </c>
      <c r="F26" s="82">
        <f>'Input Tab'!O25</f>
        <v>20177730</v>
      </c>
      <c r="G26" s="103">
        <f t="shared" si="6"/>
        <v>168.14775000000483</v>
      </c>
      <c r="H26" s="84">
        <f>'Input Tab'!D25</f>
        <v>0.88780000000000003</v>
      </c>
      <c r="I26" s="111">
        <f t="shared" si="7"/>
        <v>149.28157245000429</v>
      </c>
    </row>
    <row r="27" spans="1:10" x14ac:dyDescent="0.2">
      <c r="A27" s="121">
        <f>'Q1 p.1 - Rate Base True-up Adj'!A27</f>
        <v>43009</v>
      </c>
      <c r="B27" s="122">
        <f>'Q1 p.1 - Rate Base True-up Adj'!B27</f>
        <v>42948</v>
      </c>
      <c r="C27" s="88">
        <f>'Input Tab'!G26</f>
        <v>0.10349999999999999</v>
      </c>
      <c r="D27" s="88">
        <f>'Input Tab'!N26</f>
        <v>0.1036</v>
      </c>
      <c r="E27" s="88">
        <f t="shared" si="5"/>
        <v>1.0000000000000286E-4</v>
      </c>
      <c r="F27" s="82">
        <f>'Input Tab'!O26</f>
        <v>28249859</v>
      </c>
      <c r="G27" s="114">
        <f t="shared" si="6"/>
        <v>235.41549166667343</v>
      </c>
      <c r="H27" s="84">
        <f>'Input Tab'!D26</f>
        <v>0.88870000000000005</v>
      </c>
      <c r="I27" s="115">
        <f t="shared" si="7"/>
        <v>209.2137474441727</v>
      </c>
    </row>
    <row r="28" spans="1:10" x14ac:dyDescent="0.2">
      <c r="A28" s="92"/>
      <c r="B28" s="93"/>
      <c r="D28" s="99"/>
      <c r="E28" s="99"/>
      <c r="F28" s="99"/>
      <c r="G28" s="98">
        <f>SUM(G22:G27)</f>
        <v>1888.3149166666892</v>
      </c>
      <c r="H28" s="99"/>
      <c r="I28" s="100">
        <f>SUM(I22:I27)</f>
        <v>1665.1763197141868</v>
      </c>
    </row>
    <row r="29" spans="1:10" ht="13.5" thickBot="1" x14ac:dyDescent="0.25">
      <c r="A29" s="106"/>
      <c r="B29" s="107"/>
      <c r="C29" s="107"/>
      <c r="D29" s="107"/>
      <c r="E29" s="107"/>
      <c r="F29" s="107"/>
      <c r="G29" s="107"/>
      <c r="H29" s="107"/>
      <c r="I29" s="108"/>
    </row>
    <row r="30" spans="1:10" x14ac:dyDescent="0.2">
      <c r="A30"/>
    </row>
  </sheetData>
  <mergeCells count="2">
    <mergeCell ref="A5:I5"/>
    <mergeCell ref="A18:I18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B51"/>
  <sheetViews>
    <sheetView zoomScale="90" zoomScaleNormal="90" workbookViewId="0">
      <selection activeCell="C13" sqref="C13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8.66406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22.1640625" style="28" customWidth="1"/>
    <col min="15" max="15" width="2.6640625" style="28" customWidth="1"/>
    <col min="16" max="16" width="22.1640625" style="28" customWidth="1"/>
    <col min="17" max="17" width="2.1640625" style="28" customWidth="1"/>
    <col min="18" max="18" width="22.1640625" style="28" customWidth="1"/>
    <col min="19" max="20" width="2.1640625" style="28" customWidth="1"/>
    <col min="21" max="21" width="22.1640625" style="28" customWidth="1"/>
    <col min="22" max="22" width="2.6640625" style="28" customWidth="1"/>
    <col min="23" max="23" width="21.33203125" style="28" customWidth="1"/>
    <col min="24" max="24" width="2.83203125" style="28" customWidth="1"/>
    <col min="25" max="25" width="19.1640625" style="28" customWidth="1"/>
    <col min="26" max="26" width="3.33203125" style="28" customWidth="1"/>
    <col min="27" max="27" width="21.1640625" style="28" customWidth="1"/>
    <col min="28" max="16384" width="20.83203125" style="28"/>
  </cols>
  <sheetData>
    <row r="1" spans="1:23" x14ac:dyDescent="0.25">
      <c r="A1" s="64" t="str">
        <f>'Input Tab'!B2</f>
        <v>Kentucky Utilities Company</v>
      </c>
      <c r="R1" s="66" t="s">
        <v>278</v>
      </c>
    </row>
    <row r="2" spans="1:23" x14ac:dyDescent="0.25">
      <c r="A2" s="69" t="s">
        <v>170</v>
      </c>
      <c r="R2" s="66" t="s">
        <v>265</v>
      </c>
    </row>
    <row r="3" spans="1:23" x14ac:dyDescent="0.25">
      <c r="A3" s="352" t="s">
        <v>247</v>
      </c>
      <c r="R3" s="68" t="str">
        <f>'Q1 p.2 - Rate of Return Adj'!I3</f>
        <v>Rahn/Metts</v>
      </c>
    </row>
    <row r="4" spans="1:23" ht="16.5" thickBot="1" x14ac:dyDescent="0.3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</row>
    <row r="5" spans="1:23" ht="16.5" thickBot="1" x14ac:dyDescent="0.3">
      <c r="A5" s="595" t="s">
        <v>171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7"/>
    </row>
    <row r="6" spans="1:23" x14ac:dyDescent="0.25">
      <c r="A6" s="186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172"/>
    </row>
    <row r="7" spans="1:23" x14ac:dyDescent="0.25">
      <c r="A7" s="152"/>
      <c r="B7" s="44"/>
      <c r="L7" s="34" t="s">
        <v>51</v>
      </c>
      <c r="R7" s="146"/>
      <c r="T7" s="34"/>
      <c r="V7" s="33"/>
      <c r="W7" s="33"/>
    </row>
    <row r="8" spans="1:23" x14ac:dyDescent="0.25">
      <c r="A8" s="152"/>
      <c r="B8" s="44"/>
      <c r="C8" s="34"/>
      <c r="D8" s="34"/>
      <c r="E8" s="34"/>
      <c r="H8" s="34"/>
      <c r="I8" s="34"/>
      <c r="J8" s="34"/>
      <c r="K8" s="34"/>
      <c r="L8" s="34" t="s">
        <v>52</v>
      </c>
      <c r="M8" s="34"/>
      <c r="N8" s="34" t="s">
        <v>53</v>
      </c>
      <c r="Q8" s="34"/>
      <c r="R8" s="147" t="s">
        <v>54</v>
      </c>
    </row>
    <row r="9" spans="1:23" x14ac:dyDescent="0.25">
      <c r="A9" s="152"/>
      <c r="B9" s="44"/>
      <c r="C9" s="34"/>
      <c r="D9" s="34"/>
      <c r="E9" s="34"/>
      <c r="F9" s="34"/>
      <c r="H9" s="34"/>
      <c r="I9" s="34"/>
      <c r="J9" s="34" t="s">
        <v>55</v>
      </c>
      <c r="K9" s="34"/>
      <c r="L9" s="34" t="s">
        <v>56</v>
      </c>
      <c r="M9" s="34"/>
      <c r="N9" s="34" t="s">
        <v>57</v>
      </c>
      <c r="O9" s="34"/>
      <c r="P9" s="34" t="s">
        <v>58</v>
      </c>
      <c r="Q9" s="34"/>
      <c r="R9" s="147" t="s">
        <v>58</v>
      </c>
    </row>
    <row r="10" spans="1:23" x14ac:dyDescent="0.25">
      <c r="A10" s="152"/>
      <c r="C10" s="34" t="s">
        <v>59</v>
      </c>
      <c r="D10" s="34"/>
      <c r="E10" s="34"/>
      <c r="F10" s="34" t="s">
        <v>60</v>
      </c>
      <c r="H10" s="34"/>
      <c r="I10" s="34"/>
      <c r="J10" s="34" t="s">
        <v>61</v>
      </c>
      <c r="K10" s="34"/>
      <c r="L10" s="34" t="s">
        <v>62</v>
      </c>
      <c r="M10" s="34"/>
      <c r="N10" s="34" t="s">
        <v>62</v>
      </c>
      <c r="O10" s="34"/>
      <c r="P10" s="34" t="s">
        <v>63</v>
      </c>
      <c r="Q10" s="34"/>
      <c r="R10" s="147" t="s">
        <v>62</v>
      </c>
    </row>
    <row r="11" spans="1:23" x14ac:dyDescent="0.25">
      <c r="A11" s="144"/>
      <c r="C11" s="43" t="s">
        <v>248</v>
      </c>
      <c r="D11" s="34"/>
      <c r="E11" s="34"/>
      <c r="F11" s="34" t="s">
        <v>64</v>
      </c>
      <c r="H11" s="34" t="s">
        <v>65</v>
      </c>
      <c r="I11" s="34"/>
      <c r="J11" s="150" t="s">
        <v>66</v>
      </c>
      <c r="K11" s="34"/>
      <c r="L11" s="150" t="s">
        <v>67</v>
      </c>
      <c r="M11" s="34"/>
      <c r="N11" s="161" t="s">
        <v>68</v>
      </c>
      <c r="O11" s="34"/>
      <c r="P11" s="34" t="s">
        <v>69</v>
      </c>
      <c r="Q11" s="34"/>
      <c r="R11" s="162" t="s">
        <v>70</v>
      </c>
    </row>
    <row r="12" spans="1:23" ht="30" customHeight="1" x14ac:dyDescent="0.25">
      <c r="A12" s="144"/>
      <c r="C12" s="35">
        <v>-1</v>
      </c>
      <c r="D12" s="34"/>
      <c r="E12" s="34"/>
      <c r="F12" s="35">
        <v>-2</v>
      </c>
      <c r="H12" s="35">
        <v>-3</v>
      </c>
      <c r="I12" s="34"/>
      <c r="J12" s="36">
        <v>-4</v>
      </c>
      <c r="K12" s="34"/>
      <c r="L12" s="36">
        <v>-5</v>
      </c>
      <c r="M12" s="34"/>
      <c r="N12" s="35">
        <v>-6</v>
      </c>
      <c r="O12" s="34"/>
      <c r="P12" s="35">
        <v>-7</v>
      </c>
      <c r="Q12" s="34"/>
      <c r="R12" s="153">
        <v>-8</v>
      </c>
    </row>
    <row r="13" spans="1:23" ht="30" customHeight="1" x14ac:dyDescent="0.25">
      <c r="A13" s="154" t="s">
        <v>71</v>
      </c>
      <c r="B13" s="28" t="s">
        <v>72</v>
      </c>
      <c r="C13" s="37">
        <f>ROUND('Q1 p.5 - ECC (May)'!E70,0)</f>
        <v>31384758</v>
      </c>
      <c r="D13" s="163" t="s">
        <v>73</v>
      </c>
      <c r="F13" s="46">
        <f>ROUND(C13/$C$16,4)</f>
        <v>6.1999999999999998E-3</v>
      </c>
      <c r="H13" s="179">
        <v>0</v>
      </c>
      <c r="J13" s="37">
        <f>F13*J16</f>
        <v>-2658.0268000000001</v>
      </c>
      <c r="L13" s="37">
        <f>SUM(H13:J13)</f>
        <v>-2658.0268000000001</v>
      </c>
      <c r="N13" s="37">
        <f>+C13+L13</f>
        <v>31382099.973200001</v>
      </c>
      <c r="P13" s="233">
        <f>'Input Tab'!B12</f>
        <v>0.89080000000000004</v>
      </c>
      <c r="R13" s="164">
        <f>ROUND(+N13*P13,0)</f>
        <v>27955175</v>
      </c>
    </row>
    <row r="14" spans="1:23" ht="30" customHeight="1" x14ac:dyDescent="0.25">
      <c r="A14" s="154" t="s">
        <v>74</v>
      </c>
      <c r="B14" s="28" t="s">
        <v>75</v>
      </c>
      <c r="C14" s="38">
        <f>'Q1 p.5 - ECC (May)'!E54</f>
        <v>2341828969.8474998</v>
      </c>
      <c r="D14" s="163" t="s">
        <v>73</v>
      </c>
      <c r="F14" s="46">
        <f>ROUND(C14/$C$16,4)</f>
        <v>0.46129999999999999</v>
      </c>
      <c r="H14" s="180">
        <v>0</v>
      </c>
      <c r="J14" s="38">
        <f>F14*J16</f>
        <v>-197765.76819999999</v>
      </c>
      <c r="L14" s="37">
        <f>SUM(H14:J14)</f>
        <v>-197765.76819999999</v>
      </c>
      <c r="N14" s="38">
        <f>+C14+L14</f>
        <v>2341631204.0792999</v>
      </c>
      <c r="P14" s="166">
        <f>+P13</f>
        <v>0.89080000000000004</v>
      </c>
      <c r="R14" s="167">
        <f>ROUND(+N14*P14,0)</f>
        <v>2085925077</v>
      </c>
    </row>
    <row r="15" spans="1:23" ht="30" customHeight="1" x14ac:dyDescent="0.25">
      <c r="A15" s="154" t="s">
        <v>76</v>
      </c>
      <c r="B15" s="28" t="s">
        <v>77</v>
      </c>
      <c r="C15" s="227">
        <v>2702919000</v>
      </c>
      <c r="F15" s="49">
        <f>ROUND(1-F13-F14,4)</f>
        <v>0.53249999999999997</v>
      </c>
      <c r="H15" s="165">
        <v>0</v>
      </c>
      <c r="J15" s="165">
        <f>J16-J13-J14</f>
        <v>-228290.20500000002</v>
      </c>
      <c r="L15" s="37">
        <f>SUM(H15:J15)</f>
        <v>-228290.20500000002</v>
      </c>
      <c r="N15" s="38">
        <f>+C15+L15</f>
        <v>2702690709.7950001</v>
      </c>
      <c r="P15" s="166">
        <f>+P13</f>
        <v>0.89080000000000004</v>
      </c>
      <c r="R15" s="167">
        <f>ROUND(+N15*P15,0)</f>
        <v>2407556884</v>
      </c>
    </row>
    <row r="16" spans="1:23" ht="31.5" customHeight="1" thickBot="1" x14ac:dyDescent="0.3">
      <c r="A16" s="154" t="s">
        <v>78</v>
      </c>
      <c r="B16" s="28" t="s">
        <v>79</v>
      </c>
      <c r="C16" s="39">
        <f>SUM(C13:C15)</f>
        <v>5076132727.8474998</v>
      </c>
      <c r="F16" s="40">
        <f>SUM(F13:F15)</f>
        <v>1</v>
      </c>
      <c r="H16" s="228">
        <f>'Input Tab'!B10</f>
        <v>0</v>
      </c>
      <c r="J16" s="229">
        <v>-428714</v>
      </c>
      <c r="L16" s="229">
        <f>SUM(L13:L15)</f>
        <v>-428714</v>
      </c>
      <c r="N16" s="41">
        <f>SUM(N13:N15)</f>
        <v>5075704013.8474998</v>
      </c>
      <c r="R16" s="168">
        <f>SUM(R13:R15)</f>
        <v>4521437136</v>
      </c>
      <c r="S16" s="27"/>
    </row>
    <row r="17" spans="1:28" ht="17.25" thickTop="1" thickBot="1" x14ac:dyDescent="0.3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60"/>
      <c r="T17" s="27"/>
    </row>
    <row r="18" spans="1:28" ht="16.5" thickBot="1" x14ac:dyDescent="0.3"/>
    <row r="19" spans="1:28" ht="16.5" thickBot="1" x14ac:dyDescent="0.3">
      <c r="A19" s="598" t="s">
        <v>107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600"/>
      <c r="S19" s="29"/>
      <c r="T19" s="30"/>
      <c r="U19" s="30"/>
      <c r="V19" s="30"/>
      <c r="W19" s="30"/>
      <c r="X19" s="31"/>
      <c r="Y19" s="31"/>
      <c r="Z19" s="31"/>
      <c r="AA19" s="31"/>
    </row>
    <row r="20" spans="1:28" x14ac:dyDescent="0.25">
      <c r="A20" s="536"/>
      <c r="B20" s="537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9"/>
      <c r="S20" s="29"/>
      <c r="T20" s="30"/>
      <c r="U20" s="30"/>
      <c r="V20" s="30"/>
      <c r="W20" s="30"/>
      <c r="X20" s="31"/>
      <c r="Y20" s="31"/>
      <c r="Z20" s="31"/>
      <c r="AA20" s="31"/>
    </row>
    <row r="21" spans="1:28" ht="18" x14ac:dyDescent="0.4">
      <c r="A21" s="144"/>
      <c r="C21" s="42"/>
      <c r="D21" s="42"/>
      <c r="E21" s="42"/>
      <c r="F21" s="42"/>
      <c r="G21" s="42"/>
      <c r="H21" s="145"/>
      <c r="I21" s="42"/>
      <c r="J21" s="145"/>
      <c r="K21" s="42"/>
      <c r="L21" s="145" t="s">
        <v>80</v>
      </c>
      <c r="M21" s="42"/>
      <c r="N21" s="42"/>
      <c r="O21" s="42"/>
      <c r="R21" s="146"/>
      <c r="S21" s="27"/>
      <c r="X21" s="27"/>
      <c r="AB21" s="34"/>
    </row>
    <row r="22" spans="1:28" ht="18" x14ac:dyDescent="0.4">
      <c r="A22" s="144"/>
      <c r="C22" s="42"/>
      <c r="D22" s="42"/>
      <c r="E22" s="42"/>
      <c r="F22" s="42"/>
      <c r="G22" s="42"/>
      <c r="H22" s="145"/>
      <c r="I22" s="42"/>
      <c r="J22" s="145"/>
      <c r="K22" s="42"/>
      <c r="L22" s="34" t="s">
        <v>54</v>
      </c>
      <c r="M22" s="42"/>
      <c r="P22" s="34"/>
      <c r="Q22" s="34"/>
      <c r="R22" s="147" t="s">
        <v>81</v>
      </c>
      <c r="X22" s="27"/>
      <c r="AB22" s="34"/>
    </row>
    <row r="23" spans="1:28" x14ac:dyDescent="0.25">
      <c r="A23" s="144"/>
      <c r="C23" s="34" t="s">
        <v>54</v>
      </c>
      <c r="H23" s="145" t="s">
        <v>82</v>
      </c>
      <c r="J23" s="148" t="s">
        <v>83</v>
      </c>
      <c r="L23" s="34" t="s">
        <v>58</v>
      </c>
      <c r="N23" s="34" t="s">
        <v>80</v>
      </c>
      <c r="P23" s="34" t="s">
        <v>84</v>
      </c>
      <c r="Q23" s="34"/>
      <c r="R23" s="147" t="s">
        <v>85</v>
      </c>
      <c r="X23" s="27"/>
      <c r="AA23" s="34"/>
      <c r="AB23" s="34"/>
    </row>
    <row r="24" spans="1:28" ht="18" x14ac:dyDescent="0.4">
      <c r="A24" s="144"/>
      <c r="C24" s="34" t="s">
        <v>58</v>
      </c>
      <c r="D24" s="42"/>
      <c r="E24" s="42"/>
      <c r="F24" s="34" t="s">
        <v>60</v>
      </c>
      <c r="H24" s="34" t="s">
        <v>86</v>
      </c>
      <c r="J24" s="148" t="s">
        <v>63</v>
      </c>
      <c r="L24" s="34" t="s">
        <v>62</v>
      </c>
      <c r="M24" s="42"/>
      <c r="N24" s="34" t="s">
        <v>60</v>
      </c>
      <c r="P24" s="34" t="s">
        <v>81</v>
      </c>
      <c r="Q24" s="34"/>
      <c r="R24" s="147" t="s">
        <v>87</v>
      </c>
      <c r="X24" s="42"/>
      <c r="AA24" s="34"/>
      <c r="AB24" s="43"/>
    </row>
    <row r="25" spans="1:28" x14ac:dyDescent="0.25">
      <c r="A25" s="149"/>
      <c r="B25" s="44"/>
      <c r="C25" s="34" t="s">
        <v>62</v>
      </c>
      <c r="F25" s="34" t="s">
        <v>64</v>
      </c>
      <c r="H25" s="150" t="s">
        <v>88</v>
      </c>
      <c r="J25" s="150" t="s">
        <v>89</v>
      </c>
      <c r="L25" s="150" t="s">
        <v>90</v>
      </c>
      <c r="N25" s="34" t="s">
        <v>64</v>
      </c>
      <c r="P25" s="34" t="s">
        <v>91</v>
      </c>
      <c r="Q25" s="34"/>
      <c r="R25" s="151" t="s">
        <v>92</v>
      </c>
      <c r="X25" s="34"/>
      <c r="AA25" s="34"/>
      <c r="AB25" s="43"/>
    </row>
    <row r="26" spans="1:28" x14ac:dyDescent="0.25">
      <c r="A26" s="152"/>
      <c r="B26" s="44"/>
      <c r="C26" s="35">
        <v>-8</v>
      </c>
      <c r="D26" s="34"/>
      <c r="E26" s="34"/>
      <c r="F26" s="35">
        <v>-9</v>
      </c>
      <c r="H26" s="35">
        <v>-10</v>
      </c>
      <c r="J26" s="36">
        <v>-11</v>
      </c>
      <c r="L26" s="35">
        <v>-12</v>
      </c>
      <c r="M26" s="34"/>
      <c r="N26" s="35">
        <v>-13</v>
      </c>
      <c r="P26" s="35">
        <v>-14</v>
      </c>
      <c r="Q26" s="34"/>
      <c r="R26" s="153">
        <v>-15</v>
      </c>
      <c r="X26" s="34"/>
      <c r="AA26" s="34"/>
      <c r="AB26" s="34"/>
    </row>
    <row r="27" spans="1:28" ht="30" customHeight="1" x14ac:dyDescent="0.25">
      <c r="A27" s="154" t="s">
        <v>71</v>
      </c>
      <c r="B27" s="28" t="s">
        <v>72</v>
      </c>
      <c r="C27" s="37">
        <f>R13</f>
        <v>27955175</v>
      </c>
      <c r="D27" s="38"/>
      <c r="F27" s="46">
        <f>ROUND(+C27/$C$30,4)</f>
        <v>6.1999999999999998E-3</v>
      </c>
      <c r="H27" s="37">
        <f>ROUND(+F27*$H$30,0)</f>
        <v>-5811913</v>
      </c>
      <c r="J27" s="37">
        <f>ROUND(+F27*$J$30,0)</f>
        <v>-33559</v>
      </c>
      <c r="L27" s="45">
        <f>+C27+H27+J27</f>
        <v>22109703</v>
      </c>
      <c r="M27" s="34"/>
      <c r="N27" s="46">
        <f>ROUND(+L27/$L$30,4)</f>
        <v>6.1999999999999998E-3</v>
      </c>
      <c r="O27" s="47"/>
      <c r="P27" s="155">
        <v>1.1599999999999999E-2</v>
      </c>
      <c r="Q27" s="47"/>
      <c r="R27" s="156">
        <f>ROUND(+$N$27*$P$27,4)</f>
        <v>1E-4</v>
      </c>
      <c r="X27" s="34"/>
      <c r="AA27" s="48"/>
      <c r="AB27" s="49"/>
    </row>
    <row r="28" spans="1:28" ht="30" customHeight="1" x14ac:dyDescent="0.25">
      <c r="A28" s="154" t="s">
        <v>74</v>
      </c>
      <c r="B28" s="28" t="s">
        <v>75</v>
      </c>
      <c r="C28" s="37">
        <f t="shared" ref="C28:C30" si="0">R14</f>
        <v>2085925077</v>
      </c>
      <c r="D28" s="38"/>
      <c r="F28" s="46">
        <f>ROUND(+C28/$C$30,4)</f>
        <v>0.46129999999999999</v>
      </c>
      <c r="H28" s="38">
        <f>ROUND(+F28*$H$30,0)</f>
        <v>-432425058</v>
      </c>
      <c r="J28" s="38">
        <f>ROUND(+F28*$J$30,0)</f>
        <v>-2496924</v>
      </c>
      <c r="L28" s="51">
        <f>+C28+H28+J28</f>
        <v>1651003095</v>
      </c>
      <c r="M28" s="34"/>
      <c r="N28" s="46">
        <f>ROUND(+L28/$L$30,4)</f>
        <v>0.46139999999999998</v>
      </c>
      <c r="O28" s="47"/>
      <c r="P28" s="155">
        <v>4.1099999999999998E-2</v>
      </c>
      <c r="Q28" s="47"/>
      <c r="R28" s="156">
        <f>ROUND(+$N$28*$P$28,4)</f>
        <v>1.9E-2</v>
      </c>
      <c r="U28" s="50"/>
      <c r="V28" s="50"/>
      <c r="W28" s="50"/>
      <c r="X28" s="50"/>
      <c r="Z28" s="50"/>
      <c r="AA28" s="48"/>
      <c r="AB28" s="49"/>
    </row>
    <row r="29" spans="1:28" ht="30" customHeight="1" x14ac:dyDescent="0.25">
      <c r="A29" s="154" t="s">
        <v>76</v>
      </c>
      <c r="B29" s="28" t="s">
        <v>77</v>
      </c>
      <c r="C29" s="371">
        <f t="shared" si="0"/>
        <v>2407556884</v>
      </c>
      <c r="D29" s="38"/>
      <c r="F29" s="46">
        <f>ROUND(1-F27-F28,4)</f>
        <v>0.53249999999999997</v>
      </c>
      <c r="H29" s="38">
        <f>+H30-H27-H28</f>
        <v>-499168314</v>
      </c>
      <c r="J29" s="38">
        <f>+J30-J27-J28</f>
        <v>-2882315</v>
      </c>
      <c r="L29" s="51">
        <f>+C29+H29+J29</f>
        <v>1905506255</v>
      </c>
      <c r="N29" s="46">
        <f>ROUND(1-N27-N28,4)</f>
        <v>0.53239999999999998</v>
      </c>
      <c r="O29" s="47"/>
      <c r="P29" s="233">
        <v>0.1</v>
      </c>
      <c r="Q29" s="47"/>
      <c r="R29" s="156">
        <f>ROUND(+$N$29*$P$29,4)</f>
        <v>5.3199999999999997E-2</v>
      </c>
      <c r="AA29" s="52"/>
      <c r="AB29" s="49"/>
    </row>
    <row r="30" spans="1:28" ht="30" customHeight="1" thickBot="1" x14ac:dyDescent="0.3">
      <c r="A30" s="154" t="s">
        <v>78</v>
      </c>
      <c r="B30" s="28" t="s">
        <v>79</v>
      </c>
      <c r="C30" s="41">
        <f t="shared" si="0"/>
        <v>4521437136</v>
      </c>
      <c r="D30" s="38"/>
      <c r="F30" s="53">
        <f>SUM(F27:F29)</f>
        <v>1</v>
      </c>
      <c r="H30" s="41">
        <v>-937405285</v>
      </c>
      <c r="J30" s="228">
        <v>-5412798</v>
      </c>
      <c r="L30" s="41">
        <f>SUM(L27:L29)</f>
        <v>3578619053</v>
      </c>
      <c r="N30" s="53">
        <f>SUM(N27:N29)</f>
        <v>1</v>
      </c>
      <c r="P30" s="49"/>
      <c r="R30" s="157">
        <f>ROUND(SUM(R27:R29),4)</f>
        <v>7.2300000000000003E-2</v>
      </c>
      <c r="AB30" s="49"/>
    </row>
    <row r="31" spans="1:28" ht="35.1" customHeight="1" thickTop="1" thickBot="1" x14ac:dyDescent="0.3">
      <c r="A31" s="206" t="s">
        <v>93</v>
      </c>
      <c r="B31" s="159" t="s">
        <v>94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207">
        <f>ROUND(R30+(R30-R28-R27)*(38.666%/(1-38.666%)),4)</f>
        <v>0.10580000000000001</v>
      </c>
    </row>
    <row r="32" spans="1:28" ht="16.5" thickBot="1" x14ac:dyDescent="0.3">
      <c r="A32" s="170"/>
      <c r="B32" s="170"/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5"/>
      <c r="Y32" s="535"/>
      <c r="Z32" s="535"/>
      <c r="AA32" s="535"/>
    </row>
    <row r="33" spans="1:28" ht="18.75" thickBot="1" x14ac:dyDescent="0.45">
      <c r="A33" s="601" t="s">
        <v>108</v>
      </c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600"/>
      <c r="S33" s="32"/>
      <c r="T33" s="32"/>
      <c r="U33" s="32"/>
      <c r="V33" s="32"/>
      <c r="W33" s="32"/>
      <c r="X33" s="27"/>
    </row>
    <row r="34" spans="1:28" ht="18" x14ac:dyDescent="0.4">
      <c r="A34" s="540"/>
      <c r="B34" s="541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3"/>
      <c r="S34" s="32"/>
      <c r="T34" s="32"/>
      <c r="U34" s="32"/>
      <c r="V34" s="32"/>
      <c r="W34" s="32"/>
      <c r="X34" s="27"/>
    </row>
    <row r="35" spans="1:28" ht="18" x14ac:dyDescent="0.4">
      <c r="A35" s="144"/>
      <c r="C35" s="42"/>
      <c r="D35" s="42"/>
      <c r="E35" s="42"/>
      <c r="F35" s="42"/>
      <c r="G35" s="42"/>
      <c r="H35" s="145"/>
      <c r="I35" s="42"/>
      <c r="J35" s="145"/>
      <c r="K35" s="42"/>
      <c r="L35" s="145" t="s">
        <v>80</v>
      </c>
      <c r="M35" s="42"/>
      <c r="N35" s="42"/>
      <c r="O35" s="42"/>
      <c r="R35" s="146"/>
      <c r="S35" s="27"/>
      <c r="X35" s="27"/>
      <c r="AB35" s="34"/>
    </row>
    <row r="36" spans="1:28" ht="18" x14ac:dyDescent="0.4">
      <c r="A36" s="144"/>
      <c r="C36" s="42"/>
      <c r="D36" s="42"/>
      <c r="E36" s="42"/>
      <c r="F36" s="42"/>
      <c r="G36" s="42"/>
      <c r="H36" s="145"/>
      <c r="I36" s="42"/>
      <c r="J36" s="145"/>
      <c r="K36" s="42"/>
      <c r="L36" s="34" t="s">
        <v>54</v>
      </c>
      <c r="M36" s="42"/>
      <c r="P36" s="34"/>
      <c r="Q36" s="34"/>
      <c r="R36" s="147" t="s">
        <v>81</v>
      </c>
      <c r="X36" s="27"/>
      <c r="AB36" s="34"/>
    </row>
    <row r="37" spans="1:28" x14ac:dyDescent="0.25">
      <c r="A37" s="144"/>
      <c r="C37" s="34" t="s">
        <v>54</v>
      </c>
      <c r="H37" s="145" t="s">
        <v>82</v>
      </c>
      <c r="J37" s="148" t="s">
        <v>83</v>
      </c>
      <c r="L37" s="34" t="s">
        <v>58</v>
      </c>
      <c r="N37" s="34" t="s">
        <v>80</v>
      </c>
      <c r="P37" s="34" t="s">
        <v>84</v>
      </c>
      <c r="Q37" s="34"/>
      <c r="R37" s="147" t="s">
        <v>85</v>
      </c>
      <c r="X37" s="27"/>
      <c r="AA37" s="34"/>
      <c r="AB37" s="34"/>
    </row>
    <row r="38" spans="1:28" ht="18" x14ac:dyDescent="0.4">
      <c r="A38" s="144"/>
      <c r="C38" s="34" t="s">
        <v>58</v>
      </c>
      <c r="D38" s="42"/>
      <c r="E38" s="42"/>
      <c r="F38" s="34" t="s">
        <v>60</v>
      </c>
      <c r="H38" s="34" t="s">
        <v>86</v>
      </c>
      <c r="J38" s="148" t="s">
        <v>63</v>
      </c>
      <c r="L38" s="34" t="s">
        <v>62</v>
      </c>
      <c r="M38" s="42"/>
      <c r="N38" s="34" t="s">
        <v>60</v>
      </c>
      <c r="P38" s="34" t="s">
        <v>81</v>
      </c>
      <c r="Q38" s="34"/>
      <c r="R38" s="147" t="s">
        <v>87</v>
      </c>
      <c r="X38" s="42"/>
      <c r="AA38" s="34"/>
      <c r="AB38" s="43"/>
    </row>
    <row r="39" spans="1:28" x14ac:dyDescent="0.25">
      <c r="A39" s="149"/>
      <c r="B39" s="44"/>
      <c r="C39" s="34" t="s">
        <v>62</v>
      </c>
      <c r="F39" s="34" t="s">
        <v>64</v>
      </c>
      <c r="H39" s="150" t="s">
        <v>88</v>
      </c>
      <c r="J39" s="150" t="s">
        <v>89</v>
      </c>
      <c r="L39" s="150" t="s">
        <v>90</v>
      </c>
      <c r="N39" s="34" t="s">
        <v>64</v>
      </c>
      <c r="P39" s="34" t="s">
        <v>91</v>
      </c>
      <c r="Q39" s="34"/>
      <c r="R39" s="151" t="s">
        <v>92</v>
      </c>
      <c r="X39" s="34"/>
      <c r="AA39" s="34"/>
      <c r="AB39" s="43"/>
    </row>
    <row r="40" spans="1:28" x14ac:dyDescent="0.25">
      <c r="A40" s="152"/>
      <c r="B40" s="44"/>
      <c r="C40" s="34">
        <v>-8</v>
      </c>
      <c r="D40" s="34"/>
      <c r="E40" s="34"/>
      <c r="F40" s="34">
        <v>-9</v>
      </c>
      <c r="H40" s="34">
        <v>-10</v>
      </c>
      <c r="J40" s="148">
        <v>-11</v>
      </c>
      <c r="L40" s="34">
        <v>-12</v>
      </c>
      <c r="M40" s="34"/>
      <c r="N40" s="34">
        <v>-13</v>
      </c>
      <c r="P40" s="34">
        <v>-14</v>
      </c>
      <c r="Q40" s="34"/>
      <c r="R40" s="147">
        <v>-15</v>
      </c>
      <c r="X40" s="34"/>
      <c r="AA40" s="34"/>
      <c r="AB40" s="34"/>
    </row>
    <row r="41" spans="1:28" ht="30" customHeight="1" x14ac:dyDescent="0.25">
      <c r="A41" s="154" t="s">
        <v>71</v>
      </c>
      <c r="B41" s="28" t="s">
        <v>72</v>
      </c>
      <c r="C41" s="37">
        <f>+R13</f>
        <v>27955175</v>
      </c>
      <c r="D41" s="38"/>
      <c r="F41" s="46">
        <f>ROUND(+C41/$C$44,4)</f>
        <v>6.1999999999999998E-3</v>
      </c>
      <c r="H41" s="37">
        <f>ROUND(+F41*$H$44,0)</f>
        <v>-5811913</v>
      </c>
      <c r="J41" s="37">
        <f>ROUND(+F41*$J$44,0)</f>
        <v>-33559</v>
      </c>
      <c r="L41" s="45">
        <f>+C41+H41+J41</f>
        <v>22109703</v>
      </c>
      <c r="M41" s="34"/>
      <c r="N41" s="46">
        <f>ROUND(+L41/$L$44,4)</f>
        <v>6.1999999999999998E-3</v>
      </c>
      <c r="O41" s="47"/>
      <c r="P41" s="155">
        <f>P27</f>
        <v>1.1599999999999999E-2</v>
      </c>
      <c r="Q41" s="47"/>
      <c r="R41" s="156">
        <f>ROUND(+$N$41*$P$41,4)</f>
        <v>1E-4</v>
      </c>
      <c r="X41" s="34"/>
      <c r="AA41" s="48"/>
      <c r="AB41" s="49"/>
    </row>
    <row r="42" spans="1:28" ht="30" customHeight="1" x14ac:dyDescent="0.25">
      <c r="A42" s="154" t="s">
        <v>74</v>
      </c>
      <c r="B42" s="28" t="s">
        <v>75</v>
      </c>
      <c r="C42" s="38">
        <f>+R14</f>
        <v>2085925077</v>
      </c>
      <c r="D42" s="38"/>
      <c r="F42" s="46">
        <f>ROUND(+C42/$C$44,4)</f>
        <v>0.46129999999999999</v>
      </c>
      <c r="H42" s="38">
        <f>ROUND(+F42*$H$44,0)</f>
        <v>-432425058</v>
      </c>
      <c r="J42" s="38">
        <f>ROUND(+F42*$J$44,0)</f>
        <v>-2496924</v>
      </c>
      <c r="L42" s="51">
        <f>+C42+H42+J42</f>
        <v>1651003095</v>
      </c>
      <c r="M42" s="34"/>
      <c r="N42" s="46">
        <f>ROUND(+L42/$L$44,4)</f>
        <v>0.46139999999999998</v>
      </c>
      <c r="O42" s="47"/>
      <c r="P42" s="155">
        <f t="shared" ref="P42" si="1">P28</f>
        <v>4.1099999999999998E-2</v>
      </c>
      <c r="Q42" s="47"/>
      <c r="R42" s="156">
        <f>ROUND(+$N$42*$P$42,4)</f>
        <v>1.9E-2</v>
      </c>
      <c r="U42" s="50"/>
      <c r="V42" s="50"/>
      <c r="W42" s="50"/>
      <c r="X42" s="50"/>
      <c r="Z42" s="50"/>
      <c r="AA42" s="48"/>
      <c r="AB42" s="49"/>
    </row>
    <row r="43" spans="1:28" ht="30" customHeight="1" x14ac:dyDescent="0.25">
      <c r="A43" s="154" t="s">
        <v>76</v>
      </c>
      <c r="B43" s="28" t="s">
        <v>77</v>
      </c>
      <c r="C43" s="181">
        <f>+R15</f>
        <v>2407556884</v>
      </c>
      <c r="D43" s="38"/>
      <c r="F43" s="182">
        <f>ROUND(1-F41-F42,4)</f>
        <v>0.53249999999999997</v>
      </c>
      <c r="H43" s="181">
        <f>+H44-H41-H42</f>
        <v>-499168314</v>
      </c>
      <c r="J43" s="181">
        <f>+J44-J41-J42</f>
        <v>-2882315</v>
      </c>
      <c r="L43" s="183">
        <f>+C43+H43+J43</f>
        <v>1905506255</v>
      </c>
      <c r="N43" s="182">
        <f>ROUND(1-N41-N42,4)</f>
        <v>0.53239999999999998</v>
      </c>
      <c r="O43" s="47"/>
      <c r="P43" s="155">
        <v>9.8000000000000004E-2</v>
      </c>
      <c r="Q43" s="47"/>
      <c r="R43" s="184">
        <f>ROUND(+$N$43*$P$43,4)</f>
        <v>5.2200000000000003E-2</v>
      </c>
      <c r="AA43" s="52"/>
      <c r="AB43" s="49"/>
    </row>
    <row r="44" spans="1:28" ht="30" customHeight="1" thickBot="1" x14ac:dyDescent="0.3">
      <c r="A44" s="154" t="s">
        <v>78</v>
      </c>
      <c r="B44" s="28" t="s">
        <v>79</v>
      </c>
      <c r="C44" s="41">
        <f>SUM(C41:C43)</f>
        <v>4521437136</v>
      </c>
      <c r="D44" s="38"/>
      <c r="F44" s="53">
        <f>SUM(F41:F43)</f>
        <v>1</v>
      </c>
      <c r="H44" s="41">
        <f>H30</f>
        <v>-937405285</v>
      </c>
      <c r="J44" s="41">
        <f>J30</f>
        <v>-5412798</v>
      </c>
      <c r="L44" s="41">
        <f>SUM(L41:L43)</f>
        <v>3578619053</v>
      </c>
      <c r="N44" s="53">
        <f>SUM(N41:N43)</f>
        <v>1</v>
      </c>
      <c r="P44" s="49"/>
      <c r="R44" s="185">
        <f>ROUND(SUM(R41:R43),4)</f>
        <v>7.1300000000000002E-2</v>
      </c>
      <c r="AB44" s="49"/>
    </row>
    <row r="45" spans="1:28" ht="35.1" customHeight="1" thickTop="1" thickBot="1" x14ac:dyDescent="0.3">
      <c r="A45" s="206" t="s">
        <v>93</v>
      </c>
      <c r="B45" s="159" t="s">
        <v>94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207">
        <f>ROUND(R44+(R44-R42-R41)*(38.666%/(1-38.666%)),4)</f>
        <v>0.1042</v>
      </c>
    </row>
    <row r="47" spans="1:28" x14ac:dyDescent="0.25">
      <c r="A47" s="28" t="s">
        <v>73</v>
      </c>
      <c r="B47" s="177" t="s">
        <v>95</v>
      </c>
    </row>
    <row r="50" spans="12:16" x14ac:dyDescent="0.25">
      <c r="L50" s="54"/>
      <c r="N50" s="55"/>
      <c r="P50" s="56"/>
    </row>
    <row r="51" spans="12:16" x14ac:dyDescent="0.25">
      <c r="L51" s="54"/>
      <c r="N51" s="55"/>
    </row>
  </sheetData>
  <mergeCells count="4">
    <mergeCell ref="A4:R4"/>
    <mergeCell ref="A5:R5"/>
    <mergeCell ref="A19:R19"/>
    <mergeCell ref="A33:R33"/>
  </mergeCells>
  <pageMargins left="0.7" right="0.7" top="0.75" bottom="0.75" header="0.3" footer="0.3"/>
  <pageSetup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theme="3" tint="0.79998168889431442"/>
    <pageSetUpPr fitToPage="1"/>
  </sheetPr>
  <dimension ref="A1:AB51"/>
  <sheetViews>
    <sheetView showGridLines="0" zoomScale="90" zoomScaleNormal="90" workbookViewId="0">
      <selection activeCell="R1" sqref="R1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8.66406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22.1640625" style="28" customWidth="1"/>
    <col min="15" max="15" width="2.6640625" style="28" customWidth="1"/>
    <col min="16" max="16" width="22.1640625" style="28" customWidth="1"/>
    <col min="17" max="17" width="2.1640625" style="28" customWidth="1"/>
    <col min="18" max="18" width="22.1640625" style="28" customWidth="1"/>
    <col min="19" max="20" width="2.1640625" style="28" customWidth="1"/>
    <col min="21" max="21" width="22.1640625" style="28" customWidth="1"/>
    <col min="22" max="22" width="2.6640625" style="28" customWidth="1"/>
    <col min="23" max="23" width="21.33203125" style="28" customWidth="1"/>
    <col min="24" max="24" width="2.83203125" style="28" customWidth="1"/>
    <col min="25" max="25" width="19.1640625" style="28" customWidth="1"/>
    <col min="26" max="26" width="3.33203125" style="28" customWidth="1"/>
    <col min="27" max="27" width="21.1640625" style="28" customWidth="1"/>
    <col min="28" max="16384" width="20.83203125" style="28"/>
  </cols>
  <sheetData>
    <row r="1" spans="1:23" x14ac:dyDescent="0.25">
      <c r="A1" s="64" t="str">
        <f>'Input Tab'!B2</f>
        <v>Kentucky Utilities Company</v>
      </c>
      <c r="R1" s="66" t="s">
        <v>278</v>
      </c>
    </row>
    <row r="2" spans="1:23" x14ac:dyDescent="0.25">
      <c r="A2" s="64" t="s">
        <v>170</v>
      </c>
      <c r="R2" s="66" t="s">
        <v>266</v>
      </c>
    </row>
    <row r="3" spans="1:23" x14ac:dyDescent="0.25">
      <c r="A3" s="352" t="s">
        <v>235</v>
      </c>
      <c r="R3" s="68" t="str">
        <f>'Q1 p.2 - Rate of Return Adj'!I3</f>
        <v>Rahn/Metts</v>
      </c>
    </row>
    <row r="4" spans="1:23" ht="16.5" thickBot="1" x14ac:dyDescent="0.3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</row>
    <row r="5" spans="1:23" ht="16.5" thickBot="1" x14ac:dyDescent="0.3">
      <c r="A5" s="595" t="s">
        <v>171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7"/>
    </row>
    <row r="6" spans="1:23" x14ac:dyDescent="0.25">
      <c r="A6" s="186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2"/>
    </row>
    <row r="7" spans="1:23" x14ac:dyDescent="0.25">
      <c r="A7" s="152"/>
      <c r="B7" s="44"/>
      <c r="L7" s="34" t="s">
        <v>51</v>
      </c>
      <c r="R7" s="146"/>
      <c r="T7" s="34"/>
      <c r="V7" s="33"/>
      <c r="W7" s="33"/>
    </row>
    <row r="8" spans="1:23" x14ac:dyDescent="0.25">
      <c r="A8" s="152"/>
      <c r="B8" s="44"/>
      <c r="C8" s="34"/>
      <c r="D8" s="34"/>
      <c r="E8" s="34"/>
      <c r="H8" s="34"/>
      <c r="I8" s="34"/>
      <c r="J8" s="34"/>
      <c r="K8" s="34"/>
      <c r="L8" s="34" t="s">
        <v>52</v>
      </c>
      <c r="M8" s="34"/>
      <c r="N8" s="34" t="s">
        <v>53</v>
      </c>
      <c r="Q8" s="34"/>
      <c r="R8" s="147" t="s">
        <v>54</v>
      </c>
    </row>
    <row r="9" spans="1:23" x14ac:dyDescent="0.25">
      <c r="A9" s="152"/>
      <c r="B9" s="44"/>
      <c r="C9" s="34"/>
      <c r="D9" s="34"/>
      <c r="E9" s="34"/>
      <c r="F9" s="34"/>
      <c r="H9" s="34"/>
      <c r="I9" s="34"/>
      <c r="J9" s="34" t="s">
        <v>55</v>
      </c>
      <c r="K9" s="34"/>
      <c r="L9" s="34" t="s">
        <v>56</v>
      </c>
      <c r="M9" s="34"/>
      <c r="N9" s="34" t="s">
        <v>57</v>
      </c>
      <c r="O9" s="34"/>
      <c r="P9" s="34" t="s">
        <v>58</v>
      </c>
      <c r="Q9" s="34"/>
      <c r="R9" s="147" t="s">
        <v>58</v>
      </c>
    </row>
    <row r="10" spans="1:23" x14ac:dyDescent="0.25">
      <c r="A10" s="152"/>
      <c r="C10" s="34" t="s">
        <v>59</v>
      </c>
      <c r="D10" s="34"/>
      <c r="E10" s="34"/>
      <c r="F10" s="34" t="s">
        <v>60</v>
      </c>
      <c r="H10" s="34"/>
      <c r="I10" s="34"/>
      <c r="J10" s="34" t="s">
        <v>61</v>
      </c>
      <c r="K10" s="34"/>
      <c r="L10" s="34" t="s">
        <v>62</v>
      </c>
      <c r="M10" s="34"/>
      <c r="N10" s="34" t="s">
        <v>62</v>
      </c>
      <c r="O10" s="34"/>
      <c r="P10" s="34" t="s">
        <v>63</v>
      </c>
      <c r="Q10" s="34"/>
      <c r="R10" s="147" t="s">
        <v>62</v>
      </c>
    </row>
    <row r="11" spans="1:23" x14ac:dyDescent="0.25">
      <c r="A11" s="144"/>
      <c r="C11" s="43" t="s">
        <v>236</v>
      </c>
      <c r="D11" s="34"/>
      <c r="E11" s="34"/>
      <c r="F11" s="34" t="s">
        <v>64</v>
      </c>
      <c r="H11" s="34" t="s">
        <v>65</v>
      </c>
      <c r="I11" s="34"/>
      <c r="J11" s="150" t="s">
        <v>66</v>
      </c>
      <c r="K11" s="34"/>
      <c r="L11" s="150" t="s">
        <v>67</v>
      </c>
      <c r="M11" s="34"/>
      <c r="N11" s="161" t="s">
        <v>68</v>
      </c>
      <c r="O11" s="34"/>
      <c r="P11" s="34" t="s">
        <v>69</v>
      </c>
      <c r="Q11" s="34"/>
      <c r="R11" s="162" t="s">
        <v>70</v>
      </c>
    </row>
    <row r="12" spans="1:23" ht="30" customHeight="1" x14ac:dyDescent="0.25">
      <c r="A12" s="144"/>
      <c r="C12" s="35">
        <v>-1</v>
      </c>
      <c r="D12" s="34"/>
      <c r="E12" s="34"/>
      <c r="F12" s="35">
        <v>-2</v>
      </c>
      <c r="H12" s="35">
        <v>-3</v>
      </c>
      <c r="I12" s="34"/>
      <c r="J12" s="36">
        <v>-4</v>
      </c>
      <c r="K12" s="34"/>
      <c r="L12" s="36">
        <v>-5</v>
      </c>
      <c r="M12" s="34"/>
      <c r="N12" s="35">
        <v>-6</v>
      </c>
      <c r="O12" s="34"/>
      <c r="P12" s="35">
        <v>-7</v>
      </c>
      <c r="Q12" s="34"/>
      <c r="R12" s="153">
        <v>-8</v>
      </c>
    </row>
    <row r="13" spans="1:23" ht="30" customHeight="1" x14ac:dyDescent="0.25">
      <c r="A13" s="154" t="s">
        <v>71</v>
      </c>
      <c r="B13" s="28" t="s">
        <v>72</v>
      </c>
      <c r="C13" s="37">
        <f>ROUND('Q1 p.6 - ECC (Aug)'!E66,0)</f>
        <v>25968724</v>
      </c>
      <c r="D13" s="163" t="s">
        <v>73</v>
      </c>
      <c r="F13" s="46">
        <f>ROUND(C13/$C$16,4)</f>
        <v>5.1000000000000004E-3</v>
      </c>
      <c r="H13" s="179">
        <v>0</v>
      </c>
      <c r="J13" s="37">
        <v>-2186</v>
      </c>
      <c r="L13" s="37">
        <f>SUM(H13:K13)</f>
        <v>-2186</v>
      </c>
      <c r="N13" s="37">
        <f>+C13+L13</f>
        <v>25966538</v>
      </c>
      <c r="P13" s="233">
        <f>'Input Tab'!B12</f>
        <v>0.89080000000000004</v>
      </c>
      <c r="R13" s="164">
        <f>ROUND(+N13*P13,0)</f>
        <v>23130992</v>
      </c>
    </row>
    <row r="14" spans="1:23" ht="30" customHeight="1" x14ac:dyDescent="0.25">
      <c r="A14" s="154" t="s">
        <v>74</v>
      </c>
      <c r="B14" s="28" t="s">
        <v>75</v>
      </c>
      <c r="C14" s="38">
        <f>'Q1 p.6 - ECC (Aug)'!E50</f>
        <v>2341896643.0828571</v>
      </c>
      <c r="D14" s="163" t="s">
        <v>73</v>
      </c>
      <c r="F14" s="46">
        <f>ROUND(C14/$C$16,4)</f>
        <v>0.4602</v>
      </c>
      <c r="H14" s="180">
        <v>0</v>
      </c>
      <c r="J14" s="38">
        <v>-197294</v>
      </c>
      <c r="L14" s="38">
        <f>SUM(H14:K14)</f>
        <v>-197294</v>
      </c>
      <c r="N14" s="38">
        <f>+C14+L14</f>
        <v>2341699349.0828571</v>
      </c>
      <c r="P14" s="166">
        <f>+P13</f>
        <v>0.89080000000000004</v>
      </c>
      <c r="R14" s="167">
        <f>ROUND(+N14*P14,0)</f>
        <v>2085985780</v>
      </c>
    </row>
    <row r="15" spans="1:23" ht="30" customHeight="1" x14ac:dyDescent="0.25">
      <c r="A15" s="154" t="s">
        <v>76</v>
      </c>
      <c r="B15" s="28" t="s">
        <v>77</v>
      </c>
      <c r="C15" s="227">
        <v>2721455648</v>
      </c>
      <c r="F15" s="49">
        <f>ROUND(1-F13-F14,4)</f>
        <v>0.53469999999999995</v>
      </c>
      <c r="H15" s="165">
        <v>0</v>
      </c>
      <c r="J15" s="165">
        <v>-229234</v>
      </c>
      <c r="L15" s="165">
        <f>SUM(H15:K15)</f>
        <v>-229234</v>
      </c>
      <c r="N15" s="38">
        <f>+C15+L15</f>
        <v>2721226414</v>
      </c>
      <c r="P15" s="166">
        <f>+P13</f>
        <v>0.89080000000000004</v>
      </c>
      <c r="R15" s="167">
        <f>ROUND(+N15*P15,0)</f>
        <v>2424068490</v>
      </c>
    </row>
    <row r="16" spans="1:23" ht="31.5" customHeight="1" thickBot="1" x14ac:dyDescent="0.3">
      <c r="A16" s="154" t="s">
        <v>78</v>
      </c>
      <c r="B16" s="28" t="s">
        <v>79</v>
      </c>
      <c r="C16" s="39">
        <f>SUM(C13:C15)</f>
        <v>5089321015.0828571</v>
      </c>
      <c r="F16" s="40">
        <f>SUM(F13:F15)</f>
        <v>1</v>
      </c>
      <c r="H16" s="228">
        <f>'Input Tab'!B10</f>
        <v>0</v>
      </c>
      <c r="J16" s="229">
        <f>'Input Tab'!B11</f>
        <v>-428714</v>
      </c>
      <c r="L16" s="41">
        <f>SUM(L13:L15)</f>
        <v>-428714</v>
      </c>
      <c r="N16" s="41">
        <f>SUM(N13:N15)</f>
        <v>5088892301.0828571</v>
      </c>
      <c r="R16" s="168">
        <f>SUM(R13:R15)</f>
        <v>4533185262</v>
      </c>
      <c r="S16" s="27"/>
    </row>
    <row r="17" spans="1:28" ht="17.25" thickTop="1" thickBot="1" x14ac:dyDescent="0.3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60"/>
      <c r="T17" s="27"/>
    </row>
    <row r="18" spans="1:28" ht="16.5" thickBot="1" x14ac:dyDescent="0.3"/>
    <row r="19" spans="1:28" ht="16.5" thickBot="1" x14ac:dyDescent="0.3">
      <c r="A19" s="598" t="s">
        <v>107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600"/>
      <c r="S19" s="29"/>
      <c r="T19" s="30"/>
      <c r="U19" s="30"/>
      <c r="V19" s="30"/>
      <c r="W19" s="30"/>
      <c r="X19" s="31"/>
      <c r="Y19" s="31"/>
      <c r="Z19" s="31"/>
      <c r="AA19" s="31"/>
    </row>
    <row r="20" spans="1:28" x14ac:dyDescent="0.25">
      <c r="A20" s="173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6"/>
      <c r="S20" s="29"/>
      <c r="T20" s="30"/>
      <c r="U20" s="30"/>
      <c r="V20" s="30"/>
      <c r="W20" s="30"/>
      <c r="X20" s="31"/>
      <c r="Y20" s="31"/>
      <c r="Z20" s="31"/>
      <c r="AA20" s="31"/>
    </row>
    <row r="21" spans="1:28" ht="18" x14ac:dyDescent="0.4">
      <c r="A21" s="552"/>
      <c r="B21" s="38"/>
      <c r="C21" s="553"/>
      <c r="D21" s="553"/>
      <c r="E21" s="553"/>
      <c r="F21" s="553"/>
      <c r="G21" s="553"/>
      <c r="H21" s="554"/>
      <c r="I21" s="553"/>
      <c r="J21" s="554"/>
      <c r="K21" s="553"/>
      <c r="L21" s="554" t="s">
        <v>80</v>
      </c>
      <c r="M21" s="553"/>
      <c r="N21" s="553"/>
      <c r="O21" s="553"/>
      <c r="P21" s="38"/>
      <c r="Q21" s="38"/>
      <c r="R21" s="167"/>
      <c r="S21" s="27"/>
      <c r="X21" s="27"/>
      <c r="AB21" s="34"/>
    </row>
    <row r="22" spans="1:28" ht="18" x14ac:dyDescent="0.4">
      <c r="A22" s="552"/>
      <c r="B22" s="38"/>
      <c r="C22" s="553"/>
      <c r="D22" s="553"/>
      <c r="E22" s="553"/>
      <c r="F22" s="553"/>
      <c r="G22" s="553"/>
      <c r="H22" s="554"/>
      <c r="I22" s="553"/>
      <c r="J22" s="554"/>
      <c r="K22" s="553"/>
      <c r="L22" s="148" t="s">
        <v>54</v>
      </c>
      <c r="M22" s="553"/>
      <c r="N22" s="38"/>
      <c r="O22" s="38"/>
      <c r="P22" s="148"/>
      <c r="Q22" s="148"/>
      <c r="R22" s="555" t="s">
        <v>81</v>
      </c>
      <c r="X22" s="27"/>
      <c r="AB22" s="34"/>
    </row>
    <row r="23" spans="1:28" x14ac:dyDescent="0.25">
      <c r="A23" s="552"/>
      <c r="B23" s="38"/>
      <c r="C23" s="148" t="s">
        <v>54</v>
      </c>
      <c r="D23" s="38"/>
      <c r="E23" s="38"/>
      <c r="F23" s="38"/>
      <c r="G23" s="38"/>
      <c r="H23" s="554" t="s">
        <v>82</v>
      </c>
      <c r="I23" s="38"/>
      <c r="J23" s="148" t="s">
        <v>83</v>
      </c>
      <c r="K23" s="38"/>
      <c r="L23" s="148" t="s">
        <v>58</v>
      </c>
      <c r="M23" s="38"/>
      <c r="N23" s="148" t="s">
        <v>80</v>
      </c>
      <c r="O23" s="38"/>
      <c r="P23" s="148" t="s">
        <v>84</v>
      </c>
      <c r="Q23" s="148"/>
      <c r="R23" s="555" t="s">
        <v>85</v>
      </c>
      <c r="X23" s="27"/>
      <c r="AA23" s="34"/>
      <c r="AB23" s="34"/>
    </row>
    <row r="24" spans="1:28" ht="18" x14ac:dyDescent="0.4">
      <c r="A24" s="552"/>
      <c r="B24" s="38"/>
      <c r="C24" s="148" t="s">
        <v>58</v>
      </c>
      <c r="D24" s="553"/>
      <c r="E24" s="553"/>
      <c r="F24" s="148" t="s">
        <v>60</v>
      </c>
      <c r="G24" s="38"/>
      <c r="H24" s="148" t="s">
        <v>86</v>
      </c>
      <c r="I24" s="38"/>
      <c r="J24" s="148" t="s">
        <v>63</v>
      </c>
      <c r="K24" s="38"/>
      <c r="L24" s="148" t="s">
        <v>62</v>
      </c>
      <c r="M24" s="553"/>
      <c r="N24" s="148" t="s">
        <v>60</v>
      </c>
      <c r="O24" s="38"/>
      <c r="P24" s="148" t="s">
        <v>81</v>
      </c>
      <c r="Q24" s="148"/>
      <c r="R24" s="555" t="s">
        <v>87</v>
      </c>
      <c r="X24" s="42"/>
      <c r="AA24" s="34"/>
      <c r="AB24" s="43"/>
    </row>
    <row r="25" spans="1:28" x14ac:dyDescent="0.25">
      <c r="A25" s="556"/>
      <c r="B25" s="557"/>
      <c r="C25" s="148" t="s">
        <v>62</v>
      </c>
      <c r="D25" s="38"/>
      <c r="E25" s="38"/>
      <c r="F25" s="148" t="s">
        <v>64</v>
      </c>
      <c r="G25" s="38"/>
      <c r="H25" s="150" t="s">
        <v>88</v>
      </c>
      <c r="I25" s="38"/>
      <c r="J25" s="150" t="s">
        <v>89</v>
      </c>
      <c r="K25" s="38"/>
      <c r="L25" s="150" t="s">
        <v>90</v>
      </c>
      <c r="M25" s="38"/>
      <c r="N25" s="148" t="s">
        <v>64</v>
      </c>
      <c r="O25" s="38"/>
      <c r="P25" s="148" t="s">
        <v>91</v>
      </c>
      <c r="Q25" s="148"/>
      <c r="R25" s="162" t="s">
        <v>92</v>
      </c>
      <c r="X25" s="34"/>
      <c r="AA25" s="34"/>
      <c r="AB25" s="43"/>
    </row>
    <row r="26" spans="1:28" x14ac:dyDescent="0.25">
      <c r="A26" s="558"/>
      <c r="B26" s="557"/>
      <c r="C26" s="36">
        <v>-8</v>
      </c>
      <c r="D26" s="148"/>
      <c r="E26" s="148"/>
      <c r="F26" s="36">
        <v>-9</v>
      </c>
      <c r="G26" s="38"/>
      <c r="H26" s="36">
        <v>-10</v>
      </c>
      <c r="I26" s="38"/>
      <c r="J26" s="36">
        <v>-11</v>
      </c>
      <c r="K26" s="38"/>
      <c r="L26" s="36">
        <v>-12</v>
      </c>
      <c r="M26" s="148"/>
      <c r="N26" s="36">
        <v>-13</v>
      </c>
      <c r="O26" s="38"/>
      <c r="P26" s="36">
        <v>-14</v>
      </c>
      <c r="Q26" s="148"/>
      <c r="R26" s="559">
        <v>-15</v>
      </c>
      <c r="X26" s="34"/>
      <c r="AA26" s="34"/>
      <c r="AB26" s="34"/>
    </row>
    <row r="27" spans="1:28" ht="30" customHeight="1" x14ac:dyDescent="0.25">
      <c r="A27" s="560" t="s">
        <v>71</v>
      </c>
      <c r="B27" s="38" t="s">
        <v>72</v>
      </c>
      <c r="C27" s="37">
        <f>R13</f>
        <v>23130992</v>
      </c>
      <c r="D27" s="38"/>
      <c r="E27" s="38"/>
      <c r="F27" s="46">
        <f>ROUND(+C27/$C$30,4)</f>
        <v>5.1000000000000004E-3</v>
      </c>
      <c r="G27" s="38"/>
      <c r="H27" s="37">
        <f>ROUND(+F27*$H$30,0)</f>
        <v>-4895507</v>
      </c>
      <c r="I27" s="38"/>
      <c r="J27" s="37">
        <f>ROUND(+F27*$J$30,0)</f>
        <v>-27195</v>
      </c>
      <c r="K27" s="38"/>
      <c r="L27" s="45">
        <f>+C27+H27+J27</f>
        <v>18208290</v>
      </c>
      <c r="M27" s="148"/>
      <c r="N27" s="46">
        <f>ROUND(+L27/$L$30,4)</f>
        <v>5.1000000000000004E-3</v>
      </c>
      <c r="O27" s="561"/>
      <c r="P27" s="155">
        <v>1.23E-2</v>
      </c>
      <c r="Q27" s="561"/>
      <c r="R27" s="156">
        <f>ROUND(+$N$27*$P$27,4)</f>
        <v>1E-4</v>
      </c>
      <c r="X27" s="34"/>
      <c r="AA27" s="48"/>
      <c r="AB27" s="49"/>
    </row>
    <row r="28" spans="1:28" ht="30" customHeight="1" x14ac:dyDescent="0.25">
      <c r="A28" s="560" t="s">
        <v>74</v>
      </c>
      <c r="B28" s="38" t="s">
        <v>75</v>
      </c>
      <c r="C28" s="37">
        <f t="shared" ref="C28:C30" si="0">R14</f>
        <v>2085985780</v>
      </c>
      <c r="D28" s="38"/>
      <c r="E28" s="38"/>
      <c r="F28" s="46">
        <f>ROUND(+C28/$C$30,4)</f>
        <v>0.4602</v>
      </c>
      <c r="G28" s="38"/>
      <c r="H28" s="38">
        <f>ROUND(+F28*$H$30,0)</f>
        <v>-441747511</v>
      </c>
      <c r="I28" s="38"/>
      <c r="J28" s="38">
        <f>ROUND(+F28*$J$30,0)</f>
        <v>-2453946</v>
      </c>
      <c r="K28" s="38"/>
      <c r="L28" s="51">
        <f>+C28+H28+J28</f>
        <v>1641784323</v>
      </c>
      <c r="M28" s="148"/>
      <c r="N28" s="46">
        <f>ROUND(+L28/$L$30,4)</f>
        <v>0.46010000000000001</v>
      </c>
      <c r="O28" s="561"/>
      <c r="P28" s="155">
        <v>4.1099999999999998E-2</v>
      </c>
      <c r="Q28" s="561"/>
      <c r="R28" s="156">
        <f>ROUND(+$N$28*$P$28,4)</f>
        <v>1.89E-2</v>
      </c>
      <c r="U28" s="50"/>
      <c r="V28" s="50"/>
      <c r="W28" s="50"/>
      <c r="X28" s="50"/>
      <c r="Z28" s="50"/>
      <c r="AA28" s="48"/>
      <c r="AB28" s="49"/>
    </row>
    <row r="29" spans="1:28" ht="30" customHeight="1" x14ac:dyDescent="0.25">
      <c r="A29" s="560" t="s">
        <v>76</v>
      </c>
      <c r="B29" s="38" t="s">
        <v>77</v>
      </c>
      <c r="C29" s="371">
        <f t="shared" si="0"/>
        <v>2424068490</v>
      </c>
      <c r="D29" s="38"/>
      <c r="E29" s="38"/>
      <c r="F29" s="46">
        <f>ROUND(1-F27-F28,4)</f>
        <v>0.53469999999999995</v>
      </c>
      <c r="G29" s="38"/>
      <c r="H29" s="38">
        <f>+H30-H27-H28</f>
        <v>-513260308</v>
      </c>
      <c r="I29" s="38"/>
      <c r="J29" s="38">
        <f>+J30-J27-J28</f>
        <v>-2851205</v>
      </c>
      <c r="K29" s="38"/>
      <c r="L29" s="51">
        <f>+C29+H29+J29</f>
        <v>1907956977</v>
      </c>
      <c r="M29" s="38"/>
      <c r="N29" s="46">
        <f>ROUND(1-N27-N28,4)</f>
        <v>0.53480000000000005</v>
      </c>
      <c r="O29" s="561"/>
      <c r="P29" s="233">
        <v>9.7000000000000003E-2</v>
      </c>
      <c r="Q29" s="561"/>
      <c r="R29" s="156">
        <f>ROUND(+$N$29*$P$29,4)</f>
        <v>5.1900000000000002E-2</v>
      </c>
      <c r="AA29" s="52"/>
      <c r="AB29" s="49"/>
    </row>
    <row r="30" spans="1:28" ht="30" customHeight="1" thickBot="1" x14ac:dyDescent="0.3">
      <c r="A30" s="560" t="s">
        <v>78</v>
      </c>
      <c r="B30" s="38" t="s">
        <v>79</v>
      </c>
      <c r="C30" s="37">
        <f t="shared" si="0"/>
        <v>4533185262</v>
      </c>
      <c r="D30" s="38"/>
      <c r="E30" s="38"/>
      <c r="F30" s="53">
        <f>SUM(F27:F29)</f>
        <v>1</v>
      </c>
      <c r="G30" s="38"/>
      <c r="H30" s="41">
        <v>-959903326</v>
      </c>
      <c r="I30" s="38"/>
      <c r="J30" s="228">
        <v>-5332346</v>
      </c>
      <c r="K30" s="38"/>
      <c r="L30" s="41">
        <f>SUM(L27:L29)</f>
        <v>3567949590</v>
      </c>
      <c r="M30" s="38"/>
      <c r="N30" s="53">
        <f>SUM(N27:N29)</f>
        <v>1</v>
      </c>
      <c r="O30" s="38"/>
      <c r="P30" s="46"/>
      <c r="Q30" s="38"/>
      <c r="R30" s="157">
        <f>ROUND(SUM(R27:R29),4)</f>
        <v>7.0900000000000005E-2</v>
      </c>
      <c r="AB30" s="49"/>
    </row>
    <row r="31" spans="1:28" ht="35.1" customHeight="1" thickTop="1" thickBot="1" x14ac:dyDescent="0.3">
      <c r="A31" s="562" t="s">
        <v>93</v>
      </c>
      <c r="B31" s="563" t="s">
        <v>94</v>
      </c>
      <c r="C31" s="563"/>
      <c r="D31" s="563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563"/>
      <c r="P31" s="563"/>
      <c r="Q31" s="563"/>
      <c r="R31" s="207">
        <f>ROUND(R30+(R30-R28-R27)*(38.666%/(1-38.666%)),4)</f>
        <v>0.1036</v>
      </c>
    </row>
    <row r="32" spans="1:28" ht="16.5" thickBot="1" x14ac:dyDescent="0.3">
      <c r="A32" s="169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564"/>
      <c r="S32" s="30"/>
      <c r="T32" s="30"/>
      <c r="U32" s="30"/>
      <c r="V32" s="30"/>
      <c r="W32" s="30"/>
      <c r="X32" s="31"/>
      <c r="Y32" s="31"/>
      <c r="Z32" s="31"/>
      <c r="AA32" s="31"/>
    </row>
    <row r="33" spans="1:28" ht="18.75" thickBot="1" x14ac:dyDescent="0.45">
      <c r="A33" s="601" t="s">
        <v>108</v>
      </c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600"/>
      <c r="S33" s="32"/>
      <c r="T33" s="32"/>
      <c r="U33" s="32"/>
      <c r="V33" s="32"/>
      <c r="W33" s="32"/>
      <c r="X33" s="27"/>
    </row>
    <row r="34" spans="1:28" ht="18" x14ac:dyDescent="0.4">
      <c r="A34" s="552"/>
      <c r="B34" s="38"/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65"/>
      <c r="S34" s="32"/>
      <c r="T34" s="32"/>
      <c r="U34" s="32"/>
      <c r="V34" s="32"/>
      <c r="W34" s="32"/>
      <c r="X34" s="27"/>
    </row>
    <row r="35" spans="1:28" ht="18" x14ac:dyDescent="0.4">
      <c r="A35" s="552"/>
      <c r="B35" s="38"/>
      <c r="C35" s="553"/>
      <c r="D35" s="553"/>
      <c r="E35" s="553"/>
      <c r="F35" s="553"/>
      <c r="G35" s="553"/>
      <c r="H35" s="554"/>
      <c r="I35" s="553"/>
      <c r="J35" s="554"/>
      <c r="K35" s="553"/>
      <c r="L35" s="554" t="s">
        <v>80</v>
      </c>
      <c r="M35" s="553"/>
      <c r="N35" s="553"/>
      <c r="O35" s="553"/>
      <c r="P35" s="38"/>
      <c r="Q35" s="38"/>
      <c r="R35" s="167"/>
      <c r="S35" s="27"/>
      <c r="X35" s="27"/>
      <c r="AB35" s="34"/>
    </row>
    <row r="36" spans="1:28" ht="18" x14ac:dyDescent="0.4">
      <c r="A36" s="552"/>
      <c r="B36" s="38"/>
      <c r="C36" s="553"/>
      <c r="D36" s="553"/>
      <c r="E36" s="553"/>
      <c r="F36" s="553"/>
      <c r="G36" s="553"/>
      <c r="H36" s="554"/>
      <c r="I36" s="553"/>
      <c r="J36" s="554"/>
      <c r="K36" s="553"/>
      <c r="L36" s="148" t="s">
        <v>54</v>
      </c>
      <c r="M36" s="553"/>
      <c r="N36" s="38"/>
      <c r="O36" s="38"/>
      <c r="P36" s="148"/>
      <c r="Q36" s="148"/>
      <c r="R36" s="555" t="s">
        <v>81</v>
      </c>
      <c r="X36" s="27"/>
      <c r="AB36" s="34"/>
    </row>
    <row r="37" spans="1:28" x14ac:dyDescent="0.25">
      <c r="A37" s="552"/>
      <c r="B37" s="38"/>
      <c r="C37" s="148" t="s">
        <v>54</v>
      </c>
      <c r="D37" s="38"/>
      <c r="E37" s="38"/>
      <c r="F37" s="38"/>
      <c r="G37" s="38"/>
      <c r="H37" s="554" t="s">
        <v>82</v>
      </c>
      <c r="I37" s="38"/>
      <c r="J37" s="148" t="s">
        <v>83</v>
      </c>
      <c r="K37" s="38"/>
      <c r="L37" s="148" t="s">
        <v>58</v>
      </c>
      <c r="M37" s="38"/>
      <c r="N37" s="148" t="s">
        <v>80</v>
      </c>
      <c r="O37" s="38"/>
      <c r="P37" s="148" t="s">
        <v>84</v>
      </c>
      <c r="Q37" s="148"/>
      <c r="R37" s="555" t="s">
        <v>85</v>
      </c>
      <c r="X37" s="27"/>
      <c r="AA37" s="34"/>
      <c r="AB37" s="34"/>
    </row>
    <row r="38" spans="1:28" ht="18" x14ac:dyDescent="0.4">
      <c r="A38" s="552"/>
      <c r="B38" s="38"/>
      <c r="C38" s="148" t="s">
        <v>58</v>
      </c>
      <c r="D38" s="553"/>
      <c r="E38" s="553"/>
      <c r="F38" s="148" t="s">
        <v>60</v>
      </c>
      <c r="G38" s="38"/>
      <c r="H38" s="148" t="s">
        <v>86</v>
      </c>
      <c r="I38" s="38"/>
      <c r="J38" s="148" t="s">
        <v>63</v>
      </c>
      <c r="K38" s="38"/>
      <c r="L38" s="148" t="s">
        <v>62</v>
      </c>
      <c r="M38" s="553"/>
      <c r="N38" s="148" t="s">
        <v>60</v>
      </c>
      <c r="O38" s="38"/>
      <c r="P38" s="148" t="s">
        <v>81</v>
      </c>
      <c r="Q38" s="148"/>
      <c r="R38" s="555" t="s">
        <v>87</v>
      </c>
      <c r="X38" s="42"/>
      <c r="AA38" s="34"/>
      <c r="AB38" s="43"/>
    </row>
    <row r="39" spans="1:28" x14ac:dyDescent="0.25">
      <c r="A39" s="556"/>
      <c r="B39" s="557"/>
      <c r="C39" s="148" t="s">
        <v>62</v>
      </c>
      <c r="D39" s="38"/>
      <c r="E39" s="38"/>
      <c r="F39" s="148" t="s">
        <v>64</v>
      </c>
      <c r="G39" s="38"/>
      <c r="H39" s="150" t="s">
        <v>88</v>
      </c>
      <c r="I39" s="38"/>
      <c r="J39" s="150" t="s">
        <v>89</v>
      </c>
      <c r="K39" s="38"/>
      <c r="L39" s="150" t="s">
        <v>90</v>
      </c>
      <c r="M39" s="38"/>
      <c r="N39" s="148" t="s">
        <v>64</v>
      </c>
      <c r="O39" s="38"/>
      <c r="P39" s="148" t="s">
        <v>91</v>
      </c>
      <c r="Q39" s="148"/>
      <c r="R39" s="162" t="s">
        <v>92</v>
      </c>
      <c r="X39" s="34"/>
      <c r="AA39" s="34"/>
      <c r="AB39" s="43"/>
    </row>
    <row r="40" spans="1:28" x14ac:dyDescent="0.25">
      <c r="A40" s="558"/>
      <c r="B40" s="557"/>
      <c r="C40" s="148">
        <v>-8</v>
      </c>
      <c r="D40" s="148"/>
      <c r="E40" s="148"/>
      <c r="F40" s="148">
        <v>-9</v>
      </c>
      <c r="G40" s="38"/>
      <c r="H40" s="148">
        <v>-10</v>
      </c>
      <c r="I40" s="38"/>
      <c r="J40" s="148">
        <v>-11</v>
      </c>
      <c r="K40" s="38"/>
      <c r="L40" s="148">
        <v>-12</v>
      </c>
      <c r="M40" s="148"/>
      <c r="N40" s="148">
        <v>-13</v>
      </c>
      <c r="O40" s="38"/>
      <c r="P40" s="148">
        <v>-14</v>
      </c>
      <c r="Q40" s="148"/>
      <c r="R40" s="555">
        <v>-15</v>
      </c>
      <c r="X40" s="34"/>
      <c r="AA40" s="34"/>
      <c r="AB40" s="34"/>
    </row>
    <row r="41" spans="1:28" ht="30" customHeight="1" x14ac:dyDescent="0.25">
      <c r="A41" s="560" t="s">
        <v>71</v>
      </c>
      <c r="B41" s="38" t="s">
        <v>72</v>
      </c>
      <c r="C41" s="37">
        <f>+R13</f>
        <v>23130992</v>
      </c>
      <c r="D41" s="38"/>
      <c r="E41" s="38"/>
      <c r="F41" s="46">
        <f>ROUND(+C41/$C$44,4)</f>
        <v>5.1000000000000004E-3</v>
      </c>
      <c r="G41" s="38"/>
      <c r="H41" s="37">
        <f>ROUND(+F41*$H$44,0)</f>
        <v>-4895507</v>
      </c>
      <c r="I41" s="38"/>
      <c r="J41" s="37">
        <f>ROUND(+F41*$J$44,0)</f>
        <v>-27195</v>
      </c>
      <c r="K41" s="38"/>
      <c r="L41" s="45">
        <f>+C41+H41+J41</f>
        <v>18208290</v>
      </c>
      <c r="M41" s="148"/>
      <c r="N41" s="46">
        <f>ROUND(+L41/$L$44,4)</f>
        <v>5.1000000000000004E-3</v>
      </c>
      <c r="O41" s="561"/>
      <c r="P41" s="155">
        <f>P27</f>
        <v>1.23E-2</v>
      </c>
      <c r="Q41" s="561"/>
      <c r="R41" s="156">
        <f>ROUND(+$N$41*$P$41,4)</f>
        <v>1E-4</v>
      </c>
      <c r="X41" s="34"/>
      <c r="AA41" s="48"/>
      <c r="AB41" s="49"/>
    </row>
    <row r="42" spans="1:28" ht="30" customHeight="1" x14ac:dyDescent="0.25">
      <c r="A42" s="560" t="s">
        <v>74</v>
      </c>
      <c r="B42" s="38" t="s">
        <v>75</v>
      </c>
      <c r="C42" s="38">
        <f>+R14</f>
        <v>2085985780</v>
      </c>
      <c r="D42" s="38"/>
      <c r="E42" s="38"/>
      <c r="F42" s="46">
        <f>ROUND(+C42/$C$44,4)</f>
        <v>0.4602</v>
      </c>
      <c r="G42" s="38"/>
      <c r="H42" s="38">
        <f>ROUND(+F42*$H$44,0)</f>
        <v>-441747511</v>
      </c>
      <c r="I42" s="38"/>
      <c r="J42" s="38">
        <f>ROUND(+F42*$J$44,0)</f>
        <v>-2453946</v>
      </c>
      <c r="K42" s="38"/>
      <c r="L42" s="51">
        <f>+C42+H42+J42</f>
        <v>1641784323</v>
      </c>
      <c r="M42" s="148"/>
      <c r="N42" s="46">
        <f>ROUND(+L42/$L$44,4)</f>
        <v>0.46010000000000001</v>
      </c>
      <c r="O42" s="561"/>
      <c r="P42" s="155">
        <f t="shared" ref="P42:P43" si="1">P28</f>
        <v>4.1099999999999998E-2</v>
      </c>
      <c r="Q42" s="561"/>
      <c r="R42" s="156">
        <f>ROUND(+$N$42*$P$42,4)</f>
        <v>1.89E-2</v>
      </c>
      <c r="U42" s="50"/>
      <c r="V42" s="50"/>
      <c r="W42" s="50"/>
      <c r="X42" s="50"/>
      <c r="Z42" s="50"/>
      <c r="AA42" s="48"/>
      <c r="AB42" s="49"/>
    </row>
    <row r="43" spans="1:28" ht="30" customHeight="1" x14ac:dyDescent="0.25">
      <c r="A43" s="560" t="s">
        <v>76</v>
      </c>
      <c r="B43" s="38" t="s">
        <v>77</v>
      </c>
      <c r="C43" s="181">
        <f>+R15</f>
        <v>2424068490</v>
      </c>
      <c r="D43" s="38"/>
      <c r="E43" s="38"/>
      <c r="F43" s="182">
        <f>ROUND(1-F41-F42,4)</f>
        <v>0.53469999999999995</v>
      </c>
      <c r="G43" s="38"/>
      <c r="H43" s="181">
        <f>+H44-H41-H42</f>
        <v>-513260308</v>
      </c>
      <c r="I43" s="38"/>
      <c r="J43" s="181">
        <f>+J44-J41-J42</f>
        <v>-2851205</v>
      </c>
      <c r="K43" s="38"/>
      <c r="L43" s="183">
        <f>+C43+H43+J43</f>
        <v>1907956977</v>
      </c>
      <c r="M43" s="38"/>
      <c r="N43" s="182">
        <f>ROUND(1-N41-N42,4)</f>
        <v>0.53480000000000005</v>
      </c>
      <c r="O43" s="561"/>
      <c r="P43" s="155">
        <f t="shared" si="1"/>
        <v>9.7000000000000003E-2</v>
      </c>
      <c r="Q43" s="561"/>
      <c r="R43" s="184">
        <f>ROUND(+$N$43*$P$43,4)</f>
        <v>5.1900000000000002E-2</v>
      </c>
      <c r="AA43" s="52"/>
      <c r="AB43" s="49"/>
    </row>
    <row r="44" spans="1:28" ht="30" customHeight="1" thickBot="1" x14ac:dyDescent="0.3">
      <c r="A44" s="560" t="s">
        <v>78</v>
      </c>
      <c r="B44" s="38" t="s">
        <v>79</v>
      </c>
      <c r="C44" s="41">
        <f>SUM(C41:C43)</f>
        <v>4533185262</v>
      </c>
      <c r="D44" s="38"/>
      <c r="E44" s="38"/>
      <c r="F44" s="53">
        <f>SUM(F41:F43)</f>
        <v>1</v>
      </c>
      <c r="G44" s="38"/>
      <c r="H44" s="41">
        <f>H30</f>
        <v>-959903326</v>
      </c>
      <c r="I44" s="38"/>
      <c r="J44" s="41">
        <f>J30</f>
        <v>-5332346</v>
      </c>
      <c r="K44" s="38"/>
      <c r="L44" s="41">
        <f>SUM(L41:L43)</f>
        <v>3567949590</v>
      </c>
      <c r="M44" s="38"/>
      <c r="N44" s="53">
        <f>SUM(N41:N43)</f>
        <v>1</v>
      </c>
      <c r="O44" s="38"/>
      <c r="P44" s="46"/>
      <c r="Q44" s="38"/>
      <c r="R44" s="185">
        <f>ROUND(SUM(R41:R43),4)</f>
        <v>7.0900000000000005E-2</v>
      </c>
      <c r="AB44" s="49"/>
    </row>
    <row r="45" spans="1:28" ht="35.1" customHeight="1" thickTop="1" thickBot="1" x14ac:dyDescent="0.3">
      <c r="A45" s="562" t="s">
        <v>93</v>
      </c>
      <c r="B45" s="563" t="s">
        <v>94</v>
      </c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207">
        <f>ROUND(R44+(R44-R42-R41)*(38.666%/(1-38.666%)),4)</f>
        <v>0.1036</v>
      </c>
    </row>
    <row r="46" spans="1:28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28" x14ac:dyDescent="0.25">
      <c r="A47" s="38" t="s">
        <v>73</v>
      </c>
      <c r="B47" s="177" t="s">
        <v>95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50" spans="12:16" x14ac:dyDescent="0.25">
      <c r="L50" s="54"/>
      <c r="N50" s="55"/>
      <c r="P50" s="56"/>
    </row>
    <row r="51" spans="12:16" x14ac:dyDescent="0.25">
      <c r="L51" s="54"/>
      <c r="N51" s="55"/>
    </row>
  </sheetData>
  <mergeCells count="4">
    <mergeCell ref="A33:R33"/>
    <mergeCell ref="A4:R4"/>
    <mergeCell ref="A19:R19"/>
    <mergeCell ref="A5:R5"/>
  </mergeCells>
  <printOptions horizontalCentered="1" gridLinesSet="0"/>
  <pageMargins left="0.32" right="0.33" top="0.75" bottom="0.5" header="0.5" footer="0"/>
  <pageSetup scale="45" firstPageNumber="2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U81"/>
  <sheetViews>
    <sheetView zoomScale="90" zoomScaleNormal="90" workbookViewId="0">
      <selection activeCell="R1" sqref="R1"/>
    </sheetView>
  </sheetViews>
  <sheetFormatPr defaultColWidth="11.33203125" defaultRowHeight="15" x14ac:dyDescent="0.2"/>
  <cols>
    <col min="1" max="1" width="57.33203125" style="427" customWidth="1"/>
    <col min="2" max="2" width="18.5" style="428" customWidth="1"/>
    <col min="3" max="3" width="14.83203125" style="427" bestFit="1" customWidth="1"/>
    <col min="4" max="4" width="6.5" style="410" customWidth="1"/>
    <col min="5" max="5" width="26.1640625" style="427" customWidth="1"/>
    <col min="6" max="6" width="6.5" style="427" customWidth="1"/>
    <col min="7" max="7" width="21" style="427" customWidth="1"/>
    <col min="8" max="8" width="6.5" style="410" customWidth="1"/>
    <col min="9" max="9" width="19.6640625" style="427" customWidth="1"/>
    <col min="10" max="10" width="6.5" style="410" customWidth="1"/>
    <col min="11" max="11" width="5.83203125" style="427" customWidth="1"/>
    <col min="12" max="12" width="18.6640625" style="427" customWidth="1"/>
    <col min="13" max="13" width="6.5" style="410" customWidth="1"/>
    <col min="14" max="14" width="19.33203125" style="427" customWidth="1"/>
    <col min="15" max="15" width="6.6640625" style="427" bestFit="1" customWidth="1"/>
    <col min="16" max="16" width="20.33203125" style="427" bestFit="1" customWidth="1"/>
    <col min="17" max="17" width="1.1640625" style="427" customWidth="1"/>
    <col min="18" max="18" width="18" style="436" bestFit="1" customWidth="1"/>
    <col min="19" max="19" width="21.33203125" style="427" bestFit="1" customWidth="1"/>
    <col min="20" max="16384" width="11.33203125" style="427"/>
  </cols>
  <sheetData>
    <row r="1" spans="1:18" ht="15.75" x14ac:dyDescent="0.25">
      <c r="A1" s="64" t="str">
        <f>'Input Tab'!B2</f>
        <v>Kentucky Utilities Company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66" t="s">
        <v>278</v>
      </c>
    </row>
    <row r="2" spans="1:18" ht="15.75" x14ac:dyDescent="0.25">
      <c r="A2" s="69" t="s">
        <v>195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66" t="s">
        <v>267</v>
      </c>
    </row>
    <row r="3" spans="1:18" ht="15.75" x14ac:dyDescent="0.25">
      <c r="A3" s="366" t="s">
        <v>274</v>
      </c>
      <c r="B3" s="28"/>
      <c r="C3" s="28"/>
      <c r="D3" s="28"/>
      <c r="E3" s="28"/>
      <c r="F3" s="253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68" t="str">
        <f>'Q1 p.2 - Rate of Return Adj'!I3</f>
        <v>Rahn/Metts</v>
      </c>
    </row>
    <row r="4" spans="1:18" ht="15.75" x14ac:dyDescent="0.25">
      <c r="A4" s="294" t="s">
        <v>196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</row>
    <row r="5" spans="1:18" x14ac:dyDescent="0.2">
      <c r="B5" s="521"/>
    </row>
    <row r="6" spans="1:18" s="464" customFormat="1" ht="15.75" x14ac:dyDescent="0.25">
      <c r="A6" s="607"/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</row>
    <row r="7" spans="1:18" s="464" customFormat="1" ht="15.75" x14ac:dyDescent="0.25">
      <c r="A7" s="607"/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</row>
    <row r="8" spans="1:18" s="464" customFormat="1" ht="15.75" x14ac:dyDescent="0.25">
      <c r="A8" s="607"/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</row>
    <row r="9" spans="1:18" s="465" customFormat="1" ht="15.75" x14ac:dyDescent="0.25">
      <c r="A9" s="609"/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0"/>
      <c r="R9" s="610"/>
    </row>
    <row r="10" spans="1:18" s="464" customFormat="1" ht="15.75" x14ac:dyDescent="0.25">
      <c r="A10" s="602" t="s">
        <v>249</v>
      </c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2"/>
    </row>
    <row r="11" spans="1:18" ht="15.75" x14ac:dyDescent="0.25">
      <c r="A11" s="372"/>
      <c r="B11" s="373"/>
      <c r="C11" s="374"/>
      <c r="D11" s="379"/>
      <c r="E11" s="374"/>
      <c r="F11" s="374"/>
      <c r="G11" s="374"/>
      <c r="H11" s="379"/>
      <c r="I11" s="374"/>
      <c r="J11" s="379"/>
      <c r="K11" s="374"/>
      <c r="L11" s="374"/>
      <c r="M11" s="379"/>
      <c r="N11" s="374"/>
      <c r="O11" s="374"/>
      <c r="P11" s="374"/>
      <c r="Q11" s="374"/>
      <c r="R11" s="377"/>
    </row>
    <row r="12" spans="1:18" x14ac:dyDescent="0.2">
      <c r="A12" s="378"/>
      <c r="B12" s="373"/>
      <c r="C12" s="374"/>
      <c r="D12" s="379"/>
      <c r="E12" s="374"/>
      <c r="F12" s="374"/>
      <c r="G12" s="605" t="s">
        <v>109</v>
      </c>
      <c r="H12" s="605"/>
      <c r="I12" s="605"/>
      <c r="J12" s="605"/>
      <c r="K12" s="605"/>
      <c r="L12" s="605"/>
      <c r="M12" s="605"/>
      <c r="N12" s="605"/>
      <c r="O12" s="605"/>
      <c r="P12" s="605"/>
      <c r="Q12" s="373"/>
      <c r="R12" s="380"/>
    </row>
    <row r="13" spans="1:18" x14ac:dyDescent="0.2">
      <c r="A13" s="381"/>
      <c r="B13" s="373"/>
      <c r="C13" s="374"/>
      <c r="D13" s="379"/>
      <c r="E13" s="374"/>
      <c r="F13" s="374"/>
      <c r="G13" s="374"/>
      <c r="H13" s="379"/>
      <c r="I13" s="373" t="s">
        <v>110</v>
      </c>
      <c r="J13" s="379"/>
      <c r="K13" s="373"/>
      <c r="L13" s="373" t="s">
        <v>111</v>
      </c>
      <c r="M13" s="379"/>
      <c r="N13" s="373" t="s">
        <v>112</v>
      </c>
      <c r="O13" s="374"/>
      <c r="P13" s="373"/>
      <c r="Q13" s="373"/>
      <c r="R13" s="380" t="s">
        <v>113</v>
      </c>
    </row>
    <row r="14" spans="1:18" ht="30" x14ac:dyDescent="0.2">
      <c r="A14" s="381"/>
      <c r="B14" s="382" t="s">
        <v>114</v>
      </c>
      <c r="C14" s="382" t="s">
        <v>91</v>
      </c>
      <c r="D14" s="379"/>
      <c r="E14" s="382" t="s">
        <v>115</v>
      </c>
      <c r="F14" s="374"/>
      <c r="G14" s="383" t="s">
        <v>116</v>
      </c>
      <c r="H14" s="379"/>
      <c r="I14" s="384" t="s">
        <v>238</v>
      </c>
      <c r="J14" s="379"/>
      <c r="K14" s="373"/>
      <c r="L14" s="384" t="s">
        <v>117</v>
      </c>
      <c r="M14" s="385"/>
      <c r="N14" s="383" t="s">
        <v>118</v>
      </c>
      <c r="O14" s="374"/>
      <c r="P14" s="383" t="s">
        <v>119</v>
      </c>
      <c r="Q14" s="373"/>
      <c r="R14" s="386" t="s">
        <v>120</v>
      </c>
    </row>
    <row r="15" spans="1:18" ht="15.75" x14ac:dyDescent="0.25">
      <c r="A15" s="387" t="s">
        <v>121</v>
      </c>
      <c r="B15" s="388"/>
      <c r="C15" s="389"/>
      <c r="D15" s="379"/>
      <c r="E15" s="390"/>
      <c r="F15" s="379"/>
      <c r="G15" s="390"/>
      <c r="H15" s="379"/>
      <c r="I15" s="391"/>
      <c r="J15" s="392"/>
      <c r="K15" s="391"/>
      <c r="L15" s="390"/>
      <c r="M15" s="393"/>
      <c r="N15" s="390"/>
      <c r="O15" s="390"/>
      <c r="P15" s="390"/>
      <c r="Q15" s="374"/>
      <c r="R15" s="377"/>
    </row>
    <row r="16" spans="1:18" ht="17.25" customHeight="1" x14ac:dyDescent="0.2">
      <c r="A16" s="381" t="s">
        <v>122</v>
      </c>
      <c r="B16" s="388">
        <v>45047</v>
      </c>
      <c r="C16" s="394">
        <v>8.6800000000000002E-3</v>
      </c>
      <c r="D16" s="395" t="s">
        <v>123</v>
      </c>
      <c r="E16" s="396">
        <v>12900000</v>
      </c>
      <c r="F16" s="397"/>
      <c r="G16" s="396">
        <v>111972</v>
      </c>
      <c r="H16" s="379"/>
      <c r="I16" s="398">
        <v>10872.556521739143</v>
      </c>
      <c r="J16" s="399"/>
      <c r="K16" s="390"/>
      <c r="L16" s="396">
        <v>35867.359782608612</v>
      </c>
      <c r="M16" s="399"/>
      <c r="N16" s="396">
        <v>97783.76715</v>
      </c>
      <c r="O16" s="400" t="s">
        <v>124</v>
      </c>
      <c r="P16" s="396">
        <v>256495.68345434775</v>
      </c>
      <c r="Q16" s="374"/>
      <c r="R16" s="401">
        <v>1.9879999999999998E-2</v>
      </c>
    </row>
    <row r="17" spans="1:21" ht="17.25" customHeight="1" x14ac:dyDescent="0.2">
      <c r="A17" s="381" t="s">
        <v>125</v>
      </c>
      <c r="B17" s="388">
        <v>11720</v>
      </c>
      <c r="C17" s="402">
        <v>9.0799999999999995E-3</v>
      </c>
      <c r="D17" s="395" t="s">
        <v>123</v>
      </c>
      <c r="E17" s="398">
        <v>20930000</v>
      </c>
      <c r="F17" s="379"/>
      <c r="G17" s="398">
        <v>190044</v>
      </c>
      <c r="H17" s="379"/>
      <c r="I17" s="398">
        <v>3995.8771739130157</v>
      </c>
      <c r="J17" s="399"/>
      <c r="K17" s="374"/>
      <c r="L17" s="398">
        <v>36277.707065217277</v>
      </c>
      <c r="M17" s="399"/>
      <c r="N17" s="398">
        <v>20930</v>
      </c>
      <c r="O17" s="374" t="s">
        <v>124</v>
      </c>
      <c r="P17" s="398">
        <v>251247.58423913029</v>
      </c>
      <c r="Q17" s="374"/>
      <c r="R17" s="401">
        <v>1.2E-2</v>
      </c>
    </row>
    <row r="18" spans="1:21" ht="17.25" customHeight="1" x14ac:dyDescent="0.2">
      <c r="A18" s="381" t="s">
        <v>126</v>
      </c>
      <c r="B18" s="388">
        <v>11720</v>
      </c>
      <c r="C18" s="402">
        <v>9.11E-3</v>
      </c>
      <c r="D18" s="395" t="s">
        <v>123</v>
      </c>
      <c r="E18" s="398">
        <v>2400000</v>
      </c>
      <c r="F18" s="379"/>
      <c r="G18" s="398">
        <v>21864</v>
      </c>
      <c r="H18" s="379"/>
      <c r="I18" s="398">
        <v>2851.3641304347711</v>
      </c>
      <c r="J18" s="399"/>
      <c r="K18" s="374"/>
      <c r="L18" s="398">
        <v>4153.1048913043396</v>
      </c>
      <c r="M18" s="399"/>
      <c r="N18" s="398">
        <v>2400</v>
      </c>
      <c r="O18" s="374" t="s">
        <v>124</v>
      </c>
      <c r="P18" s="398">
        <v>31268.469021739111</v>
      </c>
      <c r="Q18" s="374"/>
      <c r="R18" s="401">
        <v>1.303E-2</v>
      </c>
    </row>
    <row r="19" spans="1:21" ht="17.25" customHeight="1" x14ac:dyDescent="0.2">
      <c r="A19" s="381" t="s">
        <v>127</v>
      </c>
      <c r="B19" s="388">
        <v>11720</v>
      </c>
      <c r="C19" s="402">
        <v>9.11E-3</v>
      </c>
      <c r="D19" s="395" t="s">
        <v>123</v>
      </c>
      <c r="E19" s="398">
        <v>2400000</v>
      </c>
      <c r="F19" s="379"/>
      <c r="G19" s="398">
        <v>21864</v>
      </c>
      <c r="H19" s="379"/>
      <c r="I19" s="398">
        <v>1144.9494565217253</v>
      </c>
      <c r="J19" s="399"/>
      <c r="K19" s="374"/>
      <c r="L19" s="398">
        <v>12896.481521739111</v>
      </c>
      <c r="M19" s="399"/>
      <c r="N19" s="398">
        <v>2400</v>
      </c>
      <c r="O19" s="374" t="s">
        <v>124</v>
      </c>
      <c r="P19" s="398">
        <v>38305.430978260832</v>
      </c>
      <c r="Q19" s="374"/>
      <c r="R19" s="401">
        <v>1.5959999999999998E-2</v>
      </c>
    </row>
    <row r="20" spans="1:21" ht="17.25" customHeight="1" x14ac:dyDescent="0.2">
      <c r="A20" s="381" t="s">
        <v>128</v>
      </c>
      <c r="B20" s="388">
        <v>11720</v>
      </c>
      <c r="C20" s="402">
        <v>8.94E-3</v>
      </c>
      <c r="D20" s="395" t="s">
        <v>123</v>
      </c>
      <c r="E20" s="398">
        <v>7400000</v>
      </c>
      <c r="F20" s="379"/>
      <c r="G20" s="398">
        <v>66156</v>
      </c>
      <c r="H20" s="379"/>
      <c r="I20" s="398">
        <v>3126.3440217391385</v>
      </c>
      <c r="J20" s="399"/>
      <c r="K20" s="374"/>
      <c r="L20" s="398">
        <v>12745.760326086975</v>
      </c>
      <c r="M20" s="399"/>
      <c r="N20" s="398">
        <v>7400</v>
      </c>
      <c r="O20" s="374" t="s">
        <v>124</v>
      </c>
      <c r="P20" s="398">
        <v>89428.104347826113</v>
      </c>
      <c r="Q20" s="374"/>
      <c r="R20" s="401">
        <v>1.208E-2</v>
      </c>
    </row>
    <row r="21" spans="1:21" ht="17.25" customHeight="1" x14ac:dyDescent="0.2">
      <c r="A21" s="381" t="s">
        <v>129</v>
      </c>
      <c r="B21" s="388">
        <v>49218</v>
      </c>
      <c r="C21" s="402">
        <v>8.6099999999999996E-3</v>
      </c>
      <c r="D21" s="395" t="s">
        <v>123</v>
      </c>
      <c r="E21" s="398">
        <v>50000000</v>
      </c>
      <c r="F21" s="379"/>
      <c r="G21" s="398">
        <v>430500</v>
      </c>
      <c r="H21" s="379"/>
      <c r="I21" s="398">
        <v>9692.4163043477838</v>
      </c>
      <c r="J21" s="399"/>
      <c r="K21" s="374"/>
      <c r="L21" s="398">
        <v>94880.044021739013</v>
      </c>
      <c r="M21" s="399"/>
      <c r="N21" s="398">
        <v>380609.58904999995</v>
      </c>
      <c r="O21" s="374" t="s">
        <v>124</v>
      </c>
      <c r="P21" s="398">
        <v>915682.0493760868</v>
      </c>
      <c r="Q21" s="374"/>
      <c r="R21" s="401">
        <v>1.831E-2</v>
      </c>
    </row>
    <row r="22" spans="1:21" ht="17.25" customHeight="1" x14ac:dyDescent="0.2">
      <c r="A22" s="381" t="s">
        <v>130</v>
      </c>
      <c r="B22" s="388">
        <v>49218</v>
      </c>
      <c r="C22" s="402">
        <v>8.6199999999999992E-3</v>
      </c>
      <c r="D22" s="395" t="s">
        <v>123</v>
      </c>
      <c r="E22" s="398">
        <v>54000000</v>
      </c>
      <c r="F22" s="379"/>
      <c r="G22" s="398">
        <v>465480</v>
      </c>
      <c r="H22" s="379"/>
      <c r="I22" s="398">
        <v>47742.912499999831</v>
      </c>
      <c r="J22" s="399"/>
      <c r="K22" s="374"/>
      <c r="L22" s="398">
        <v>13232.360869565327</v>
      </c>
      <c r="M22" s="399"/>
      <c r="N22" s="398">
        <v>411491.09591000003</v>
      </c>
      <c r="O22" s="374" t="s">
        <v>124</v>
      </c>
      <c r="P22" s="398">
        <v>937946.36927956517</v>
      </c>
      <c r="Q22" s="374"/>
      <c r="R22" s="401">
        <v>1.737E-2</v>
      </c>
    </row>
    <row r="23" spans="1:21" ht="17.25" customHeight="1" x14ac:dyDescent="0.2">
      <c r="A23" s="381" t="s">
        <v>131</v>
      </c>
      <c r="B23" s="388">
        <v>46054</v>
      </c>
      <c r="C23" s="402">
        <v>5.7500000000000002E-2</v>
      </c>
      <c r="D23" s="395"/>
      <c r="E23" s="398">
        <v>17875000</v>
      </c>
      <c r="F23" s="379"/>
      <c r="G23" s="398">
        <v>1027813</v>
      </c>
      <c r="H23" s="379"/>
      <c r="I23" s="398">
        <v>10929.885326086931</v>
      </c>
      <c r="J23" s="399"/>
      <c r="K23" s="374"/>
      <c r="L23" s="398">
        <v>22390.171195652129</v>
      </c>
      <c r="M23" s="379"/>
      <c r="N23" s="398">
        <v>0</v>
      </c>
      <c r="O23" s="374"/>
      <c r="P23" s="398">
        <v>1061133.0565217391</v>
      </c>
      <c r="Q23" s="374"/>
      <c r="R23" s="401">
        <v>5.9360000000000003E-2</v>
      </c>
    </row>
    <row r="24" spans="1:21" ht="17.25" customHeight="1" x14ac:dyDescent="0.2">
      <c r="A24" s="381" t="s">
        <v>132</v>
      </c>
      <c r="B24" s="388">
        <v>50100</v>
      </c>
      <c r="C24" s="402">
        <v>0.06</v>
      </c>
      <c r="D24" s="395"/>
      <c r="E24" s="398">
        <v>8927000</v>
      </c>
      <c r="F24" s="379"/>
      <c r="G24" s="398">
        <v>535620</v>
      </c>
      <c r="H24" s="379"/>
      <c r="I24" s="398">
        <v>5267.7831521739299</v>
      </c>
      <c r="J24" s="399"/>
      <c r="K24" s="390"/>
      <c r="L24" s="398">
        <v>10797.255434782608</v>
      </c>
      <c r="M24" s="379"/>
      <c r="N24" s="398">
        <v>0</v>
      </c>
      <c r="O24" s="374"/>
      <c r="P24" s="398">
        <v>551685.03858695657</v>
      </c>
      <c r="Q24" s="374"/>
      <c r="R24" s="401">
        <v>6.1800000000000001E-2</v>
      </c>
    </row>
    <row r="25" spans="1:21" ht="17.25" customHeight="1" x14ac:dyDescent="0.2">
      <c r="A25" s="381" t="s">
        <v>133</v>
      </c>
      <c r="B25" s="388">
        <v>11720</v>
      </c>
      <c r="C25" s="402">
        <v>8.5900000000000004E-3</v>
      </c>
      <c r="D25" s="395" t="s">
        <v>123</v>
      </c>
      <c r="E25" s="398">
        <v>77947405</v>
      </c>
      <c r="F25" s="379"/>
      <c r="G25" s="398">
        <v>669568</v>
      </c>
      <c r="H25" s="379"/>
      <c r="I25" s="398">
        <v>34336.700543478182</v>
      </c>
      <c r="J25" s="399"/>
      <c r="K25" s="374"/>
      <c r="L25" s="398">
        <v>91156.726630434743</v>
      </c>
      <c r="M25" s="399"/>
      <c r="N25" s="398">
        <v>593975.24271499994</v>
      </c>
      <c r="O25" s="374" t="s">
        <v>124</v>
      </c>
      <c r="P25" s="398">
        <v>1389036.6698889127</v>
      </c>
      <c r="Q25" s="374"/>
      <c r="R25" s="401">
        <v>1.7819999999999999E-2</v>
      </c>
    </row>
    <row r="26" spans="1:21" ht="17.25" customHeight="1" x14ac:dyDescent="0.2">
      <c r="A26" s="381" t="s">
        <v>134</v>
      </c>
      <c r="B26" s="388">
        <v>15585</v>
      </c>
      <c r="C26" s="402">
        <v>1.0500000000000001E-2</v>
      </c>
      <c r="D26" s="395"/>
      <c r="E26" s="398">
        <v>96000000</v>
      </c>
      <c r="F26" s="379"/>
      <c r="G26" s="398">
        <v>1008000</v>
      </c>
      <c r="H26" s="379"/>
      <c r="I26" s="398">
        <v>222010.17880434779</v>
      </c>
      <c r="J26" s="399"/>
      <c r="K26" s="374"/>
      <c r="L26" s="398">
        <v>190460.84836956605</v>
      </c>
      <c r="M26" s="399"/>
      <c r="N26" s="398"/>
      <c r="O26" s="374"/>
      <c r="P26" s="398">
        <v>1420471.0271739138</v>
      </c>
      <c r="Q26" s="374"/>
      <c r="R26" s="401">
        <v>1.4800000000000001E-2</v>
      </c>
    </row>
    <row r="27" spans="1:21" ht="17.25" customHeight="1" x14ac:dyDescent="0.2">
      <c r="A27" s="381" t="s">
        <v>135</v>
      </c>
      <c r="B27" s="388"/>
      <c r="C27" s="389"/>
      <c r="D27" s="379"/>
      <c r="E27" s="398">
        <v>0</v>
      </c>
      <c r="F27" s="379"/>
      <c r="G27" s="398">
        <v>0</v>
      </c>
      <c r="H27" s="379"/>
      <c r="I27" s="398">
        <v>0</v>
      </c>
      <c r="J27" s="399"/>
      <c r="K27" s="374"/>
      <c r="L27" s="398">
        <v>5821.313586956554</v>
      </c>
      <c r="M27" s="379"/>
      <c r="N27" s="398"/>
      <c r="O27" s="374"/>
      <c r="P27" s="398">
        <v>5821.313586956554</v>
      </c>
      <c r="Q27" s="374"/>
      <c r="R27" s="401"/>
    </row>
    <row r="28" spans="1:21" ht="17.25" customHeight="1" thickBot="1" x14ac:dyDescent="0.25">
      <c r="A28" s="381"/>
      <c r="B28" s="388"/>
      <c r="C28" s="389"/>
      <c r="D28" s="379"/>
      <c r="E28" s="398"/>
      <c r="F28" s="379"/>
      <c r="G28" s="398"/>
      <c r="H28" s="379"/>
      <c r="I28" s="398"/>
      <c r="J28" s="379"/>
      <c r="K28" s="374"/>
      <c r="L28" s="398"/>
      <c r="M28" s="379"/>
      <c r="N28" s="398"/>
      <c r="O28" s="374"/>
      <c r="P28" s="398"/>
      <c r="Q28" s="374"/>
      <c r="R28" s="401"/>
    </row>
    <row r="29" spans="1:21" ht="16.5" thickBot="1" x14ac:dyDescent="0.3">
      <c r="A29" s="387" t="s">
        <v>136</v>
      </c>
      <c r="B29" s="403"/>
      <c r="C29" s="404"/>
      <c r="D29" s="379"/>
      <c r="E29" s="405">
        <v>350779405</v>
      </c>
      <c r="F29" s="406"/>
      <c r="G29" s="405">
        <v>4548881</v>
      </c>
      <c r="H29" s="406"/>
      <c r="I29" s="405">
        <v>351970.96793478227</v>
      </c>
      <c r="J29" s="406"/>
      <c r="K29" s="396"/>
      <c r="L29" s="405">
        <v>530679.13369565282</v>
      </c>
      <c r="M29" s="407"/>
      <c r="N29" s="405">
        <v>1516989.6948249999</v>
      </c>
      <c r="O29" s="396"/>
      <c r="P29" s="405">
        <v>6948520.7964554355</v>
      </c>
      <c r="Q29" s="374"/>
      <c r="R29" s="408">
        <v>1.9810000000000001E-2</v>
      </c>
      <c r="U29" s="466"/>
    </row>
    <row r="30" spans="1:21" ht="30" customHeight="1" x14ac:dyDescent="0.25">
      <c r="A30" s="387" t="s">
        <v>137</v>
      </c>
      <c r="B30" s="388"/>
      <c r="C30" s="389"/>
      <c r="D30" s="379"/>
      <c r="E30" s="398"/>
      <c r="F30" s="379"/>
      <c r="G30" s="398"/>
      <c r="H30" s="379"/>
      <c r="I30" s="398"/>
      <c r="J30" s="392"/>
      <c r="K30" s="391"/>
      <c r="L30" s="398"/>
      <c r="M30" s="409"/>
      <c r="N30" s="398"/>
      <c r="O30" s="374"/>
      <c r="P30" s="398"/>
      <c r="Q30" s="374"/>
      <c r="R30" s="401"/>
    </row>
    <row r="31" spans="1:21" ht="17.25" customHeight="1" x14ac:dyDescent="0.2">
      <c r="A31" s="381" t="s">
        <v>138</v>
      </c>
      <c r="B31" s="388">
        <v>44136</v>
      </c>
      <c r="C31" s="402">
        <v>3.2500000000000001E-2</v>
      </c>
      <c r="D31" s="379"/>
      <c r="E31" s="398">
        <v>500000000</v>
      </c>
      <c r="F31" s="410"/>
      <c r="G31" s="398">
        <v>16250000</v>
      </c>
      <c r="H31" s="379"/>
      <c r="I31" s="398">
        <v>419930.43695652159</v>
      </c>
      <c r="J31" s="392" t="s">
        <v>139</v>
      </c>
      <c r="K31" s="391"/>
      <c r="L31" s="398"/>
      <c r="M31" s="409"/>
      <c r="N31" s="398"/>
      <c r="O31" s="374"/>
      <c r="P31" s="398">
        <v>16669930.436956521</v>
      </c>
      <c r="Q31" s="374"/>
      <c r="R31" s="401">
        <v>3.3340000000000002E-2</v>
      </c>
    </row>
    <row r="32" spans="1:21" ht="17.25" customHeight="1" x14ac:dyDescent="0.2">
      <c r="A32" s="381" t="s">
        <v>140</v>
      </c>
      <c r="B32" s="388">
        <v>44136</v>
      </c>
      <c r="C32" s="402">
        <v>3.2500000000000001E-2</v>
      </c>
      <c r="D32" s="379"/>
      <c r="E32" s="398">
        <v>-672773.505</v>
      </c>
      <c r="F32" s="410"/>
      <c r="G32" s="398"/>
      <c r="H32" s="379"/>
      <c r="I32" s="398">
        <v>189623.41141304345</v>
      </c>
      <c r="J32" s="392" t="s">
        <v>139</v>
      </c>
      <c r="K32" s="391"/>
      <c r="L32" s="398"/>
      <c r="M32" s="409"/>
      <c r="N32" s="398"/>
      <c r="O32" s="374"/>
      <c r="P32" s="398">
        <v>189623.41141304345</v>
      </c>
      <c r="Q32" s="374"/>
      <c r="R32" s="401">
        <v>-0.28184999999999999</v>
      </c>
    </row>
    <row r="33" spans="1:21" ht="17.25" customHeight="1" x14ac:dyDescent="0.2">
      <c r="A33" s="381" t="s">
        <v>141</v>
      </c>
      <c r="B33" s="388">
        <v>51441</v>
      </c>
      <c r="C33" s="402">
        <v>5.1249999999999997E-2</v>
      </c>
      <c r="D33" s="379"/>
      <c r="E33" s="398">
        <v>750000000</v>
      </c>
      <c r="F33" s="410"/>
      <c r="G33" s="398">
        <v>38437500</v>
      </c>
      <c r="H33" s="379"/>
      <c r="I33" s="398">
        <v>249786.55978260652</v>
      </c>
      <c r="J33" s="392" t="s">
        <v>139</v>
      </c>
      <c r="K33" s="391"/>
      <c r="L33" s="398"/>
      <c r="M33" s="409"/>
      <c r="N33" s="398"/>
      <c r="O33" s="374"/>
      <c r="P33" s="398">
        <v>38687286.559782609</v>
      </c>
      <c r="Q33" s="374"/>
      <c r="R33" s="401">
        <v>5.1580000000000001E-2</v>
      </c>
    </row>
    <row r="34" spans="1:21" ht="17.25" customHeight="1" x14ac:dyDescent="0.2">
      <c r="A34" s="381" t="s">
        <v>140</v>
      </c>
      <c r="B34" s="388">
        <v>51441</v>
      </c>
      <c r="C34" s="402">
        <v>5.1249999999999997E-2</v>
      </c>
      <c r="D34" s="379"/>
      <c r="E34" s="398">
        <v>-6395184.1349999998</v>
      </c>
      <c r="F34" s="410"/>
      <c r="G34" s="398"/>
      <c r="H34" s="379"/>
      <c r="I34" s="398">
        <v>271423.48206521681</v>
      </c>
      <c r="J34" s="392" t="s">
        <v>139</v>
      </c>
      <c r="K34" s="391"/>
      <c r="L34" s="398"/>
      <c r="M34" s="409"/>
      <c r="N34" s="398"/>
      <c r="O34" s="374"/>
      <c r="P34" s="398">
        <v>271423.48206521681</v>
      </c>
      <c r="Q34" s="374"/>
      <c r="R34" s="401">
        <v>-4.2439999999999999E-2</v>
      </c>
    </row>
    <row r="35" spans="1:21" ht="17.25" customHeight="1" x14ac:dyDescent="0.2">
      <c r="A35" s="381" t="s">
        <v>142</v>
      </c>
      <c r="B35" s="388">
        <v>52550</v>
      </c>
      <c r="C35" s="402">
        <v>4.65E-2</v>
      </c>
      <c r="D35" s="379"/>
      <c r="E35" s="398">
        <v>250000000</v>
      </c>
      <c r="G35" s="398">
        <v>11625000</v>
      </c>
      <c r="H35" s="379"/>
      <c r="I35" s="398">
        <v>92245.25978261001</v>
      </c>
      <c r="J35" s="392" t="s">
        <v>139</v>
      </c>
      <c r="K35" s="391"/>
      <c r="L35" s="398"/>
      <c r="M35" s="409"/>
      <c r="N35" s="398"/>
      <c r="O35" s="374"/>
      <c r="P35" s="398">
        <v>11717245.25978261</v>
      </c>
      <c r="Q35" s="374"/>
      <c r="R35" s="401">
        <v>4.6870000000000002E-2</v>
      </c>
    </row>
    <row r="36" spans="1:21" ht="17.25" customHeight="1" x14ac:dyDescent="0.2">
      <c r="A36" s="381" t="s">
        <v>140</v>
      </c>
      <c r="B36" s="388">
        <v>52550</v>
      </c>
      <c r="C36" s="402">
        <v>4.65E-2</v>
      </c>
      <c r="D36" s="379"/>
      <c r="E36" s="398">
        <v>-1594834.8250000002</v>
      </c>
      <c r="F36" s="379"/>
      <c r="G36" s="398"/>
      <c r="H36" s="379"/>
      <c r="I36" s="398">
        <v>59956.209239130432</v>
      </c>
      <c r="J36" s="392" t="s">
        <v>139</v>
      </c>
      <c r="K36" s="391"/>
      <c r="L36" s="398"/>
      <c r="M36" s="409"/>
      <c r="N36" s="398"/>
      <c r="O36" s="374"/>
      <c r="P36" s="398">
        <v>59956.209239130432</v>
      </c>
      <c r="Q36" s="374"/>
      <c r="R36" s="401">
        <v>-3.7589999999999998E-2</v>
      </c>
    </row>
    <row r="37" spans="1:21" ht="17.25" customHeight="1" x14ac:dyDescent="0.2">
      <c r="A37" s="381" t="s">
        <v>143</v>
      </c>
      <c r="B37" s="388">
        <v>52550</v>
      </c>
      <c r="C37" s="402"/>
      <c r="D37" s="379"/>
      <c r="E37" s="398"/>
      <c r="F37" s="399"/>
      <c r="G37" s="398">
        <v>-1433703.932065218</v>
      </c>
      <c r="H37" s="379"/>
      <c r="I37" s="398"/>
      <c r="J37" s="392"/>
      <c r="K37" s="391"/>
      <c r="L37" s="398"/>
      <c r="M37" s="409"/>
      <c r="N37" s="398"/>
      <c r="O37" s="374"/>
      <c r="P37" s="398">
        <v>-1433703.932065218</v>
      </c>
      <c r="Q37" s="374"/>
      <c r="R37" s="401">
        <v>-3.3320000000000002E-2</v>
      </c>
    </row>
    <row r="38" spans="1:21" ht="17.25" customHeight="1" x14ac:dyDescent="0.2">
      <c r="A38" s="381" t="s">
        <v>144</v>
      </c>
      <c r="B38" s="388">
        <v>45931</v>
      </c>
      <c r="C38" s="402">
        <v>3.3000000000000002E-2</v>
      </c>
      <c r="D38" s="379"/>
      <c r="E38" s="398">
        <v>250000000</v>
      </c>
      <c r="F38" s="399"/>
      <c r="G38" s="398">
        <v>8250000</v>
      </c>
      <c r="H38" s="379"/>
      <c r="I38" s="398">
        <v>201424.97228260917</v>
      </c>
      <c r="J38" s="392" t="s">
        <v>139</v>
      </c>
      <c r="K38" s="391"/>
      <c r="L38" s="398"/>
      <c r="M38" s="409"/>
      <c r="N38" s="398"/>
      <c r="O38" s="374"/>
      <c r="P38" s="398">
        <v>8451424.972282609</v>
      </c>
      <c r="Q38" s="374"/>
      <c r="R38" s="401">
        <v>3.381E-2</v>
      </c>
    </row>
    <row r="39" spans="1:21" ht="17.25" customHeight="1" x14ac:dyDescent="0.2">
      <c r="A39" s="381" t="s">
        <v>140</v>
      </c>
      <c r="B39" s="388">
        <v>45931</v>
      </c>
      <c r="C39" s="402">
        <v>3.3000000000000002E-2</v>
      </c>
      <c r="D39" s="379"/>
      <c r="E39" s="398">
        <v>-90857.494999999995</v>
      </c>
      <c r="F39" s="399"/>
      <c r="G39" s="398"/>
      <c r="H39" s="379"/>
      <c r="I39" s="398">
        <v>10732.388586956555</v>
      </c>
      <c r="J39" s="392" t="s">
        <v>139</v>
      </c>
      <c r="K39" s="391"/>
      <c r="L39" s="398"/>
      <c r="M39" s="409"/>
      <c r="N39" s="398"/>
      <c r="O39" s="374"/>
      <c r="P39" s="398">
        <v>10732.388586956555</v>
      </c>
      <c r="Q39" s="374"/>
      <c r="R39" s="401">
        <v>-0.11812</v>
      </c>
    </row>
    <row r="40" spans="1:21" ht="17.25" customHeight="1" x14ac:dyDescent="0.2">
      <c r="A40" s="381" t="s">
        <v>145</v>
      </c>
      <c r="B40" s="388">
        <v>45931</v>
      </c>
      <c r="C40" s="402"/>
      <c r="D40" s="379"/>
      <c r="E40" s="398"/>
      <c r="F40" s="399"/>
      <c r="G40" s="398">
        <v>1405379.69402174</v>
      </c>
      <c r="H40" s="379"/>
      <c r="I40" s="398"/>
      <c r="J40" s="392"/>
      <c r="K40" s="391"/>
      <c r="L40" s="398"/>
      <c r="M40" s="409"/>
      <c r="N40" s="398"/>
      <c r="O40" s="374"/>
      <c r="P40" s="398">
        <v>1405379.69402174</v>
      </c>
      <c r="Q40" s="374"/>
      <c r="R40" s="401">
        <v>9.9839999999999998E-2</v>
      </c>
    </row>
    <row r="41" spans="1:21" ht="17.25" customHeight="1" x14ac:dyDescent="0.2">
      <c r="A41" s="381" t="s">
        <v>146</v>
      </c>
      <c r="B41" s="388">
        <v>53236</v>
      </c>
      <c r="C41" s="402">
        <v>4.3749999999999997E-2</v>
      </c>
      <c r="D41" s="379"/>
      <c r="E41" s="398">
        <v>250000000</v>
      </c>
      <c r="F41" s="399"/>
      <c r="G41" s="398">
        <v>10937500</v>
      </c>
      <c r="H41" s="379"/>
      <c r="I41" s="398">
        <v>85849.150543478041</v>
      </c>
      <c r="J41" s="392" t="s">
        <v>139</v>
      </c>
      <c r="K41" s="391"/>
      <c r="L41" s="398"/>
      <c r="M41" s="409"/>
      <c r="N41" s="398"/>
      <c r="O41" s="374"/>
      <c r="P41" s="398">
        <v>11023349.150543477</v>
      </c>
      <c r="Q41" s="374"/>
      <c r="R41" s="401">
        <v>4.4089999999999997E-2</v>
      </c>
    </row>
    <row r="42" spans="1:21" ht="17.25" customHeight="1" x14ac:dyDescent="0.2">
      <c r="A42" s="381" t="s">
        <v>140</v>
      </c>
      <c r="B42" s="388">
        <v>53236</v>
      </c>
      <c r="C42" s="402">
        <v>4.3749999999999997E-2</v>
      </c>
      <c r="D42" s="379"/>
      <c r="E42" s="398">
        <v>-196785.1925</v>
      </c>
      <c r="F42" s="399"/>
      <c r="G42" s="398"/>
      <c r="H42" s="379"/>
      <c r="I42" s="398">
        <v>6909.7277173913244</v>
      </c>
      <c r="J42" s="392" t="s">
        <v>139</v>
      </c>
      <c r="K42" s="391"/>
      <c r="L42" s="398"/>
      <c r="M42" s="409"/>
      <c r="N42" s="398"/>
      <c r="O42" s="374"/>
      <c r="P42" s="398">
        <v>6909.7277173913244</v>
      </c>
      <c r="Q42" s="374"/>
      <c r="R42" s="401">
        <v>-3.5110000000000002E-2</v>
      </c>
    </row>
    <row r="43" spans="1:21" ht="17.25" customHeight="1" x14ac:dyDescent="0.2">
      <c r="A43" s="381" t="s">
        <v>145</v>
      </c>
      <c r="B43" s="388">
        <v>53236</v>
      </c>
      <c r="C43" s="389"/>
      <c r="D43" s="379"/>
      <c r="E43" s="398"/>
      <c r="F43" s="399"/>
      <c r="G43" s="398">
        <v>986056.18858695729</v>
      </c>
      <c r="H43" s="379"/>
      <c r="I43" s="398"/>
      <c r="J43" s="392"/>
      <c r="K43" s="391"/>
      <c r="L43" s="398"/>
      <c r="M43" s="409"/>
      <c r="N43" s="398"/>
      <c r="O43" s="374"/>
      <c r="P43" s="398">
        <v>986056.18858695729</v>
      </c>
      <c r="Q43" s="374"/>
      <c r="R43" s="401">
        <v>3.3300000000000003E-2</v>
      </c>
    </row>
    <row r="44" spans="1:21" ht="17.25" customHeight="1" x14ac:dyDescent="0.2">
      <c r="A44" s="381"/>
      <c r="B44" s="388"/>
      <c r="C44" s="402"/>
      <c r="D44" s="379"/>
      <c r="E44" s="398"/>
      <c r="F44" s="379"/>
      <c r="G44" s="398"/>
      <c r="H44" s="379"/>
      <c r="I44" s="398"/>
      <c r="J44" s="392"/>
      <c r="K44" s="391"/>
      <c r="L44" s="398"/>
      <c r="M44" s="409"/>
      <c r="N44" s="398"/>
      <c r="O44" s="374"/>
      <c r="P44" s="398"/>
      <c r="Q44" s="374"/>
      <c r="R44" s="401"/>
    </row>
    <row r="45" spans="1:21" ht="17.25" customHeight="1" x14ac:dyDescent="0.2">
      <c r="A45" s="381" t="s">
        <v>147</v>
      </c>
      <c r="B45" s="388">
        <v>44196</v>
      </c>
      <c r="C45" s="412"/>
      <c r="D45" s="379"/>
      <c r="E45" s="398"/>
      <c r="F45" s="379"/>
      <c r="G45" s="398"/>
      <c r="H45" s="379"/>
      <c r="I45" s="413">
        <v>454678.67500000045</v>
      </c>
      <c r="J45" s="399"/>
      <c r="K45" s="379">
        <v>1</v>
      </c>
      <c r="L45" s="398">
        <v>0</v>
      </c>
      <c r="M45" s="399"/>
      <c r="N45" s="398">
        <v>405555.55555555556</v>
      </c>
      <c r="O45" s="374" t="s">
        <v>148</v>
      </c>
      <c r="P45" s="398">
        <v>860234.23055555602</v>
      </c>
      <c r="Q45" s="374"/>
      <c r="R45" s="401">
        <v>2.9049999999999999E-2</v>
      </c>
    </row>
    <row r="46" spans="1:21" ht="17.25" customHeight="1" x14ac:dyDescent="0.2">
      <c r="A46" s="414" t="s">
        <v>149</v>
      </c>
      <c r="B46" s="415">
        <v>43009</v>
      </c>
      <c r="C46" s="412"/>
      <c r="D46" s="379"/>
      <c r="E46" s="398"/>
      <c r="F46" s="379"/>
      <c r="G46" s="398"/>
      <c r="H46" s="379"/>
      <c r="I46" s="413">
        <v>221205.55217391322</v>
      </c>
      <c r="J46" s="399"/>
      <c r="K46" s="373"/>
      <c r="L46" s="398">
        <v>103933.03586956522</v>
      </c>
      <c r="M46" s="379"/>
      <c r="N46" s="398"/>
      <c r="O46" s="374"/>
      <c r="P46" s="398">
        <v>325138.58804347843</v>
      </c>
      <c r="Q46" s="374"/>
      <c r="R46" s="401">
        <v>1.098E-2</v>
      </c>
    </row>
    <row r="47" spans="1:21" ht="17.25" customHeight="1" thickBot="1" x14ac:dyDescent="0.25">
      <c r="A47" s="381"/>
      <c r="B47" s="388"/>
      <c r="C47" s="402"/>
      <c r="D47" s="379"/>
      <c r="E47" s="398"/>
      <c r="F47" s="379"/>
      <c r="G47" s="398"/>
      <c r="H47" s="379"/>
      <c r="I47" s="398"/>
      <c r="J47" s="392"/>
      <c r="K47" s="391"/>
      <c r="L47" s="398"/>
      <c r="M47" s="409"/>
      <c r="N47" s="398"/>
      <c r="O47" s="374"/>
      <c r="P47" s="398"/>
      <c r="Q47" s="374"/>
      <c r="R47" s="401"/>
    </row>
    <row r="48" spans="1:21" ht="16.5" thickBot="1" x14ac:dyDescent="0.3">
      <c r="A48" s="387" t="s">
        <v>150</v>
      </c>
      <c r="B48" s="403"/>
      <c r="C48" s="404"/>
      <c r="D48" s="379"/>
      <c r="E48" s="405">
        <v>1991049564.8474998</v>
      </c>
      <c r="F48" s="406"/>
      <c r="G48" s="405">
        <v>86457731.950543478</v>
      </c>
      <c r="H48" s="406"/>
      <c r="I48" s="405">
        <v>2263765.8255434777</v>
      </c>
      <c r="J48" s="406"/>
      <c r="K48" s="396"/>
      <c r="L48" s="405">
        <v>103933.03586956522</v>
      </c>
      <c r="M48" s="407"/>
      <c r="N48" s="405">
        <v>405555.55555555556</v>
      </c>
      <c r="O48" s="396"/>
      <c r="P48" s="405">
        <v>89230986.367512062</v>
      </c>
      <c r="Q48" s="374"/>
      <c r="R48" s="408">
        <v>4.4819999999999999E-2</v>
      </c>
      <c r="U48" s="466"/>
    </row>
    <row r="49" spans="1:20" x14ac:dyDescent="0.2">
      <c r="A49" s="381"/>
      <c r="B49" s="403"/>
      <c r="C49" s="404"/>
      <c r="D49" s="379"/>
      <c r="E49" s="391"/>
      <c r="F49" s="392"/>
      <c r="G49" s="391"/>
      <c r="H49" s="379"/>
      <c r="I49" s="391"/>
      <c r="J49" s="392"/>
      <c r="K49" s="391"/>
      <c r="L49" s="390"/>
      <c r="M49" s="393"/>
      <c r="N49" s="390"/>
      <c r="O49" s="374"/>
      <c r="P49" s="390"/>
      <c r="Q49" s="374"/>
      <c r="R49" s="401"/>
      <c r="S49" s="467"/>
      <c r="T49" s="468"/>
    </row>
    <row r="50" spans="1:20" x14ac:dyDescent="0.2">
      <c r="A50" s="381" t="s">
        <v>151</v>
      </c>
      <c r="B50" s="388"/>
      <c r="C50" s="402"/>
      <c r="D50" s="379"/>
      <c r="E50" s="396">
        <v>0</v>
      </c>
      <c r="F50" s="406"/>
      <c r="G50" s="396">
        <v>0</v>
      </c>
      <c r="H50" s="406"/>
      <c r="I50" s="396">
        <v>0</v>
      </c>
      <c r="J50" s="406"/>
      <c r="K50" s="396"/>
      <c r="L50" s="396">
        <v>0</v>
      </c>
      <c r="M50" s="406"/>
      <c r="N50" s="396">
        <v>0</v>
      </c>
      <c r="O50" s="396"/>
      <c r="P50" s="396">
        <v>0</v>
      </c>
      <c r="Q50" s="374"/>
      <c r="R50" s="401"/>
    </row>
    <row r="51" spans="1:20" ht="15.75" thickBot="1" x14ac:dyDescent="0.25">
      <c r="A51" s="381"/>
      <c r="B51" s="388"/>
      <c r="C51" s="402"/>
      <c r="D51" s="379"/>
      <c r="E51" s="398"/>
      <c r="F51" s="379"/>
      <c r="G51" s="390"/>
      <c r="H51" s="379"/>
      <c r="I51" s="398">
        <v>0</v>
      </c>
      <c r="J51" s="416"/>
      <c r="K51" s="417"/>
      <c r="L51" s="398">
        <v>0</v>
      </c>
      <c r="M51" s="409"/>
      <c r="N51" s="398">
        <v>0</v>
      </c>
      <c r="O51" s="374"/>
      <c r="P51" s="398">
        <v>0</v>
      </c>
      <c r="Q51" s="374"/>
      <c r="R51" s="401"/>
    </row>
    <row r="52" spans="1:20" ht="16.5" thickBot="1" x14ac:dyDescent="0.3">
      <c r="A52" s="387" t="s">
        <v>152</v>
      </c>
      <c r="B52" s="388"/>
      <c r="C52" s="389"/>
      <c r="D52" s="379"/>
      <c r="E52" s="405">
        <v>0</v>
      </c>
      <c r="F52" s="406"/>
      <c r="G52" s="405">
        <v>0</v>
      </c>
      <c r="H52" s="406"/>
      <c r="I52" s="405">
        <v>0</v>
      </c>
      <c r="J52" s="406"/>
      <c r="K52" s="396"/>
      <c r="L52" s="405">
        <v>0</v>
      </c>
      <c r="M52" s="407"/>
      <c r="N52" s="405">
        <v>0</v>
      </c>
      <c r="O52" s="396"/>
      <c r="P52" s="405">
        <v>0</v>
      </c>
      <c r="Q52" s="374"/>
      <c r="R52" s="408">
        <v>0</v>
      </c>
    </row>
    <row r="53" spans="1:20" ht="15.75" thickBot="1" x14ac:dyDescent="0.25">
      <c r="A53" s="381"/>
      <c r="B53" s="373"/>
      <c r="C53" s="404"/>
      <c r="D53" s="379"/>
      <c r="E53" s="390"/>
      <c r="F53" s="379"/>
      <c r="G53" s="390"/>
      <c r="H53" s="379"/>
      <c r="I53" s="391"/>
      <c r="J53" s="392"/>
      <c r="K53" s="391"/>
      <c r="L53" s="390"/>
      <c r="M53" s="393"/>
      <c r="N53" s="390"/>
      <c r="O53" s="390"/>
      <c r="P53" s="390"/>
      <c r="Q53" s="374"/>
      <c r="R53" s="401"/>
    </row>
    <row r="54" spans="1:20" ht="16.5" thickBot="1" x14ac:dyDescent="0.3">
      <c r="A54" s="381"/>
      <c r="B54" s="373"/>
      <c r="C54" s="404" t="s">
        <v>119</v>
      </c>
      <c r="D54" s="379"/>
      <c r="E54" s="418">
        <v>2341828969.8474998</v>
      </c>
      <c r="F54" s="396"/>
      <c r="G54" s="418">
        <v>91006612.950543478</v>
      </c>
      <c r="H54" s="406"/>
      <c r="I54" s="418">
        <v>2615736.7934782598</v>
      </c>
      <c r="J54" s="406"/>
      <c r="K54" s="396"/>
      <c r="L54" s="418">
        <v>634612.16956521804</v>
      </c>
      <c r="M54" s="419"/>
      <c r="N54" s="418">
        <v>1922545.2503805554</v>
      </c>
      <c r="O54" s="396"/>
      <c r="P54" s="418">
        <v>96179507.16396749</v>
      </c>
      <c r="Q54" s="374"/>
      <c r="R54" s="408">
        <v>4.1070000000000002E-2</v>
      </c>
      <c r="T54" s="439"/>
    </row>
    <row r="55" spans="1:20" ht="15.75" thickTop="1" x14ac:dyDescent="0.2">
      <c r="A55" s="420"/>
      <c r="B55" s="383"/>
      <c r="C55" s="421"/>
      <c r="D55" s="422"/>
      <c r="E55" s="423"/>
      <c r="F55" s="424"/>
      <c r="G55" s="423"/>
      <c r="H55" s="422"/>
      <c r="I55" s="423"/>
      <c r="J55" s="425"/>
      <c r="K55" s="390"/>
      <c r="L55" s="373"/>
      <c r="M55" s="379"/>
      <c r="N55" s="423"/>
      <c r="O55" s="423"/>
      <c r="P55" s="423"/>
      <c r="Q55" s="424"/>
      <c r="R55" s="426"/>
    </row>
    <row r="56" spans="1:20" ht="15.75" x14ac:dyDescent="0.25">
      <c r="C56" s="429"/>
      <c r="E56" s="431"/>
      <c r="G56" s="431"/>
      <c r="H56" s="469"/>
      <c r="I56" s="431"/>
      <c r="J56" s="379"/>
      <c r="K56" s="470"/>
      <c r="L56" s="434"/>
      <c r="M56" s="471"/>
      <c r="N56" s="431"/>
      <c r="O56" s="431"/>
      <c r="P56" s="431"/>
    </row>
    <row r="57" spans="1:20" ht="15.75" x14ac:dyDescent="0.25">
      <c r="C57" s="429"/>
      <c r="E57" s="431"/>
      <c r="G57" s="431"/>
      <c r="H57" s="469"/>
      <c r="I57" s="431"/>
      <c r="J57" s="379"/>
      <c r="K57" s="373"/>
      <c r="L57" s="431"/>
      <c r="M57" s="461"/>
      <c r="N57" s="431"/>
      <c r="O57" s="431"/>
      <c r="P57" s="431"/>
    </row>
    <row r="58" spans="1:20" ht="15.75" x14ac:dyDescent="0.25">
      <c r="A58" s="439"/>
      <c r="C58" s="429"/>
      <c r="E58" s="431"/>
      <c r="G58" s="431"/>
      <c r="H58" s="469"/>
      <c r="I58" s="431"/>
      <c r="J58" s="461"/>
      <c r="K58" s="431"/>
      <c r="L58" s="431"/>
      <c r="M58" s="461"/>
      <c r="N58" s="431"/>
      <c r="O58" s="431"/>
      <c r="P58" s="431"/>
    </row>
    <row r="59" spans="1:20" x14ac:dyDescent="0.2">
      <c r="C59" s="429"/>
      <c r="E59" s="431"/>
      <c r="G59" s="431"/>
      <c r="I59" s="431"/>
      <c r="J59" s="461"/>
      <c r="K59" s="431"/>
      <c r="L59" s="431"/>
      <c r="M59" s="461"/>
      <c r="N59" s="431"/>
      <c r="O59" s="431"/>
      <c r="P59" s="431"/>
    </row>
    <row r="60" spans="1:20" s="472" customFormat="1" ht="15.75" x14ac:dyDescent="0.25">
      <c r="A60" s="602" t="s">
        <v>153</v>
      </c>
      <c r="B60" s="603"/>
      <c r="C60" s="603"/>
      <c r="D60" s="603"/>
      <c r="E60" s="603"/>
      <c r="F60" s="603"/>
      <c r="G60" s="603"/>
      <c r="H60" s="603"/>
      <c r="I60" s="603"/>
      <c r="J60" s="603"/>
      <c r="K60" s="603"/>
      <c r="L60" s="603"/>
      <c r="M60" s="603"/>
      <c r="N60" s="603"/>
      <c r="O60" s="603"/>
      <c r="P60" s="603"/>
      <c r="Q60" s="603"/>
      <c r="R60" s="604"/>
    </row>
    <row r="61" spans="1:20" x14ac:dyDescent="0.2">
      <c r="A61" s="381"/>
      <c r="B61" s="373"/>
      <c r="C61" s="374"/>
      <c r="D61" s="379"/>
      <c r="E61" s="374"/>
      <c r="F61" s="374"/>
      <c r="G61" s="374"/>
      <c r="H61" s="379"/>
      <c r="I61" s="374"/>
      <c r="J61" s="379"/>
      <c r="K61" s="374"/>
      <c r="L61" s="374"/>
      <c r="M61" s="379"/>
      <c r="N61" s="374"/>
      <c r="O61" s="374"/>
      <c r="P61" s="374"/>
      <c r="Q61" s="374"/>
      <c r="R61" s="377"/>
    </row>
    <row r="62" spans="1:20" x14ac:dyDescent="0.2">
      <c r="A62" s="381"/>
      <c r="B62" s="373"/>
      <c r="C62" s="374"/>
      <c r="D62" s="379"/>
      <c r="E62" s="374"/>
      <c r="F62" s="374"/>
      <c r="G62" s="605" t="s">
        <v>109</v>
      </c>
      <c r="H62" s="605"/>
      <c r="I62" s="605"/>
      <c r="J62" s="605"/>
      <c r="K62" s="605"/>
      <c r="L62" s="605"/>
      <c r="M62" s="605"/>
      <c r="N62" s="605"/>
      <c r="O62" s="605"/>
      <c r="P62" s="605"/>
      <c r="Q62" s="374"/>
      <c r="R62" s="377"/>
    </row>
    <row r="63" spans="1:20" x14ac:dyDescent="0.2">
      <c r="A63" s="381"/>
      <c r="B63" s="373"/>
      <c r="C63" s="374"/>
      <c r="D63" s="379"/>
      <c r="E63" s="374"/>
      <c r="F63" s="374"/>
      <c r="G63" s="374"/>
      <c r="H63" s="379"/>
      <c r="I63" s="374"/>
      <c r="J63" s="379"/>
      <c r="K63" s="374"/>
      <c r="L63" s="374"/>
      <c r="M63" s="379"/>
      <c r="N63" s="374"/>
      <c r="O63" s="374"/>
      <c r="P63" s="374"/>
      <c r="Q63" s="374"/>
      <c r="R63" s="380" t="s">
        <v>113</v>
      </c>
    </row>
    <row r="64" spans="1:20" x14ac:dyDescent="0.2">
      <c r="A64" s="381"/>
      <c r="B64" s="373" t="s">
        <v>154</v>
      </c>
      <c r="C64" s="382" t="s">
        <v>239</v>
      </c>
      <c r="D64" s="379"/>
      <c r="E64" s="382" t="s">
        <v>240</v>
      </c>
      <c r="F64" s="374"/>
      <c r="G64" s="382" t="s">
        <v>241</v>
      </c>
      <c r="H64" s="379"/>
      <c r="I64" s="382" t="s">
        <v>242</v>
      </c>
      <c r="J64" s="379"/>
      <c r="K64" s="373"/>
      <c r="L64" s="382" t="s">
        <v>243</v>
      </c>
      <c r="M64" s="440"/>
      <c r="N64" s="382" t="s">
        <v>155</v>
      </c>
      <c r="O64" s="373"/>
      <c r="P64" s="382" t="s">
        <v>244</v>
      </c>
      <c r="Q64" s="374"/>
      <c r="R64" s="441" t="s">
        <v>245</v>
      </c>
    </row>
    <row r="65" spans="1:18" x14ac:dyDescent="0.2">
      <c r="A65" s="381"/>
      <c r="B65" s="373"/>
      <c r="C65" s="374"/>
      <c r="D65" s="379"/>
      <c r="E65" s="374"/>
      <c r="F65" s="374"/>
      <c r="G65" s="374"/>
      <c r="H65" s="379"/>
      <c r="I65" s="374"/>
      <c r="J65" s="379"/>
      <c r="K65" s="374"/>
      <c r="L65" s="374"/>
      <c r="M65" s="379"/>
      <c r="N65" s="374"/>
      <c r="O65" s="374"/>
      <c r="P65" s="374"/>
      <c r="Q65" s="374"/>
      <c r="R65" s="377"/>
    </row>
    <row r="66" spans="1:18" x14ac:dyDescent="0.2">
      <c r="A66" s="381" t="s">
        <v>156</v>
      </c>
      <c r="B66" s="373" t="s">
        <v>157</v>
      </c>
      <c r="C66" s="389">
        <v>0</v>
      </c>
      <c r="D66" s="395" t="s">
        <v>123</v>
      </c>
      <c r="E66" s="442">
        <v>0</v>
      </c>
      <c r="F66" s="396"/>
      <c r="G66" s="396">
        <v>0</v>
      </c>
      <c r="H66" s="406"/>
      <c r="I66" s="443">
        <v>0</v>
      </c>
      <c r="J66" s="406"/>
      <c r="K66" s="443"/>
      <c r="L66" s="443">
        <v>0</v>
      </c>
      <c r="M66" s="406"/>
      <c r="N66" s="443">
        <v>0</v>
      </c>
      <c r="O66" s="396"/>
      <c r="P66" s="396">
        <v>0</v>
      </c>
      <c r="Q66" s="374"/>
      <c r="R66" s="401">
        <v>0</v>
      </c>
    </row>
    <row r="67" spans="1:18" x14ac:dyDescent="0.2">
      <c r="A67" s="381" t="s">
        <v>158</v>
      </c>
      <c r="B67" s="373"/>
      <c r="C67" s="389"/>
      <c r="D67" s="379"/>
      <c r="E67" s="398">
        <v>0</v>
      </c>
      <c r="F67" s="396"/>
      <c r="G67" s="398">
        <v>0</v>
      </c>
      <c r="H67" s="406"/>
      <c r="I67" s="413">
        <v>0</v>
      </c>
      <c r="J67" s="406"/>
      <c r="K67" s="443"/>
      <c r="L67" s="413">
        <v>0</v>
      </c>
      <c r="M67" s="409"/>
      <c r="N67" s="413">
        <v>0</v>
      </c>
      <c r="O67" s="396"/>
      <c r="P67" s="398">
        <v>0</v>
      </c>
      <c r="Q67" s="374"/>
      <c r="R67" s="401">
        <v>0</v>
      </c>
    </row>
    <row r="68" spans="1:18" x14ac:dyDescent="0.2">
      <c r="A68" s="381" t="s">
        <v>159</v>
      </c>
      <c r="B68" s="373" t="s">
        <v>160</v>
      </c>
      <c r="C68" s="389">
        <v>1.1599999999999999E-2</v>
      </c>
      <c r="D68" s="379"/>
      <c r="E68" s="444">
        <v>31384757.629999999</v>
      </c>
      <c r="F68" s="374"/>
      <c r="G68" s="445">
        <v>364063.18850799993</v>
      </c>
      <c r="H68" s="379"/>
      <c r="I68" s="446">
        <v>0</v>
      </c>
      <c r="J68" s="379"/>
      <c r="K68" s="374"/>
      <c r="L68" s="446">
        <v>0</v>
      </c>
      <c r="M68" s="447"/>
      <c r="N68" s="446">
        <v>0</v>
      </c>
      <c r="O68" s="374"/>
      <c r="P68" s="445">
        <v>364063.18850799993</v>
      </c>
      <c r="Q68" s="374"/>
      <c r="R68" s="448">
        <v>1.1599999999999999E-2</v>
      </c>
    </row>
    <row r="69" spans="1:18" ht="15.75" thickBot="1" x14ac:dyDescent="0.25">
      <c r="A69" s="381"/>
      <c r="B69" s="373"/>
      <c r="C69" s="374"/>
      <c r="D69" s="379"/>
      <c r="E69" s="391"/>
      <c r="F69" s="374"/>
      <c r="G69" s="391"/>
      <c r="H69" s="379"/>
      <c r="I69" s="374"/>
      <c r="J69" s="379"/>
      <c r="K69" s="374"/>
      <c r="L69" s="391"/>
      <c r="M69" s="392"/>
      <c r="N69" s="391"/>
      <c r="O69" s="374"/>
      <c r="P69" s="391"/>
      <c r="Q69" s="374"/>
      <c r="R69" s="401"/>
    </row>
    <row r="70" spans="1:18" ht="16.5" thickBot="1" x14ac:dyDescent="0.3">
      <c r="A70" s="381"/>
      <c r="B70" s="373"/>
      <c r="C70" s="374" t="s">
        <v>119</v>
      </c>
      <c r="D70" s="379"/>
      <c r="E70" s="449">
        <v>31384757.629999999</v>
      </c>
      <c r="F70" s="396"/>
      <c r="G70" s="418">
        <v>364063.18850799993</v>
      </c>
      <c r="H70" s="406"/>
      <c r="I70" s="450">
        <v>0</v>
      </c>
      <c r="J70" s="406"/>
      <c r="K70" s="443"/>
      <c r="L70" s="450">
        <v>0</v>
      </c>
      <c r="M70" s="419"/>
      <c r="N70" s="450">
        <v>0</v>
      </c>
      <c r="O70" s="396"/>
      <c r="P70" s="418">
        <v>364063.18850799993</v>
      </c>
      <c r="Q70" s="374"/>
      <c r="R70" s="451">
        <v>1.1599999999999999E-2</v>
      </c>
    </row>
    <row r="71" spans="1:18" ht="15.75" thickTop="1" x14ac:dyDescent="0.2">
      <c r="A71" s="420"/>
      <c r="B71" s="383"/>
      <c r="C71" s="424"/>
      <c r="D71" s="422"/>
      <c r="E71" s="424"/>
      <c r="F71" s="424"/>
      <c r="G71" s="452"/>
      <c r="H71" s="422"/>
      <c r="I71" s="424"/>
      <c r="J71" s="422"/>
      <c r="K71" s="424"/>
      <c r="L71" s="452"/>
      <c r="M71" s="453"/>
      <c r="N71" s="452"/>
      <c r="O71" s="424"/>
      <c r="P71" s="424"/>
      <c r="Q71" s="424"/>
      <c r="R71" s="448"/>
    </row>
    <row r="72" spans="1:18" ht="15.75" thickBot="1" x14ac:dyDescent="0.25">
      <c r="C72" s="429"/>
      <c r="E72" s="431"/>
      <c r="G72" s="431"/>
      <c r="P72" s="431"/>
      <c r="R72" s="454"/>
    </row>
    <row r="73" spans="1:18" ht="16.5" thickBot="1" x14ac:dyDescent="0.3">
      <c r="A73" s="427" t="s">
        <v>161</v>
      </c>
      <c r="C73" s="429"/>
      <c r="E73" s="455">
        <v>2373213727.4775</v>
      </c>
      <c r="F73" s="456"/>
      <c r="G73" s="455">
        <v>91370676.139051482</v>
      </c>
      <c r="H73" s="457"/>
      <c r="I73" s="455">
        <v>2615736.7934782598</v>
      </c>
      <c r="J73" s="457"/>
      <c r="K73" s="456"/>
      <c r="L73" s="455">
        <v>634612.16956521804</v>
      </c>
      <c r="M73" s="458"/>
      <c r="N73" s="455">
        <v>1922545.2503805554</v>
      </c>
      <c r="O73" s="456"/>
      <c r="P73" s="455">
        <v>96543570.352475494</v>
      </c>
      <c r="R73" s="451">
        <v>4.0680000000000001E-2</v>
      </c>
    </row>
    <row r="74" spans="1:18" ht="16.5" thickTop="1" x14ac:dyDescent="0.25">
      <c r="C74" s="429"/>
      <c r="E74" s="431"/>
      <c r="G74" s="431"/>
      <c r="P74" s="431"/>
      <c r="R74" s="459"/>
    </row>
    <row r="75" spans="1:18" x14ac:dyDescent="0.2">
      <c r="A75" s="427" t="s">
        <v>162</v>
      </c>
      <c r="C75" s="429"/>
      <c r="E75" s="431"/>
      <c r="G75" s="431"/>
      <c r="P75" s="460"/>
      <c r="R75" s="454"/>
    </row>
    <row r="76" spans="1:18" x14ac:dyDescent="0.2">
      <c r="A76" s="427" t="s">
        <v>163</v>
      </c>
      <c r="R76" s="454"/>
    </row>
    <row r="78" spans="1:18" x14ac:dyDescent="0.2">
      <c r="A78" s="606" t="s">
        <v>246</v>
      </c>
      <c r="B78" s="606"/>
      <c r="C78" s="606"/>
      <c r="D78" s="606"/>
      <c r="E78" s="606"/>
      <c r="F78" s="606"/>
      <c r="G78" s="606"/>
      <c r="L78" s="431"/>
      <c r="M78" s="461"/>
      <c r="N78" s="431"/>
      <c r="O78" s="431"/>
    </row>
    <row r="79" spans="1:18" x14ac:dyDescent="0.2">
      <c r="A79" s="462"/>
      <c r="B79" s="462"/>
      <c r="C79" s="462"/>
      <c r="D79" s="463"/>
      <c r="E79" s="462"/>
      <c r="L79" s="431"/>
      <c r="M79" s="461"/>
      <c r="N79" s="431"/>
      <c r="O79" s="431"/>
    </row>
    <row r="80" spans="1:18" x14ac:dyDescent="0.2">
      <c r="A80" s="427" t="s">
        <v>164</v>
      </c>
    </row>
    <row r="81" spans="1:1" x14ac:dyDescent="0.2">
      <c r="A81" s="427" t="s">
        <v>165</v>
      </c>
    </row>
  </sheetData>
  <mergeCells count="9">
    <mergeCell ref="A60:R60"/>
    <mergeCell ref="G62:P62"/>
    <mergeCell ref="A78:G78"/>
    <mergeCell ref="A6:R6"/>
    <mergeCell ref="A7:R7"/>
    <mergeCell ref="A8:R8"/>
    <mergeCell ref="A9:R9"/>
    <mergeCell ref="A10:R10"/>
    <mergeCell ref="G12:P12"/>
  </mergeCells>
  <pageMargins left="0.7" right="0.7" top="0.75" bottom="0.75" header="0.3" footer="0.3"/>
  <pageSetup scale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A1:V85"/>
  <sheetViews>
    <sheetView workbookViewId="0">
      <selection activeCell="R1" sqref="R1"/>
    </sheetView>
  </sheetViews>
  <sheetFormatPr defaultColWidth="11.33203125" defaultRowHeight="15.75" x14ac:dyDescent="0.25"/>
  <cols>
    <col min="1" max="1" width="53.83203125" style="238" customWidth="1"/>
    <col min="2" max="2" width="12.6640625" style="244" customWidth="1"/>
    <col min="3" max="3" width="16.5" style="245" customWidth="1"/>
    <col min="4" max="4" width="3.5" style="238" customWidth="1"/>
    <col min="5" max="5" width="22.1640625" style="245" bestFit="1" customWidth="1"/>
    <col min="6" max="6" width="3" style="238" customWidth="1"/>
    <col min="7" max="7" width="21.33203125" style="240" bestFit="1" customWidth="1"/>
    <col min="8" max="8" width="2.33203125" style="238" customWidth="1"/>
    <col min="9" max="9" width="29.83203125" style="245" bestFit="1" customWidth="1"/>
    <col min="10" max="10" width="6.5" style="238" customWidth="1"/>
    <col min="11" max="11" width="7" style="245" customWidth="1"/>
    <col min="12" max="12" width="21.6640625" style="238" bestFit="1" customWidth="1"/>
    <col min="13" max="13" width="3.83203125" style="238" customWidth="1"/>
    <col min="14" max="14" width="19.1640625" style="245" bestFit="1" customWidth="1"/>
    <col min="15" max="15" width="6.6640625" style="238" customWidth="1"/>
    <col min="16" max="16" width="18.33203125" style="238" bestFit="1" customWidth="1"/>
    <col min="17" max="17" width="3.83203125" style="238" customWidth="1"/>
    <col min="18" max="18" width="14.6640625" style="238" bestFit="1" customWidth="1"/>
    <col min="19" max="19" width="14.5" style="246" bestFit="1" customWidth="1"/>
    <col min="20" max="20" width="21.33203125" style="238" bestFit="1" customWidth="1"/>
    <col min="21" max="16384" width="11.33203125" style="238"/>
  </cols>
  <sheetData>
    <row r="1" spans="1:19" s="235" customFormat="1" x14ac:dyDescent="0.25">
      <c r="A1" s="64" t="str">
        <f>'Input Tab'!B2</f>
        <v>Kentucky Utilities Company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66" t="s">
        <v>278</v>
      </c>
    </row>
    <row r="2" spans="1:19" s="235" customFormat="1" x14ac:dyDescent="0.25">
      <c r="A2" s="69" t="s">
        <v>195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66" t="s">
        <v>268</v>
      </c>
    </row>
    <row r="3" spans="1:19" s="235" customFormat="1" x14ac:dyDescent="0.25">
      <c r="A3" s="366" t="s">
        <v>275</v>
      </c>
      <c r="B3" s="28"/>
      <c r="C3" s="28"/>
      <c r="D3" s="28"/>
      <c r="E3" s="28"/>
      <c r="F3" s="253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68" t="str">
        <f>'Q1 p.2 - Rate of Return Adj'!I3</f>
        <v>Rahn/Metts</v>
      </c>
    </row>
    <row r="4" spans="1:19" s="237" customFormat="1" x14ac:dyDescent="0.25">
      <c r="A4" s="294" t="s">
        <v>196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</row>
    <row r="5" spans="1:19" x14ac:dyDescent="0.25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/>
    </row>
    <row r="6" spans="1:19" ht="20.25" x14ac:dyDescent="0.3">
      <c r="A6" s="613" t="s">
        <v>237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5"/>
      <c r="S6"/>
    </row>
    <row r="7" spans="1:19" x14ac:dyDescent="0.25">
      <c r="A7" s="372"/>
      <c r="B7" s="373"/>
      <c r="C7" s="374"/>
      <c r="D7" s="375"/>
      <c r="E7" s="374"/>
      <c r="F7" s="376"/>
      <c r="G7" s="374"/>
      <c r="H7" s="375"/>
      <c r="I7" s="374"/>
      <c r="J7" s="375"/>
      <c r="K7" s="374"/>
      <c r="L7" s="374"/>
      <c r="M7" s="375"/>
      <c r="N7" s="374"/>
      <c r="O7" s="374"/>
      <c r="P7" s="374"/>
      <c r="Q7" s="374"/>
      <c r="R7" s="377"/>
      <c r="S7"/>
    </row>
    <row r="8" spans="1:19" x14ac:dyDescent="0.25">
      <c r="A8" s="378"/>
      <c r="B8" s="373"/>
      <c r="C8" s="374"/>
      <c r="D8" s="379"/>
      <c r="E8" s="374"/>
      <c r="F8" s="374"/>
      <c r="G8" s="605" t="s">
        <v>109</v>
      </c>
      <c r="H8" s="605"/>
      <c r="I8" s="605"/>
      <c r="J8" s="605"/>
      <c r="K8" s="605"/>
      <c r="L8" s="605"/>
      <c r="M8" s="605"/>
      <c r="N8" s="605"/>
      <c r="O8" s="605"/>
      <c r="P8" s="605"/>
      <c r="Q8" s="373"/>
      <c r="R8" s="380"/>
      <c r="S8"/>
    </row>
    <row r="9" spans="1:19" ht="17.25" customHeight="1" x14ac:dyDescent="0.25">
      <c r="A9" s="381"/>
      <c r="B9" s="373"/>
      <c r="C9" s="374"/>
      <c r="D9" s="379"/>
      <c r="E9" s="374"/>
      <c r="F9" s="374"/>
      <c r="G9" s="374"/>
      <c r="H9" s="379"/>
      <c r="I9" s="373" t="s">
        <v>110</v>
      </c>
      <c r="J9" s="379"/>
      <c r="K9" s="373"/>
      <c r="L9" s="373" t="s">
        <v>111</v>
      </c>
      <c r="M9" s="379"/>
      <c r="N9" s="373" t="s">
        <v>112</v>
      </c>
      <c r="O9" s="374"/>
      <c r="P9" s="373"/>
      <c r="Q9" s="373"/>
      <c r="R9" s="380" t="s">
        <v>113</v>
      </c>
      <c r="S9"/>
    </row>
    <row r="10" spans="1:19" ht="17.25" customHeight="1" x14ac:dyDescent="0.25">
      <c r="A10" s="381"/>
      <c r="B10" s="382" t="s">
        <v>114</v>
      </c>
      <c r="C10" s="382" t="s">
        <v>91</v>
      </c>
      <c r="D10" s="379"/>
      <c r="E10" s="382" t="s">
        <v>115</v>
      </c>
      <c r="F10" s="374"/>
      <c r="G10" s="383" t="s">
        <v>116</v>
      </c>
      <c r="H10" s="379"/>
      <c r="I10" s="384" t="s">
        <v>238</v>
      </c>
      <c r="J10" s="379"/>
      <c r="K10" s="373"/>
      <c r="L10" s="384" t="s">
        <v>117</v>
      </c>
      <c r="M10" s="385"/>
      <c r="N10" s="383" t="s">
        <v>118</v>
      </c>
      <c r="O10" s="374"/>
      <c r="P10" s="383" t="s">
        <v>119</v>
      </c>
      <c r="Q10" s="373"/>
      <c r="R10" s="386" t="s">
        <v>120</v>
      </c>
      <c r="S10"/>
    </row>
    <row r="11" spans="1:19" ht="17.25" customHeight="1" x14ac:dyDescent="0.25">
      <c r="A11" s="387" t="s">
        <v>121</v>
      </c>
      <c r="B11" s="388"/>
      <c r="C11" s="389"/>
      <c r="D11" s="379"/>
      <c r="E11" s="390"/>
      <c r="F11" s="379"/>
      <c r="G11" s="390"/>
      <c r="H11" s="379"/>
      <c r="I11" s="391"/>
      <c r="J11" s="392"/>
      <c r="K11" s="391"/>
      <c r="L11" s="390"/>
      <c r="M11" s="393"/>
      <c r="N11" s="390"/>
      <c r="O11" s="390"/>
      <c r="P11" s="390"/>
      <c r="Q11" s="374"/>
      <c r="R11" s="377"/>
      <c r="S11"/>
    </row>
    <row r="12" spans="1:19" ht="17.25" customHeight="1" x14ac:dyDescent="0.25">
      <c r="A12" s="381" t="s">
        <v>122</v>
      </c>
      <c r="B12" s="388">
        <v>45047</v>
      </c>
      <c r="C12" s="394">
        <v>8.6800000000000002E-3</v>
      </c>
      <c r="D12" s="395" t="s">
        <v>123</v>
      </c>
      <c r="E12" s="396">
        <v>12900000</v>
      </c>
      <c r="F12" s="397"/>
      <c r="G12" s="396">
        <v>111972</v>
      </c>
      <c r="H12" s="379"/>
      <c r="I12" s="398">
        <v>10912.746195652178</v>
      </c>
      <c r="J12" s="399"/>
      <c r="K12" s="390"/>
      <c r="L12" s="396">
        <v>35867.339945652166</v>
      </c>
      <c r="M12" s="399"/>
      <c r="N12" s="396">
        <v>97783.76715</v>
      </c>
      <c r="O12" s="400" t="s">
        <v>124</v>
      </c>
      <c r="P12" s="396">
        <v>256535.85329130435</v>
      </c>
      <c r="Q12" s="374"/>
      <c r="R12" s="401">
        <v>1.9890000000000001E-2</v>
      </c>
      <c r="S12"/>
    </row>
    <row r="13" spans="1:19" ht="17.25" customHeight="1" x14ac:dyDescent="0.25">
      <c r="A13" s="381" t="s">
        <v>125</v>
      </c>
      <c r="B13" s="388">
        <v>11720</v>
      </c>
      <c r="C13" s="402">
        <v>9.3299999999999998E-3</v>
      </c>
      <c r="D13" s="395" t="s">
        <v>123</v>
      </c>
      <c r="E13" s="398">
        <v>20930000</v>
      </c>
      <c r="F13" s="379"/>
      <c r="G13" s="398">
        <v>195277</v>
      </c>
      <c r="H13" s="379"/>
      <c r="I13" s="398">
        <v>3997.8608695652015</v>
      </c>
      <c r="J13" s="399"/>
      <c r="K13" s="374"/>
      <c r="L13" s="398">
        <v>36277.687228260787</v>
      </c>
      <c r="M13" s="399"/>
      <c r="N13" s="398">
        <v>20930</v>
      </c>
      <c r="O13" s="374" t="s">
        <v>124</v>
      </c>
      <c r="P13" s="398">
        <v>256482.54809782599</v>
      </c>
      <c r="Q13" s="374"/>
      <c r="R13" s="401">
        <v>1.225E-2</v>
      </c>
      <c r="S13"/>
    </row>
    <row r="14" spans="1:19" ht="17.25" customHeight="1" x14ac:dyDescent="0.25">
      <c r="A14" s="381" t="s">
        <v>126</v>
      </c>
      <c r="B14" s="388">
        <v>11720</v>
      </c>
      <c r="C14" s="402">
        <v>9.3399999999999993E-3</v>
      </c>
      <c r="D14" s="395" t="s">
        <v>123</v>
      </c>
      <c r="E14" s="398">
        <v>2400000</v>
      </c>
      <c r="F14" s="379"/>
      <c r="G14" s="398">
        <v>22416</v>
      </c>
      <c r="H14" s="379"/>
      <c r="I14" s="398">
        <v>2815.7567934782569</v>
      </c>
      <c r="J14" s="399"/>
      <c r="K14" s="374"/>
      <c r="L14" s="398">
        <v>4153.1048913043496</v>
      </c>
      <c r="M14" s="399"/>
      <c r="N14" s="398">
        <v>2400</v>
      </c>
      <c r="O14" s="374" t="s">
        <v>124</v>
      </c>
      <c r="P14" s="398">
        <v>31784.861684782605</v>
      </c>
      <c r="Q14" s="374"/>
      <c r="R14" s="401">
        <v>1.324E-2</v>
      </c>
      <c r="S14"/>
    </row>
    <row r="15" spans="1:19" ht="17.25" customHeight="1" x14ac:dyDescent="0.25">
      <c r="A15" s="381" t="s">
        <v>127</v>
      </c>
      <c r="B15" s="388">
        <v>11720</v>
      </c>
      <c r="C15" s="402">
        <v>9.3399999999999993E-3</v>
      </c>
      <c r="D15" s="395" t="s">
        <v>123</v>
      </c>
      <c r="E15" s="398">
        <v>2400000</v>
      </c>
      <c r="F15" s="379"/>
      <c r="G15" s="398">
        <v>22416</v>
      </c>
      <c r="H15" s="379"/>
      <c r="I15" s="398">
        <v>1131.2024456521731</v>
      </c>
      <c r="J15" s="399"/>
      <c r="K15" s="374"/>
      <c r="L15" s="398">
        <v>12896.481521739077</v>
      </c>
      <c r="M15" s="399"/>
      <c r="N15" s="398">
        <v>2400</v>
      </c>
      <c r="O15" s="374" t="s">
        <v>124</v>
      </c>
      <c r="P15" s="398">
        <v>38843.683967391247</v>
      </c>
      <c r="Q15" s="374"/>
      <c r="R15" s="401">
        <v>1.618E-2</v>
      </c>
      <c r="S15"/>
    </row>
    <row r="16" spans="1:19" ht="17.25" customHeight="1" x14ac:dyDescent="0.25">
      <c r="A16" s="381" t="s">
        <v>128</v>
      </c>
      <c r="B16" s="388">
        <v>11720</v>
      </c>
      <c r="C16" s="402">
        <v>9.3600000000000003E-3</v>
      </c>
      <c r="D16" s="395" t="s">
        <v>123</v>
      </c>
      <c r="E16" s="398">
        <v>7400000</v>
      </c>
      <c r="F16" s="379"/>
      <c r="G16" s="398">
        <v>69264</v>
      </c>
      <c r="H16" s="379"/>
      <c r="I16" s="398">
        <v>3111.505978260881</v>
      </c>
      <c r="J16" s="399"/>
      <c r="K16" s="374"/>
      <c r="L16" s="398">
        <v>12745.740489130476</v>
      </c>
      <c r="M16" s="399"/>
      <c r="N16" s="398">
        <v>7400</v>
      </c>
      <c r="O16" s="374" t="s">
        <v>124</v>
      </c>
      <c r="P16" s="398">
        <v>92521.246467391364</v>
      </c>
      <c r="Q16" s="374"/>
      <c r="R16" s="401">
        <v>1.2500000000000001E-2</v>
      </c>
      <c r="S16"/>
    </row>
    <row r="17" spans="1:22" ht="17.25" customHeight="1" x14ac:dyDescent="0.25">
      <c r="A17" s="381" t="s">
        <v>129</v>
      </c>
      <c r="B17" s="388">
        <v>49218</v>
      </c>
      <c r="C17" s="402">
        <v>8.7399999999999995E-3</v>
      </c>
      <c r="D17" s="395" t="s">
        <v>123</v>
      </c>
      <c r="E17" s="398">
        <v>50000000</v>
      </c>
      <c r="F17" s="379"/>
      <c r="G17" s="398">
        <v>437000</v>
      </c>
      <c r="H17" s="379"/>
      <c r="I17" s="398">
        <v>9703.167934782583</v>
      </c>
      <c r="J17" s="399"/>
      <c r="K17" s="374"/>
      <c r="L17" s="398">
        <v>94880.02418478264</v>
      </c>
      <c r="M17" s="399"/>
      <c r="N17" s="398">
        <v>380609.58904999995</v>
      </c>
      <c r="O17" s="374" t="s">
        <v>124</v>
      </c>
      <c r="P17" s="398">
        <v>922192.78116956516</v>
      </c>
      <c r="Q17" s="374"/>
      <c r="R17" s="401">
        <v>1.8440000000000002E-2</v>
      </c>
      <c r="S17"/>
    </row>
    <row r="18" spans="1:22" ht="17.25" customHeight="1" x14ac:dyDescent="0.25">
      <c r="A18" s="381" t="s">
        <v>130</v>
      </c>
      <c r="B18" s="388">
        <v>49218</v>
      </c>
      <c r="C18" s="402">
        <v>8.7500000000000008E-3</v>
      </c>
      <c r="D18" s="395" t="s">
        <v>123</v>
      </c>
      <c r="E18" s="398">
        <v>54000000</v>
      </c>
      <c r="F18" s="379"/>
      <c r="G18" s="398">
        <v>472500</v>
      </c>
      <c r="H18" s="379"/>
      <c r="I18" s="398">
        <v>46583.164673912994</v>
      </c>
      <c r="J18" s="399"/>
      <c r="K18" s="374"/>
      <c r="L18" s="398">
        <v>13232.360869565278</v>
      </c>
      <c r="M18" s="399"/>
      <c r="N18" s="398">
        <v>411491.09591000003</v>
      </c>
      <c r="O18" s="374" t="s">
        <v>124</v>
      </c>
      <c r="P18" s="398">
        <v>943806.62145347823</v>
      </c>
      <c r="Q18" s="374"/>
      <c r="R18" s="401">
        <v>1.7479999999999999E-2</v>
      </c>
      <c r="S18"/>
    </row>
    <row r="19" spans="1:22" ht="17.25" customHeight="1" x14ac:dyDescent="0.25">
      <c r="A19" s="381" t="s">
        <v>131</v>
      </c>
      <c r="B19" s="388">
        <v>46054</v>
      </c>
      <c r="C19" s="402">
        <v>5.7500000000000002E-2</v>
      </c>
      <c r="D19" s="395"/>
      <c r="E19" s="398">
        <v>17875000</v>
      </c>
      <c r="F19" s="379"/>
      <c r="G19" s="398">
        <v>1027813</v>
      </c>
      <c r="H19" s="379"/>
      <c r="I19" s="398">
        <v>10929.885326086953</v>
      </c>
      <c r="J19" s="399"/>
      <c r="K19" s="374"/>
      <c r="L19" s="398">
        <v>22390.171195652158</v>
      </c>
      <c r="M19" s="379"/>
      <c r="N19" s="398">
        <v>0</v>
      </c>
      <c r="O19" s="374"/>
      <c r="P19" s="398">
        <v>1061133.0565217391</v>
      </c>
      <c r="Q19" s="374"/>
      <c r="R19" s="401">
        <v>5.9360000000000003E-2</v>
      </c>
      <c r="S19"/>
    </row>
    <row r="20" spans="1:22" ht="17.25" customHeight="1" x14ac:dyDescent="0.25">
      <c r="A20" s="381" t="s">
        <v>132</v>
      </c>
      <c r="B20" s="388">
        <v>50100</v>
      </c>
      <c r="C20" s="402">
        <v>0.06</v>
      </c>
      <c r="D20" s="395"/>
      <c r="E20" s="398">
        <v>8927000</v>
      </c>
      <c r="F20" s="379"/>
      <c r="G20" s="398">
        <v>535620</v>
      </c>
      <c r="H20" s="379"/>
      <c r="I20" s="398">
        <v>5267.7831521739226</v>
      </c>
      <c r="J20" s="399"/>
      <c r="K20" s="390"/>
      <c r="L20" s="398">
        <v>10797.235597826086</v>
      </c>
      <c r="M20" s="379"/>
      <c r="N20" s="398">
        <v>0</v>
      </c>
      <c r="O20" s="374"/>
      <c r="P20" s="398">
        <v>551685.01875000005</v>
      </c>
      <c r="Q20" s="374"/>
      <c r="R20" s="401">
        <v>6.1800000000000001E-2</v>
      </c>
      <c r="S20"/>
    </row>
    <row r="21" spans="1:22" ht="17.25" customHeight="1" x14ac:dyDescent="0.25">
      <c r="A21" s="381" t="s">
        <v>133</v>
      </c>
      <c r="B21" s="388">
        <v>11720</v>
      </c>
      <c r="C21" s="402">
        <v>8.7799999999999996E-3</v>
      </c>
      <c r="D21" s="395" t="s">
        <v>123</v>
      </c>
      <c r="E21" s="398">
        <v>77947405</v>
      </c>
      <c r="F21" s="379"/>
      <c r="G21" s="398">
        <v>684378</v>
      </c>
      <c r="H21" s="379"/>
      <c r="I21" s="398">
        <v>33603.566304347827</v>
      </c>
      <c r="J21" s="399"/>
      <c r="K21" s="374"/>
      <c r="L21" s="398">
        <v>91156.726630434699</v>
      </c>
      <c r="M21" s="399"/>
      <c r="N21" s="398">
        <v>593975.24271499994</v>
      </c>
      <c r="O21" s="374" t="s">
        <v>124</v>
      </c>
      <c r="P21" s="398">
        <v>1403113.5356497825</v>
      </c>
      <c r="Q21" s="374"/>
      <c r="R21" s="401">
        <v>1.7999999999999999E-2</v>
      </c>
      <c r="S21"/>
    </row>
    <row r="22" spans="1:22" x14ac:dyDescent="0.25">
      <c r="A22" s="381" t="s">
        <v>134</v>
      </c>
      <c r="B22" s="388">
        <v>15585</v>
      </c>
      <c r="C22" s="402">
        <v>1.0500000000000001E-2</v>
      </c>
      <c r="D22" s="395"/>
      <c r="E22" s="398">
        <v>96000000</v>
      </c>
      <c r="F22" s="379"/>
      <c r="G22" s="398">
        <v>1008000</v>
      </c>
      <c r="H22" s="379"/>
      <c r="I22" s="398">
        <v>230851.47065217383</v>
      </c>
      <c r="J22" s="399"/>
      <c r="K22" s="374"/>
      <c r="L22" s="398">
        <v>190460.88804347854</v>
      </c>
      <c r="M22" s="399"/>
      <c r="N22" s="398"/>
      <c r="O22" s="374"/>
      <c r="P22" s="398">
        <v>1429312.3586956523</v>
      </c>
      <c r="Q22" s="374"/>
      <c r="R22" s="401">
        <v>1.489E-2</v>
      </c>
      <c r="S22"/>
      <c r="V22" s="239"/>
    </row>
    <row r="23" spans="1:22" ht="30" customHeight="1" x14ac:dyDescent="0.25">
      <c r="A23" s="381" t="s">
        <v>135</v>
      </c>
      <c r="B23" s="388"/>
      <c r="C23" s="389"/>
      <c r="D23" s="379"/>
      <c r="E23" s="398">
        <v>0</v>
      </c>
      <c r="F23" s="379"/>
      <c r="G23" s="398">
        <v>0</v>
      </c>
      <c r="H23" s="379"/>
      <c r="I23" s="398">
        <v>0</v>
      </c>
      <c r="J23" s="399"/>
      <c r="K23" s="374"/>
      <c r="L23" s="398">
        <v>5821.2937500000235</v>
      </c>
      <c r="M23" s="379"/>
      <c r="N23" s="398"/>
      <c r="O23" s="374"/>
      <c r="P23" s="398">
        <v>5821.2937500000235</v>
      </c>
      <c r="Q23" s="374"/>
      <c r="R23" s="401"/>
      <c r="S23"/>
    </row>
    <row r="24" spans="1:22" ht="17.25" customHeight="1" thickBot="1" x14ac:dyDescent="0.3">
      <c r="A24" s="381"/>
      <c r="B24" s="388"/>
      <c r="C24" s="389"/>
      <c r="D24" s="379"/>
      <c r="E24" s="398"/>
      <c r="F24" s="379"/>
      <c r="G24" s="398"/>
      <c r="H24" s="379"/>
      <c r="I24" s="398"/>
      <c r="J24" s="379"/>
      <c r="K24" s="374"/>
      <c r="L24" s="398"/>
      <c r="M24" s="379"/>
      <c r="N24" s="398"/>
      <c r="O24" s="374"/>
      <c r="P24" s="398"/>
      <c r="Q24" s="374"/>
      <c r="R24" s="401"/>
      <c r="S24"/>
    </row>
    <row r="25" spans="1:22" ht="17.25" customHeight="1" thickBot="1" x14ac:dyDescent="0.3">
      <c r="A25" s="387" t="s">
        <v>136</v>
      </c>
      <c r="B25" s="403"/>
      <c r="C25" s="404"/>
      <c r="D25" s="379"/>
      <c r="E25" s="405">
        <v>350779405</v>
      </c>
      <c r="F25" s="406"/>
      <c r="G25" s="405">
        <v>4586656</v>
      </c>
      <c r="H25" s="406"/>
      <c r="I25" s="405">
        <v>358908.11032608681</v>
      </c>
      <c r="J25" s="406"/>
      <c r="K25" s="396"/>
      <c r="L25" s="405">
        <v>530679.05434782628</v>
      </c>
      <c r="M25" s="407"/>
      <c r="N25" s="405">
        <v>1516989.6948249999</v>
      </c>
      <c r="O25" s="396"/>
      <c r="P25" s="405">
        <v>6993232.8594989134</v>
      </c>
      <c r="Q25" s="374"/>
      <c r="R25" s="408">
        <v>1.9939999999999999E-2</v>
      </c>
      <c r="S25"/>
    </row>
    <row r="26" spans="1:22" ht="17.25" customHeight="1" x14ac:dyDescent="0.25">
      <c r="A26" s="387" t="s">
        <v>137</v>
      </c>
      <c r="B26" s="388"/>
      <c r="C26" s="389"/>
      <c r="D26" s="379"/>
      <c r="E26" s="398"/>
      <c r="F26" s="379"/>
      <c r="G26" s="398"/>
      <c r="H26" s="379"/>
      <c r="I26" s="398"/>
      <c r="J26" s="392"/>
      <c r="K26" s="391"/>
      <c r="L26" s="398"/>
      <c r="M26" s="409"/>
      <c r="N26" s="398"/>
      <c r="O26" s="374"/>
      <c r="P26" s="398"/>
      <c r="Q26" s="374"/>
      <c r="R26" s="401"/>
      <c r="S26"/>
    </row>
    <row r="27" spans="1:22" ht="17.25" customHeight="1" x14ac:dyDescent="0.25">
      <c r="A27" s="381" t="s">
        <v>138</v>
      </c>
      <c r="B27" s="388">
        <v>44136</v>
      </c>
      <c r="C27" s="402">
        <v>3.2500000000000001E-2</v>
      </c>
      <c r="D27" s="379"/>
      <c r="E27" s="398">
        <v>500000000</v>
      </c>
      <c r="F27" s="410"/>
      <c r="G27" s="398">
        <v>16250000</v>
      </c>
      <c r="H27" s="379"/>
      <c r="I27" s="398">
        <v>419930.436956522</v>
      </c>
      <c r="J27" s="392" t="s">
        <v>139</v>
      </c>
      <c r="K27" s="391"/>
      <c r="L27" s="398"/>
      <c r="M27" s="409"/>
      <c r="N27" s="398"/>
      <c r="O27" s="374"/>
      <c r="P27" s="398">
        <v>16669930.436956521</v>
      </c>
      <c r="Q27" s="374"/>
      <c r="R27" s="401">
        <v>3.3340000000000002E-2</v>
      </c>
      <c r="S27"/>
    </row>
    <row r="28" spans="1:22" ht="17.25" customHeight="1" x14ac:dyDescent="0.25">
      <c r="A28" s="381" t="s">
        <v>140</v>
      </c>
      <c r="B28" s="388">
        <v>44136</v>
      </c>
      <c r="C28" s="402">
        <v>3.2500000000000001E-2</v>
      </c>
      <c r="D28" s="379"/>
      <c r="E28" s="398">
        <v>-648949.97428571433</v>
      </c>
      <c r="F28" s="410"/>
      <c r="G28" s="398"/>
      <c r="H28" s="379"/>
      <c r="I28" s="398">
        <v>189623.43124999999</v>
      </c>
      <c r="J28" s="392" t="s">
        <v>139</v>
      </c>
      <c r="K28" s="391"/>
      <c r="L28" s="398"/>
      <c r="M28" s="409"/>
      <c r="N28" s="398"/>
      <c r="O28" s="374"/>
      <c r="P28" s="398">
        <v>189623.43124999999</v>
      </c>
      <c r="Q28" s="374"/>
      <c r="R28" s="401">
        <v>-0.29220000000000002</v>
      </c>
      <c r="S28"/>
    </row>
    <row r="29" spans="1:22" ht="17.25" customHeight="1" x14ac:dyDescent="0.25">
      <c r="A29" s="381" t="s">
        <v>141</v>
      </c>
      <c r="B29" s="388">
        <v>51441</v>
      </c>
      <c r="C29" s="402">
        <v>5.1249999999999997E-2</v>
      </c>
      <c r="D29" s="379"/>
      <c r="E29" s="398">
        <v>750000000</v>
      </c>
      <c r="F29" s="410"/>
      <c r="G29" s="398">
        <v>38437500</v>
      </c>
      <c r="H29" s="379"/>
      <c r="I29" s="398">
        <v>249786.57961956444</v>
      </c>
      <c r="J29" s="392" t="s">
        <v>139</v>
      </c>
      <c r="K29" s="391"/>
      <c r="L29" s="398"/>
      <c r="M29" s="409"/>
      <c r="N29" s="398"/>
      <c r="O29" s="374"/>
      <c r="P29" s="398">
        <v>38687286.579619564</v>
      </c>
      <c r="Q29" s="374"/>
      <c r="R29" s="401">
        <v>5.1580000000000001E-2</v>
      </c>
      <c r="S29"/>
    </row>
    <row r="30" spans="1:22" ht="17.25" customHeight="1" x14ac:dyDescent="0.25">
      <c r="A30" s="381" t="s">
        <v>140</v>
      </c>
      <c r="B30" s="388">
        <v>51441</v>
      </c>
      <c r="C30" s="402">
        <v>5.1249999999999997E-2</v>
      </c>
      <c r="D30" s="379"/>
      <c r="E30" s="398">
        <v>-6361083.5700000003</v>
      </c>
      <c r="F30" s="410"/>
      <c r="G30" s="398"/>
      <c r="H30" s="379"/>
      <c r="I30" s="398">
        <v>271423.50190217362</v>
      </c>
      <c r="J30" s="392" t="s">
        <v>139</v>
      </c>
      <c r="K30" s="391"/>
      <c r="L30" s="398"/>
      <c r="M30" s="409"/>
      <c r="N30" s="398"/>
      <c r="O30" s="374"/>
      <c r="P30" s="398">
        <v>271423.50190217362</v>
      </c>
      <c r="Q30" s="374"/>
      <c r="R30" s="401">
        <v>-4.267E-2</v>
      </c>
      <c r="S30"/>
    </row>
    <row r="31" spans="1:22" ht="17.25" customHeight="1" x14ac:dyDescent="0.25">
      <c r="A31" s="381" t="s">
        <v>142</v>
      </c>
      <c r="B31" s="388">
        <v>52550</v>
      </c>
      <c r="C31" s="402">
        <v>4.65E-2</v>
      </c>
      <c r="D31" s="379"/>
      <c r="E31" s="398">
        <v>250000000</v>
      </c>
      <c r="F31" s="411"/>
      <c r="G31" s="398">
        <v>11625000</v>
      </c>
      <c r="H31" s="379"/>
      <c r="I31" s="398">
        <v>92245.259782609006</v>
      </c>
      <c r="J31" s="392" t="s">
        <v>139</v>
      </c>
      <c r="K31" s="391"/>
      <c r="L31" s="398"/>
      <c r="M31" s="409"/>
      <c r="N31" s="398"/>
      <c r="O31" s="374"/>
      <c r="P31" s="398">
        <v>11717245.259782609</v>
      </c>
      <c r="Q31" s="374"/>
      <c r="R31" s="401">
        <v>4.6870000000000002E-2</v>
      </c>
      <c r="S31"/>
    </row>
    <row r="32" spans="1:22" ht="17.25" customHeight="1" x14ac:dyDescent="0.25">
      <c r="A32" s="381" t="s">
        <v>140</v>
      </c>
      <c r="B32" s="388">
        <v>52550</v>
      </c>
      <c r="C32" s="402">
        <v>4.65E-2</v>
      </c>
      <c r="D32" s="379"/>
      <c r="E32" s="398">
        <v>-1587302.1657142858</v>
      </c>
      <c r="F32" s="379"/>
      <c r="G32" s="398"/>
      <c r="H32" s="379"/>
      <c r="I32" s="398">
        <v>59956.209239130432</v>
      </c>
      <c r="J32" s="392" t="s">
        <v>139</v>
      </c>
      <c r="K32" s="391"/>
      <c r="L32" s="398"/>
      <c r="M32" s="409"/>
      <c r="N32" s="398"/>
      <c r="O32" s="374"/>
      <c r="P32" s="398">
        <v>59956.209239130432</v>
      </c>
      <c r="Q32" s="374"/>
      <c r="R32" s="401">
        <v>-3.7769999999999998E-2</v>
      </c>
      <c r="S32"/>
    </row>
    <row r="33" spans="1:22" ht="17.25" customHeight="1" x14ac:dyDescent="0.25">
      <c r="A33" s="381" t="s">
        <v>143</v>
      </c>
      <c r="B33" s="388">
        <v>52550</v>
      </c>
      <c r="C33" s="402"/>
      <c r="D33" s="379"/>
      <c r="E33" s="398"/>
      <c r="F33" s="399"/>
      <c r="G33" s="398">
        <v>-1433649.0828804353</v>
      </c>
      <c r="H33" s="379"/>
      <c r="I33" s="398"/>
      <c r="J33" s="392"/>
      <c r="K33" s="391"/>
      <c r="L33" s="398"/>
      <c r="M33" s="409"/>
      <c r="N33" s="398"/>
      <c r="O33" s="374"/>
      <c r="P33" s="398">
        <v>-1433649.0828804353</v>
      </c>
      <c r="Q33" s="374"/>
      <c r="R33" s="401">
        <v>-3.3320000000000002E-2</v>
      </c>
      <c r="S33"/>
    </row>
    <row r="34" spans="1:22" ht="17.25" customHeight="1" x14ac:dyDescent="0.25">
      <c r="A34" s="381" t="s">
        <v>144</v>
      </c>
      <c r="B34" s="388">
        <v>45931</v>
      </c>
      <c r="C34" s="402">
        <v>3.3000000000000002E-2</v>
      </c>
      <c r="D34" s="379"/>
      <c r="E34" s="398">
        <v>250000000</v>
      </c>
      <c r="F34" s="399"/>
      <c r="G34" s="398">
        <v>8250000</v>
      </c>
      <c r="H34" s="379"/>
      <c r="I34" s="398">
        <v>201424.99211956558</v>
      </c>
      <c r="J34" s="392" t="s">
        <v>139</v>
      </c>
      <c r="K34" s="391"/>
      <c r="L34" s="398"/>
      <c r="M34" s="409"/>
      <c r="N34" s="398"/>
      <c r="O34" s="374"/>
      <c r="P34" s="398">
        <v>8451424.9921195656</v>
      </c>
      <c r="Q34" s="374"/>
      <c r="R34" s="401">
        <v>3.381E-2</v>
      </c>
      <c r="S34"/>
    </row>
    <row r="35" spans="1:22" ht="17.25" customHeight="1" x14ac:dyDescent="0.25">
      <c r="A35" s="381" t="s">
        <v>140</v>
      </c>
      <c r="B35" s="388">
        <v>45931</v>
      </c>
      <c r="C35" s="402">
        <v>3.3000000000000002E-2</v>
      </c>
      <c r="D35" s="379"/>
      <c r="E35" s="398">
        <v>-89509.124285714308</v>
      </c>
      <c r="F35" s="399"/>
      <c r="G35" s="398"/>
      <c r="H35" s="379"/>
      <c r="I35" s="398">
        <v>10732.368750000016</v>
      </c>
      <c r="J35" s="392" t="s">
        <v>139</v>
      </c>
      <c r="K35" s="391"/>
      <c r="L35" s="398"/>
      <c r="M35" s="409"/>
      <c r="N35" s="398"/>
      <c r="O35" s="374"/>
      <c r="P35" s="398">
        <v>10732.368750000016</v>
      </c>
      <c r="Q35" s="374"/>
      <c r="R35" s="401">
        <v>-0.11990000000000001</v>
      </c>
      <c r="S35"/>
    </row>
    <row r="36" spans="1:22" ht="17.25" customHeight="1" x14ac:dyDescent="0.25">
      <c r="A36" s="381" t="s">
        <v>145</v>
      </c>
      <c r="B36" s="388">
        <v>45931</v>
      </c>
      <c r="C36" s="402"/>
      <c r="D36" s="379"/>
      <c r="E36" s="398"/>
      <c r="F36" s="399"/>
      <c r="G36" s="398">
        <v>1405379.6741847829</v>
      </c>
      <c r="H36" s="379"/>
      <c r="I36" s="398"/>
      <c r="J36" s="392"/>
      <c r="K36" s="391"/>
      <c r="L36" s="398"/>
      <c r="M36" s="409"/>
      <c r="N36" s="398"/>
      <c r="O36" s="374"/>
      <c r="P36" s="398">
        <v>1405379.6741847829</v>
      </c>
      <c r="Q36" s="374"/>
      <c r="R36" s="401">
        <v>9.9839999999999998E-2</v>
      </c>
      <c r="S36"/>
    </row>
    <row r="37" spans="1:22" ht="17.25" customHeight="1" x14ac:dyDescent="0.25">
      <c r="A37" s="381" t="s">
        <v>146</v>
      </c>
      <c r="B37" s="388">
        <v>53236</v>
      </c>
      <c r="C37" s="402">
        <v>4.3749999999999997E-2</v>
      </c>
      <c r="D37" s="379"/>
      <c r="E37" s="398">
        <v>250000000</v>
      </c>
      <c r="F37" s="399"/>
      <c r="G37" s="398">
        <v>10937500</v>
      </c>
      <c r="H37" s="379"/>
      <c r="I37" s="398">
        <v>85849.150543477852</v>
      </c>
      <c r="J37" s="392" t="s">
        <v>139</v>
      </c>
      <c r="K37" s="391"/>
      <c r="L37" s="398"/>
      <c r="M37" s="409"/>
      <c r="N37" s="398"/>
      <c r="O37" s="374"/>
      <c r="P37" s="398">
        <v>11023349.150543477</v>
      </c>
      <c r="Q37" s="374"/>
      <c r="R37" s="401">
        <v>4.4089999999999997E-2</v>
      </c>
      <c r="S37"/>
    </row>
    <row r="38" spans="1:22" ht="17.25" customHeight="1" x14ac:dyDescent="0.25">
      <c r="A38" s="381" t="s">
        <v>140</v>
      </c>
      <c r="B38" s="388">
        <v>53236</v>
      </c>
      <c r="C38" s="402">
        <v>4.3749999999999997E-2</v>
      </c>
      <c r="D38" s="379"/>
      <c r="E38" s="398">
        <v>-195917.08285714284</v>
      </c>
      <c r="F38" s="399"/>
      <c r="G38" s="398"/>
      <c r="H38" s="379"/>
      <c r="I38" s="398">
        <v>6909.7277173913126</v>
      </c>
      <c r="J38" s="392" t="s">
        <v>139</v>
      </c>
      <c r="K38" s="391"/>
      <c r="L38" s="398"/>
      <c r="M38" s="409"/>
      <c r="N38" s="398"/>
      <c r="O38" s="374"/>
      <c r="P38" s="398">
        <v>6909.7277173913126</v>
      </c>
      <c r="Q38" s="374"/>
      <c r="R38" s="401">
        <v>-3.5270000000000003E-2</v>
      </c>
      <c r="S38"/>
    </row>
    <row r="39" spans="1:22" ht="17.25" customHeight="1" x14ac:dyDescent="0.25">
      <c r="A39" s="381" t="s">
        <v>145</v>
      </c>
      <c r="B39" s="388">
        <v>53236</v>
      </c>
      <c r="C39" s="389"/>
      <c r="D39" s="379"/>
      <c r="E39" s="398"/>
      <c r="F39" s="399"/>
      <c r="G39" s="398">
        <v>986056.18858695682</v>
      </c>
      <c r="H39" s="379"/>
      <c r="I39" s="398"/>
      <c r="J39" s="392"/>
      <c r="K39" s="391"/>
      <c r="L39" s="398"/>
      <c r="M39" s="409"/>
      <c r="N39" s="398"/>
      <c r="O39" s="374"/>
      <c r="P39" s="398">
        <v>986056.18858695682</v>
      </c>
      <c r="Q39" s="374"/>
      <c r="R39" s="401">
        <v>3.3300000000000003E-2</v>
      </c>
      <c r="S39"/>
    </row>
    <row r="40" spans="1:22" ht="17.25" customHeight="1" x14ac:dyDescent="0.25">
      <c r="A40" s="381"/>
      <c r="B40" s="388"/>
      <c r="C40" s="402"/>
      <c r="D40" s="379"/>
      <c r="E40" s="398"/>
      <c r="F40" s="379"/>
      <c r="G40" s="398"/>
      <c r="H40" s="379"/>
      <c r="I40" s="398"/>
      <c r="J40" s="392"/>
      <c r="K40" s="391"/>
      <c r="L40" s="398"/>
      <c r="M40" s="409"/>
      <c r="N40" s="398"/>
      <c r="O40" s="374"/>
      <c r="P40" s="398"/>
      <c r="Q40" s="374"/>
      <c r="R40" s="401"/>
      <c r="S40"/>
    </row>
    <row r="41" spans="1:22" x14ac:dyDescent="0.25">
      <c r="A41" s="381" t="s">
        <v>147</v>
      </c>
      <c r="B41" s="388">
        <v>44196</v>
      </c>
      <c r="C41" s="412"/>
      <c r="D41" s="379"/>
      <c r="E41" s="398"/>
      <c r="F41" s="379"/>
      <c r="G41" s="398"/>
      <c r="H41" s="379"/>
      <c r="I41" s="413">
        <v>454870.79592391331</v>
      </c>
      <c r="J41" s="399"/>
      <c r="K41" s="544">
        <v>1</v>
      </c>
      <c r="L41" s="398">
        <v>0</v>
      </c>
      <c r="M41" s="399"/>
      <c r="N41" s="398">
        <v>405555.55555555556</v>
      </c>
      <c r="O41" s="374" t="s">
        <v>148</v>
      </c>
      <c r="P41" s="398">
        <v>860426.35147946887</v>
      </c>
      <c r="Q41" s="374"/>
      <c r="R41" s="401">
        <v>2.9059999999999999E-2</v>
      </c>
      <c r="S41"/>
      <c r="V41" s="239"/>
    </row>
    <row r="42" spans="1:22" x14ac:dyDescent="0.25">
      <c r="A42" s="414" t="s">
        <v>149</v>
      </c>
      <c r="B42" s="415">
        <v>44105</v>
      </c>
      <c r="C42" s="412"/>
      <c r="D42" s="379"/>
      <c r="E42" s="398"/>
      <c r="F42" s="379"/>
      <c r="G42" s="398"/>
      <c r="H42" s="379"/>
      <c r="I42" s="413">
        <v>245935.77010869575</v>
      </c>
      <c r="J42" s="399"/>
      <c r="K42" s="373"/>
      <c r="L42" s="398">
        <v>103933.05570652176</v>
      </c>
      <c r="M42" s="379"/>
      <c r="N42" s="398"/>
      <c r="O42" s="374"/>
      <c r="P42" s="398">
        <v>349868.82581521751</v>
      </c>
      <c r="Q42" s="374"/>
      <c r="R42" s="401">
        <v>1.1820000000000001E-2</v>
      </c>
      <c r="S42"/>
      <c r="T42" s="241"/>
      <c r="U42" s="242"/>
    </row>
    <row r="43" spans="1:22" ht="16.5" thickBot="1" x14ac:dyDescent="0.3">
      <c r="A43" s="381"/>
      <c r="B43" s="388"/>
      <c r="C43" s="402"/>
      <c r="D43" s="379"/>
      <c r="E43" s="398"/>
      <c r="F43" s="379"/>
      <c r="G43" s="398"/>
      <c r="H43" s="379"/>
      <c r="I43" s="398"/>
      <c r="J43" s="392"/>
      <c r="K43" s="391"/>
      <c r="L43" s="398"/>
      <c r="M43" s="409"/>
      <c r="N43" s="398"/>
      <c r="O43" s="374"/>
      <c r="P43" s="398"/>
      <c r="Q43" s="374"/>
      <c r="R43" s="401"/>
      <c r="S43"/>
    </row>
    <row r="44" spans="1:22" ht="16.5" thickBot="1" x14ac:dyDescent="0.3">
      <c r="A44" s="387" t="s">
        <v>150</v>
      </c>
      <c r="B44" s="403"/>
      <c r="C44" s="404"/>
      <c r="D44" s="379"/>
      <c r="E44" s="405">
        <v>1991117238.0828574</v>
      </c>
      <c r="F44" s="406"/>
      <c r="G44" s="405">
        <v>86457786.779891297</v>
      </c>
      <c r="H44" s="406"/>
      <c r="I44" s="405">
        <v>2288688.2239130433</v>
      </c>
      <c r="J44" s="406"/>
      <c r="K44" s="396"/>
      <c r="L44" s="405">
        <v>103933.05570652176</v>
      </c>
      <c r="M44" s="407"/>
      <c r="N44" s="405">
        <v>405555.55555555556</v>
      </c>
      <c r="O44" s="396"/>
      <c r="P44" s="405">
        <v>89255963.615066409</v>
      </c>
      <c r="Q44" s="374"/>
      <c r="R44" s="408">
        <v>4.4830000000000002E-2</v>
      </c>
      <c r="S44"/>
    </row>
    <row r="45" spans="1:22" x14ac:dyDescent="0.25">
      <c r="A45" s="381"/>
      <c r="B45" s="403"/>
      <c r="C45" s="404"/>
      <c r="D45" s="379"/>
      <c r="E45" s="391"/>
      <c r="F45" s="392"/>
      <c r="G45" s="391"/>
      <c r="H45" s="379"/>
      <c r="I45" s="391"/>
      <c r="J45" s="392"/>
      <c r="K45" s="391"/>
      <c r="L45" s="390"/>
      <c r="M45" s="393"/>
      <c r="N45" s="390"/>
      <c r="O45" s="374"/>
      <c r="P45" s="390"/>
      <c r="Q45" s="374"/>
      <c r="R45" s="401"/>
      <c r="S45"/>
    </row>
    <row r="46" spans="1:22" x14ac:dyDescent="0.25">
      <c r="A46" s="381" t="s">
        <v>151</v>
      </c>
      <c r="B46" s="388"/>
      <c r="C46" s="402"/>
      <c r="D46" s="379"/>
      <c r="E46" s="396">
        <v>0</v>
      </c>
      <c r="F46" s="406"/>
      <c r="G46" s="396">
        <v>0</v>
      </c>
      <c r="H46" s="406"/>
      <c r="I46" s="396">
        <v>0</v>
      </c>
      <c r="J46" s="406"/>
      <c r="K46" s="396"/>
      <c r="L46" s="396">
        <v>0</v>
      </c>
      <c r="M46" s="406"/>
      <c r="N46" s="396">
        <v>0</v>
      </c>
      <c r="O46" s="396"/>
      <c r="P46" s="396">
        <v>0</v>
      </c>
      <c r="Q46" s="374"/>
      <c r="R46" s="401"/>
      <c r="S46"/>
    </row>
    <row r="47" spans="1:22" ht="16.5" thickBot="1" x14ac:dyDescent="0.3">
      <c r="A47" s="381"/>
      <c r="B47" s="388"/>
      <c r="C47" s="402"/>
      <c r="D47" s="379"/>
      <c r="E47" s="398"/>
      <c r="F47" s="379"/>
      <c r="G47" s="390"/>
      <c r="H47" s="379"/>
      <c r="I47" s="398">
        <v>0</v>
      </c>
      <c r="J47" s="416"/>
      <c r="K47" s="417"/>
      <c r="L47" s="398">
        <v>0</v>
      </c>
      <c r="M47" s="409"/>
      <c r="N47" s="398">
        <v>0</v>
      </c>
      <c r="O47" s="374"/>
      <c r="P47" s="398">
        <v>0</v>
      </c>
      <c r="Q47" s="374"/>
      <c r="R47" s="401"/>
      <c r="S47"/>
      <c r="U47" s="243"/>
    </row>
    <row r="48" spans="1:22" ht="16.5" thickBot="1" x14ac:dyDescent="0.3">
      <c r="A48" s="387" t="s">
        <v>152</v>
      </c>
      <c r="B48" s="388"/>
      <c r="C48" s="389"/>
      <c r="D48" s="379"/>
      <c r="E48" s="405">
        <v>0</v>
      </c>
      <c r="F48" s="406"/>
      <c r="G48" s="405">
        <v>0</v>
      </c>
      <c r="H48" s="406"/>
      <c r="I48" s="405">
        <v>0</v>
      </c>
      <c r="J48" s="406"/>
      <c r="K48" s="396"/>
      <c r="L48" s="405">
        <v>0</v>
      </c>
      <c r="M48" s="407"/>
      <c r="N48" s="405">
        <v>0</v>
      </c>
      <c r="O48" s="396"/>
      <c r="P48" s="405">
        <v>0</v>
      </c>
      <c r="Q48" s="374"/>
      <c r="R48" s="408">
        <v>0</v>
      </c>
      <c r="S48"/>
    </row>
    <row r="49" spans="1:19" ht="16.5" thickBot="1" x14ac:dyDescent="0.3">
      <c r="A49" s="381"/>
      <c r="B49" s="373"/>
      <c r="C49" s="404"/>
      <c r="D49" s="379"/>
      <c r="E49" s="390"/>
      <c r="F49" s="379"/>
      <c r="G49" s="390"/>
      <c r="H49" s="379"/>
      <c r="I49" s="391"/>
      <c r="J49" s="392"/>
      <c r="K49" s="391"/>
      <c r="L49" s="390"/>
      <c r="M49" s="393"/>
      <c r="N49" s="390"/>
      <c r="O49" s="390"/>
      <c r="P49" s="390"/>
      <c r="Q49" s="374"/>
      <c r="R49" s="401"/>
      <c r="S49"/>
    </row>
    <row r="50" spans="1:19" ht="16.5" thickBot="1" x14ac:dyDescent="0.3">
      <c r="A50" s="381"/>
      <c r="B50" s="373"/>
      <c r="C50" s="404" t="s">
        <v>119</v>
      </c>
      <c r="D50" s="379"/>
      <c r="E50" s="418">
        <v>2341896643.0828571</v>
      </c>
      <c r="F50" s="396"/>
      <c r="G50" s="418">
        <v>91044442.779891297</v>
      </c>
      <c r="H50" s="406"/>
      <c r="I50" s="418">
        <v>2647596.3342391299</v>
      </c>
      <c r="J50" s="406"/>
      <c r="K50" s="396"/>
      <c r="L50" s="418">
        <v>634612.11005434801</v>
      </c>
      <c r="M50" s="419"/>
      <c r="N50" s="418">
        <v>1922545.2503805554</v>
      </c>
      <c r="O50" s="396"/>
      <c r="P50" s="418">
        <v>96249196.474565327</v>
      </c>
      <c r="Q50" s="374"/>
      <c r="R50" s="408">
        <v>4.1099999999999998E-2</v>
      </c>
      <c r="S50"/>
    </row>
    <row r="51" spans="1:19" ht="16.5" thickTop="1" x14ac:dyDescent="0.25">
      <c r="A51" s="420"/>
      <c r="B51" s="383"/>
      <c r="C51" s="421"/>
      <c r="D51" s="422"/>
      <c r="E51" s="423"/>
      <c r="F51" s="424"/>
      <c r="G51" s="423"/>
      <c r="H51" s="422"/>
      <c r="I51" s="423"/>
      <c r="J51" s="425"/>
      <c r="K51" s="390"/>
      <c r="L51" s="373"/>
      <c r="M51" s="379"/>
      <c r="N51" s="423"/>
      <c r="O51" s="423"/>
      <c r="P51" s="423"/>
      <c r="Q51" s="424"/>
      <c r="R51" s="426"/>
      <c r="S51"/>
    </row>
    <row r="52" spans="1:19" x14ac:dyDescent="0.25">
      <c r="A52" s="427"/>
      <c r="B52" s="428"/>
      <c r="C52" s="429"/>
      <c r="D52" s="430"/>
      <c r="E52" s="431"/>
      <c r="F52" s="411"/>
      <c r="G52" s="431"/>
      <c r="H52" s="432"/>
      <c r="I52" s="431"/>
      <c r="J52" s="375"/>
      <c r="K52" s="433"/>
      <c r="L52" s="434"/>
      <c r="M52" s="435"/>
      <c r="N52" s="431"/>
      <c r="O52" s="431"/>
      <c r="P52" s="431"/>
      <c r="Q52" s="427"/>
      <c r="R52" s="436"/>
      <c r="S52"/>
    </row>
    <row r="53" spans="1:19" s="247" customFormat="1" x14ac:dyDescent="0.25">
      <c r="A53" s="427"/>
      <c r="B53" s="428"/>
      <c r="C53" s="429"/>
      <c r="D53" s="430"/>
      <c r="E53" s="431"/>
      <c r="F53" s="411"/>
      <c r="G53" s="431"/>
      <c r="H53" s="432"/>
      <c r="I53" s="431"/>
      <c r="J53" s="375"/>
      <c r="K53" s="437"/>
      <c r="L53" s="431"/>
      <c r="M53" s="438"/>
      <c r="N53" s="431"/>
      <c r="O53" s="431"/>
      <c r="P53" s="431"/>
      <c r="Q53" s="427"/>
      <c r="R53" s="436"/>
      <c r="S53"/>
    </row>
    <row r="54" spans="1:19" x14ac:dyDescent="0.25">
      <c r="A54" s="439"/>
      <c r="B54" s="428"/>
      <c r="C54" s="429"/>
      <c r="D54" s="430"/>
      <c r="E54" s="431"/>
      <c r="F54" s="411"/>
      <c r="G54" s="431"/>
      <c r="H54" s="432"/>
      <c r="I54" s="431"/>
      <c r="J54" s="438"/>
      <c r="K54" s="431"/>
      <c r="L54" s="431"/>
      <c r="M54" s="438"/>
      <c r="N54" s="431"/>
      <c r="O54" s="431"/>
      <c r="P54" s="431"/>
      <c r="Q54" s="427"/>
      <c r="R54" s="436"/>
      <c r="S54"/>
    </row>
    <row r="55" spans="1:19" x14ac:dyDescent="0.25">
      <c r="A55" s="427"/>
      <c r="B55" s="428"/>
      <c r="C55" s="429"/>
      <c r="D55" s="430"/>
      <c r="E55" s="431"/>
      <c r="F55" s="411"/>
      <c r="G55" s="431"/>
      <c r="H55" s="430"/>
      <c r="I55" s="431"/>
      <c r="J55" s="438"/>
      <c r="K55" s="431"/>
      <c r="L55" s="431"/>
      <c r="M55" s="438"/>
      <c r="N55" s="431"/>
      <c r="O55" s="431"/>
      <c r="P55" s="431"/>
      <c r="Q55" s="427"/>
      <c r="R55" s="436"/>
      <c r="S55"/>
    </row>
    <row r="56" spans="1:19" ht="20.25" x14ac:dyDescent="0.3">
      <c r="A56" s="613" t="s">
        <v>153</v>
      </c>
      <c r="B56" s="616"/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617"/>
      <c r="S56"/>
    </row>
    <row r="57" spans="1:19" x14ac:dyDescent="0.25">
      <c r="A57" s="381"/>
      <c r="B57" s="373"/>
      <c r="C57" s="374"/>
      <c r="D57" s="375"/>
      <c r="E57" s="374"/>
      <c r="F57" s="376"/>
      <c r="G57" s="374"/>
      <c r="H57" s="375"/>
      <c r="I57" s="374"/>
      <c r="J57" s="375"/>
      <c r="K57" s="374"/>
      <c r="L57" s="374"/>
      <c r="M57" s="375"/>
      <c r="N57" s="374"/>
      <c r="O57" s="374"/>
      <c r="P57" s="374"/>
      <c r="Q57" s="374"/>
      <c r="R57" s="377"/>
      <c r="S57"/>
    </row>
    <row r="58" spans="1:19" x14ac:dyDescent="0.25">
      <c r="A58" s="381"/>
      <c r="B58" s="373"/>
      <c r="C58" s="374"/>
      <c r="D58" s="379"/>
      <c r="E58" s="374"/>
      <c r="F58" s="374"/>
      <c r="G58" s="605" t="s">
        <v>109</v>
      </c>
      <c r="H58" s="605"/>
      <c r="I58" s="605"/>
      <c r="J58" s="605"/>
      <c r="K58" s="605"/>
      <c r="L58" s="605"/>
      <c r="M58" s="605"/>
      <c r="N58" s="605"/>
      <c r="O58" s="605"/>
      <c r="P58" s="605"/>
      <c r="Q58" s="374"/>
      <c r="R58" s="377"/>
      <c r="S58"/>
    </row>
    <row r="59" spans="1:19" x14ac:dyDescent="0.25">
      <c r="A59" s="381"/>
      <c r="B59" s="373"/>
      <c r="C59" s="374"/>
      <c r="D59" s="379"/>
      <c r="E59" s="374"/>
      <c r="F59" s="374"/>
      <c r="G59" s="374"/>
      <c r="H59" s="379"/>
      <c r="I59" s="374"/>
      <c r="J59" s="379"/>
      <c r="K59" s="374"/>
      <c r="L59" s="374"/>
      <c r="M59" s="379"/>
      <c r="N59" s="374"/>
      <c r="O59" s="374"/>
      <c r="P59" s="374"/>
      <c r="Q59" s="374"/>
      <c r="R59" s="380" t="s">
        <v>113</v>
      </c>
      <c r="S59"/>
    </row>
    <row r="60" spans="1:19" x14ac:dyDescent="0.25">
      <c r="A60" s="381"/>
      <c r="B60" s="373" t="s">
        <v>154</v>
      </c>
      <c r="C60" s="382" t="s">
        <v>239</v>
      </c>
      <c r="D60" s="379"/>
      <c r="E60" s="382" t="s">
        <v>240</v>
      </c>
      <c r="F60" s="374"/>
      <c r="G60" s="382" t="s">
        <v>241</v>
      </c>
      <c r="H60" s="379"/>
      <c r="I60" s="382" t="s">
        <v>242</v>
      </c>
      <c r="J60" s="379"/>
      <c r="K60" s="373"/>
      <c r="L60" s="382" t="s">
        <v>243</v>
      </c>
      <c r="M60" s="440"/>
      <c r="N60" s="382" t="s">
        <v>155</v>
      </c>
      <c r="O60" s="373"/>
      <c r="P60" s="382" t="s">
        <v>244</v>
      </c>
      <c r="Q60" s="374"/>
      <c r="R60" s="441" t="s">
        <v>245</v>
      </c>
      <c r="S60"/>
    </row>
    <row r="61" spans="1:19" x14ac:dyDescent="0.25">
      <c r="A61" s="381"/>
      <c r="B61" s="373"/>
      <c r="C61" s="374"/>
      <c r="D61" s="379"/>
      <c r="E61" s="374"/>
      <c r="F61" s="374"/>
      <c r="G61" s="374"/>
      <c r="H61" s="379"/>
      <c r="I61" s="374"/>
      <c r="J61" s="379"/>
      <c r="K61" s="374"/>
      <c r="L61" s="374"/>
      <c r="M61" s="379"/>
      <c r="N61" s="374"/>
      <c r="O61" s="374"/>
      <c r="P61" s="374"/>
      <c r="Q61" s="374"/>
      <c r="R61" s="377"/>
      <c r="S61"/>
    </row>
    <row r="62" spans="1:19" x14ac:dyDescent="0.25">
      <c r="A62" s="381" t="s">
        <v>156</v>
      </c>
      <c r="B62" s="373" t="s">
        <v>157</v>
      </c>
      <c r="C62" s="389">
        <v>0</v>
      </c>
      <c r="D62" s="395" t="s">
        <v>123</v>
      </c>
      <c r="E62" s="442">
        <v>0</v>
      </c>
      <c r="F62" s="396"/>
      <c r="G62" s="396">
        <v>0</v>
      </c>
      <c r="H62" s="406"/>
      <c r="I62" s="443">
        <v>0</v>
      </c>
      <c r="J62" s="406"/>
      <c r="K62" s="443"/>
      <c r="L62" s="443">
        <v>0</v>
      </c>
      <c r="M62" s="406"/>
      <c r="N62" s="443">
        <v>0</v>
      </c>
      <c r="O62" s="396"/>
      <c r="P62" s="396">
        <v>0</v>
      </c>
      <c r="Q62" s="374"/>
      <c r="R62" s="401">
        <v>0</v>
      </c>
      <c r="S62"/>
    </row>
    <row r="63" spans="1:19" x14ac:dyDescent="0.25">
      <c r="A63" s="381" t="s">
        <v>158</v>
      </c>
      <c r="B63" s="373"/>
      <c r="C63" s="389"/>
      <c r="D63" s="379"/>
      <c r="E63" s="398">
        <v>0</v>
      </c>
      <c r="F63" s="396"/>
      <c r="G63" s="398">
        <v>0</v>
      </c>
      <c r="H63" s="406"/>
      <c r="I63" s="413">
        <v>0</v>
      </c>
      <c r="J63" s="406"/>
      <c r="K63" s="443"/>
      <c r="L63" s="413">
        <v>0</v>
      </c>
      <c r="M63" s="409"/>
      <c r="N63" s="413">
        <v>0</v>
      </c>
      <c r="O63" s="396"/>
      <c r="P63" s="398">
        <v>0</v>
      </c>
      <c r="Q63" s="374"/>
      <c r="R63" s="401">
        <v>0</v>
      </c>
      <c r="S63"/>
    </row>
    <row r="64" spans="1:19" x14ac:dyDescent="0.25">
      <c r="A64" s="381" t="s">
        <v>159</v>
      </c>
      <c r="B64" s="373" t="s">
        <v>160</v>
      </c>
      <c r="C64" s="389">
        <v>1.234E-2</v>
      </c>
      <c r="D64" s="379"/>
      <c r="E64" s="444">
        <v>25968724.489999998</v>
      </c>
      <c r="F64" s="374"/>
      <c r="G64" s="445">
        <v>320454.0602066</v>
      </c>
      <c r="H64" s="379"/>
      <c r="I64" s="446">
        <v>0</v>
      </c>
      <c r="J64" s="379"/>
      <c r="K64" s="374"/>
      <c r="L64" s="446">
        <v>0</v>
      </c>
      <c r="M64" s="447"/>
      <c r="N64" s="446">
        <v>0</v>
      </c>
      <c r="O64" s="374"/>
      <c r="P64" s="445">
        <v>320454.0602066</v>
      </c>
      <c r="Q64" s="374"/>
      <c r="R64" s="448">
        <v>1.234E-2</v>
      </c>
      <c r="S64"/>
    </row>
    <row r="65" spans="1:20" ht="16.5" thickBot="1" x14ac:dyDescent="0.3">
      <c r="A65" s="381"/>
      <c r="B65" s="373"/>
      <c r="C65" s="374"/>
      <c r="D65" s="379"/>
      <c r="E65" s="391"/>
      <c r="F65" s="374"/>
      <c r="G65" s="391"/>
      <c r="H65" s="379"/>
      <c r="I65" s="374"/>
      <c r="J65" s="379"/>
      <c r="K65" s="374"/>
      <c r="L65" s="391"/>
      <c r="M65" s="392"/>
      <c r="N65" s="391"/>
      <c r="O65" s="374"/>
      <c r="P65" s="391"/>
      <c r="Q65" s="374"/>
      <c r="R65" s="401"/>
      <c r="S65"/>
    </row>
    <row r="66" spans="1:20" ht="16.5" thickBot="1" x14ac:dyDescent="0.3">
      <c r="A66" s="381"/>
      <c r="B66" s="373"/>
      <c r="C66" s="374" t="s">
        <v>119</v>
      </c>
      <c r="D66" s="379"/>
      <c r="E66" s="449">
        <v>25968724.489999998</v>
      </c>
      <c r="F66" s="396"/>
      <c r="G66" s="418">
        <v>320454.0602066</v>
      </c>
      <c r="H66" s="406"/>
      <c r="I66" s="450">
        <v>0</v>
      </c>
      <c r="J66" s="406"/>
      <c r="K66" s="443"/>
      <c r="L66" s="450">
        <v>0</v>
      </c>
      <c r="M66" s="419"/>
      <c r="N66" s="450">
        <v>0</v>
      </c>
      <c r="O66" s="396"/>
      <c r="P66" s="418">
        <v>320454.0602066</v>
      </c>
      <c r="Q66" s="374"/>
      <c r="R66" s="451">
        <v>1.234E-2</v>
      </c>
      <c r="S66"/>
    </row>
    <row r="67" spans="1:20" ht="16.5" thickTop="1" x14ac:dyDescent="0.25">
      <c r="A67" s="420"/>
      <c r="B67" s="383"/>
      <c r="C67" s="424"/>
      <c r="D67" s="422"/>
      <c r="E67" s="424"/>
      <c r="F67" s="424"/>
      <c r="G67" s="452"/>
      <c r="H67" s="422"/>
      <c r="I67" s="424"/>
      <c r="J67" s="422"/>
      <c r="K67" s="424"/>
      <c r="L67" s="452"/>
      <c r="M67" s="453"/>
      <c r="N67" s="452"/>
      <c r="O67" s="424"/>
      <c r="P67" s="424"/>
      <c r="Q67" s="424"/>
      <c r="R67" s="448"/>
      <c r="S67"/>
    </row>
    <row r="68" spans="1:20" ht="16.5" thickBot="1" x14ac:dyDescent="0.3">
      <c r="A68" s="427"/>
      <c r="B68" s="428"/>
      <c r="C68" s="429"/>
      <c r="D68" s="410"/>
      <c r="E68" s="431"/>
      <c r="F68" s="427"/>
      <c r="G68" s="431"/>
      <c r="H68" s="410"/>
      <c r="I68" s="427"/>
      <c r="J68" s="410"/>
      <c r="K68" s="427"/>
      <c r="L68" s="427"/>
      <c r="M68" s="410"/>
      <c r="N68" s="427"/>
      <c r="O68" s="427"/>
      <c r="P68" s="431"/>
      <c r="Q68" s="427"/>
      <c r="R68" s="454"/>
      <c r="S68"/>
    </row>
    <row r="69" spans="1:20" ht="16.5" thickBot="1" x14ac:dyDescent="0.3">
      <c r="A69" s="427" t="s">
        <v>161</v>
      </c>
      <c r="B69" s="428"/>
      <c r="C69" s="429"/>
      <c r="D69" s="410"/>
      <c r="E69" s="455">
        <v>2367865367.5728569</v>
      </c>
      <c r="F69" s="456"/>
      <c r="G69" s="455">
        <v>91364896.840097904</v>
      </c>
      <c r="H69" s="457"/>
      <c r="I69" s="455">
        <v>2647596.3342391299</v>
      </c>
      <c r="J69" s="457"/>
      <c r="K69" s="456"/>
      <c r="L69" s="455">
        <v>634612.11005434801</v>
      </c>
      <c r="M69" s="458"/>
      <c r="N69" s="455">
        <v>1922545.2503805554</v>
      </c>
      <c r="O69" s="456"/>
      <c r="P69" s="455">
        <v>96569650.534771934</v>
      </c>
      <c r="Q69" s="427"/>
      <c r="R69" s="451">
        <v>4.0779999999999997E-2</v>
      </c>
      <c r="S69"/>
    </row>
    <row r="70" spans="1:20" ht="16.5" thickTop="1" x14ac:dyDescent="0.25">
      <c r="A70" s="427"/>
      <c r="B70" s="428"/>
      <c r="C70" s="429"/>
      <c r="D70" s="410"/>
      <c r="E70" s="431"/>
      <c r="F70" s="427"/>
      <c r="G70" s="431"/>
      <c r="H70" s="410"/>
      <c r="I70" s="427"/>
      <c r="J70" s="410"/>
      <c r="K70" s="427"/>
      <c r="L70" s="427"/>
      <c r="M70" s="410"/>
      <c r="N70" s="427"/>
      <c r="O70" s="427"/>
      <c r="P70" s="431"/>
      <c r="Q70" s="427"/>
      <c r="R70" s="459"/>
      <c r="S70"/>
    </row>
    <row r="71" spans="1:20" ht="15" customHeight="1" x14ac:dyDescent="0.25">
      <c r="A71" s="427" t="s">
        <v>162</v>
      </c>
      <c r="B71" s="428"/>
      <c r="C71" s="429"/>
      <c r="D71" s="410"/>
      <c r="E71" s="431"/>
      <c r="F71" s="427"/>
      <c r="G71" s="431"/>
      <c r="H71" s="410"/>
      <c r="I71" s="427"/>
      <c r="J71" s="410"/>
      <c r="K71" s="427"/>
      <c r="L71" s="427"/>
      <c r="M71" s="410"/>
      <c r="N71" s="427"/>
      <c r="O71" s="427"/>
      <c r="P71" s="460"/>
      <c r="Q71" s="427"/>
      <c r="R71" s="454"/>
      <c r="S71"/>
    </row>
    <row r="72" spans="1:20" x14ac:dyDescent="0.25">
      <c r="A72" s="427" t="s">
        <v>163</v>
      </c>
      <c r="B72" s="428"/>
      <c r="C72" s="427"/>
      <c r="D72" s="410"/>
      <c r="E72" s="427"/>
      <c r="F72" s="427"/>
      <c r="G72" s="427"/>
      <c r="H72" s="410"/>
      <c r="I72" s="427"/>
      <c r="J72" s="410"/>
      <c r="K72" s="427"/>
      <c r="L72" s="427"/>
      <c r="M72" s="410"/>
      <c r="N72" s="427"/>
      <c r="O72" s="427"/>
      <c r="P72" s="427"/>
      <c r="Q72" s="427"/>
      <c r="R72" s="454"/>
      <c r="S72"/>
      <c r="T72" s="248"/>
    </row>
    <row r="73" spans="1:20" x14ac:dyDescent="0.25">
      <c r="A73" s="427"/>
      <c r="B73" s="428"/>
      <c r="C73" s="427"/>
      <c r="D73" s="410"/>
      <c r="E73" s="427"/>
      <c r="F73" s="427"/>
      <c r="G73" s="427"/>
      <c r="H73" s="410"/>
      <c r="I73" s="427"/>
      <c r="J73" s="410"/>
      <c r="K73" s="427"/>
      <c r="L73" s="427"/>
      <c r="M73" s="410"/>
      <c r="N73" s="427"/>
      <c r="O73" s="427"/>
      <c r="P73" s="427"/>
      <c r="Q73" s="427"/>
      <c r="R73" s="436"/>
      <c r="S73"/>
    </row>
    <row r="74" spans="1:20" ht="15.75" customHeight="1" x14ac:dyDescent="0.25">
      <c r="A74" s="618" t="s">
        <v>276</v>
      </c>
      <c r="B74" s="618"/>
      <c r="C74" s="618"/>
      <c r="D74" s="618"/>
      <c r="E74" s="618"/>
      <c r="F74" s="618"/>
      <c r="G74" s="618"/>
      <c r="H74" s="410"/>
      <c r="I74" s="427"/>
      <c r="J74" s="410"/>
      <c r="K74" s="427"/>
      <c r="L74" s="431"/>
      <c r="M74" s="461"/>
      <c r="N74" s="431"/>
      <c r="O74" s="431"/>
      <c r="P74" s="427"/>
      <c r="Q74" s="427"/>
      <c r="R74" s="436"/>
      <c r="S74"/>
    </row>
    <row r="75" spans="1:20" x14ac:dyDescent="0.25">
      <c r="A75" s="462"/>
      <c r="B75" s="462"/>
      <c r="C75" s="462"/>
      <c r="D75" s="463"/>
      <c r="E75" s="462"/>
      <c r="F75" s="427"/>
      <c r="G75" s="427"/>
      <c r="H75" s="410"/>
      <c r="I75" s="427"/>
      <c r="J75" s="410"/>
      <c r="K75" s="427"/>
      <c r="L75" s="431"/>
      <c r="M75" s="461"/>
      <c r="N75" s="431"/>
      <c r="O75" s="431"/>
      <c r="P75" s="427"/>
      <c r="Q75" s="427"/>
      <c r="R75" s="436"/>
      <c r="S75"/>
    </row>
    <row r="76" spans="1:20" x14ac:dyDescent="0.25">
      <c r="A76" s="427" t="s">
        <v>164</v>
      </c>
      <c r="B76" s="428"/>
      <c r="C76" s="427"/>
      <c r="D76" s="410"/>
      <c r="E76" s="427"/>
      <c r="F76" s="427"/>
      <c r="G76" s="427"/>
      <c r="H76" s="410"/>
      <c r="I76" s="427"/>
      <c r="J76" s="410"/>
      <c r="K76" s="427"/>
      <c r="L76" s="427"/>
      <c r="M76" s="410"/>
      <c r="N76" s="427"/>
      <c r="O76" s="427"/>
      <c r="P76" s="427"/>
      <c r="Q76" s="427"/>
      <c r="R76" s="436"/>
      <c r="S76"/>
    </row>
    <row r="77" spans="1:20" x14ac:dyDescent="0.25">
      <c r="A77" s="427" t="s">
        <v>165</v>
      </c>
      <c r="B77" s="428"/>
      <c r="C77" s="427"/>
      <c r="D77" s="410"/>
      <c r="E77" s="427"/>
      <c r="F77" s="427"/>
      <c r="G77" s="427"/>
      <c r="H77" s="410"/>
      <c r="I77" s="427"/>
      <c r="J77" s="410"/>
      <c r="K77" s="427"/>
      <c r="L77" s="427"/>
      <c r="M77" s="410"/>
      <c r="N77" s="427"/>
      <c r="O77" s="427"/>
      <c r="P77" s="427"/>
      <c r="Q77" s="427"/>
      <c r="R77" s="436"/>
      <c r="S77"/>
    </row>
    <row r="78" spans="1:20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20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20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</sheetData>
  <mergeCells count="5">
    <mergeCell ref="A6:R6"/>
    <mergeCell ref="G8:P8"/>
    <mergeCell ref="A56:R56"/>
    <mergeCell ref="G58:P58"/>
    <mergeCell ref="A74:G74"/>
  </mergeCells>
  <printOptions horizontalCentered="1"/>
  <pageMargins left="0.5" right="0" top="0.75" bottom="0.75" header="0.5" footer="0.25"/>
  <pageSetup scale="41" orientation="portrait" r:id="rId1"/>
  <headerFooter scaleWithDoc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L32"/>
  <sheetViews>
    <sheetView workbookViewId="0">
      <selection activeCell="H1" sqref="H1"/>
    </sheetView>
  </sheetViews>
  <sheetFormatPr defaultRowHeight="12.75" x14ac:dyDescent="0.2"/>
  <cols>
    <col min="1" max="1" width="16.83203125" style="65" customWidth="1"/>
    <col min="2" max="2" width="17" style="65" customWidth="1"/>
    <col min="3" max="3" width="16.83203125" style="65" customWidth="1"/>
    <col min="4" max="4" width="15.83203125" style="65" customWidth="1"/>
    <col min="5" max="5" width="19.6640625" style="65" customWidth="1"/>
    <col min="6" max="6" width="16.6640625" style="65" customWidth="1"/>
    <col min="7" max="7" width="21.83203125" style="65" customWidth="1"/>
    <col min="8" max="8" width="16.83203125" style="65" customWidth="1"/>
    <col min="9" max="9" width="4.83203125" style="65" customWidth="1"/>
    <col min="10" max="10" width="17.33203125" customWidth="1"/>
    <col min="11" max="11" width="15.33203125" customWidth="1"/>
    <col min="12" max="12" width="15" customWidth="1"/>
    <col min="21" max="21" width="16.83203125" style="65" customWidth="1"/>
    <col min="22" max="22" width="24" style="65" customWidth="1"/>
    <col min="23" max="23" width="36.1640625" style="65" customWidth="1"/>
    <col min="24" max="24" width="10.83203125" style="65" customWidth="1"/>
    <col min="25" max="25" width="14.6640625" style="65" customWidth="1"/>
    <col min="26" max="26" width="16" style="65" customWidth="1"/>
    <col min="27" max="27" width="17.6640625" style="65" customWidth="1"/>
    <col min="28" max="29" width="13" style="65" customWidth="1"/>
    <col min="30" max="30" width="17" style="65" customWidth="1"/>
    <col min="31" max="31" width="10.33203125" style="65" customWidth="1"/>
    <col min="32" max="32" width="17.5" style="65" bestFit="1" customWidth="1"/>
    <col min="33" max="33" width="15.83203125" style="65" customWidth="1"/>
    <col min="34" max="34" width="19.6640625" style="65" customWidth="1"/>
    <col min="35" max="35" width="4.5" style="65" customWidth="1"/>
    <col min="36" max="36" width="20.33203125" style="67" customWidth="1"/>
    <col min="37" max="37" width="16.5" style="65" bestFit="1" customWidth="1"/>
    <col min="38" max="39" width="16.83203125" style="65" bestFit="1" customWidth="1"/>
    <col min="40" max="40" width="13.1640625" style="65" bestFit="1" customWidth="1"/>
    <col min="41" max="41" width="16" style="65" bestFit="1" customWidth="1"/>
    <col min="42" max="42" width="14.6640625" style="65" bestFit="1" customWidth="1"/>
    <col min="43" max="43" width="15.5" style="65" bestFit="1" customWidth="1"/>
    <col min="44" max="44" width="14.6640625" style="65" bestFit="1" customWidth="1"/>
    <col min="45" max="45" width="11.83203125" style="65" bestFit="1" customWidth="1"/>
    <col min="46" max="16384" width="9.33203125" style="65"/>
  </cols>
  <sheetData>
    <row r="1" spans="1:36" x14ac:dyDescent="0.2">
      <c r="A1" s="64" t="str">
        <f>'Input Tab'!B2</f>
        <v>Kentucky Utilities Company</v>
      </c>
      <c r="H1" s="66" t="s">
        <v>277</v>
      </c>
      <c r="AE1" s="64"/>
    </row>
    <row r="2" spans="1:36" x14ac:dyDescent="0.2">
      <c r="A2" s="64" t="s">
        <v>11</v>
      </c>
      <c r="H2" s="68" t="s">
        <v>190</v>
      </c>
      <c r="AE2" s="64"/>
    </row>
    <row r="3" spans="1:36" x14ac:dyDescent="0.2">
      <c r="A3" s="69" t="s">
        <v>250</v>
      </c>
      <c r="H3" s="68" t="str">
        <f>'Input Tab'!B4</f>
        <v>Rahn</v>
      </c>
      <c r="AE3" s="64"/>
    </row>
    <row r="4" spans="1:36" x14ac:dyDescent="0.2">
      <c r="I4" s="68"/>
      <c r="V4" s="68"/>
      <c r="X4" s="69"/>
      <c r="AE4" s="64"/>
      <c r="AH4" s="68"/>
    </row>
    <row r="5" spans="1:36" ht="13.5" thickBot="1" x14ac:dyDescent="0.25">
      <c r="A5" s="178"/>
      <c r="I5" s="68"/>
      <c r="V5" s="68"/>
      <c r="X5" s="69"/>
      <c r="AE5" s="64"/>
      <c r="AH5" s="68"/>
    </row>
    <row r="6" spans="1:36" ht="13.5" thickBot="1" x14ac:dyDescent="0.25">
      <c r="A6" s="591" t="s">
        <v>100</v>
      </c>
      <c r="B6" s="592"/>
      <c r="C6" s="592"/>
      <c r="D6" s="592"/>
      <c r="E6" s="592"/>
      <c r="F6" s="592"/>
      <c r="G6" s="592"/>
      <c r="H6" s="593"/>
    </row>
    <row r="7" spans="1:36" x14ac:dyDescent="0.2">
      <c r="A7" s="119">
        <v>-1</v>
      </c>
      <c r="B7" s="120">
        <f t="shared" ref="B7:H7" si="0">A7-1</f>
        <v>-2</v>
      </c>
      <c r="C7" s="120">
        <f t="shared" si="0"/>
        <v>-3</v>
      </c>
      <c r="D7" s="120">
        <f t="shared" si="0"/>
        <v>-4</v>
      </c>
      <c r="E7" s="120">
        <f t="shared" si="0"/>
        <v>-5</v>
      </c>
      <c r="F7" s="120">
        <f t="shared" si="0"/>
        <v>-6</v>
      </c>
      <c r="G7" s="120">
        <f t="shared" si="0"/>
        <v>-7</v>
      </c>
      <c r="H7" s="118">
        <f t="shared" si="0"/>
        <v>-8</v>
      </c>
      <c r="V7" s="67"/>
      <c r="AJ7" s="65"/>
    </row>
    <row r="8" spans="1:36" s="70" customFormat="1" ht="38.25" x14ac:dyDescent="0.2">
      <c r="A8" s="208" t="s">
        <v>1</v>
      </c>
      <c r="B8" s="209" t="s">
        <v>14</v>
      </c>
      <c r="C8" s="209" t="s">
        <v>12</v>
      </c>
      <c r="D8" s="209" t="s">
        <v>7</v>
      </c>
      <c r="E8" s="209" t="s">
        <v>20</v>
      </c>
      <c r="F8" s="209" t="s">
        <v>15</v>
      </c>
      <c r="G8" s="209" t="s">
        <v>36</v>
      </c>
      <c r="H8" s="210" t="s">
        <v>16</v>
      </c>
      <c r="J8"/>
      <c r="K8"/>
      <c r="L8"/>
      <c r="M8"/>
      <c r="V8" s="71"/>
    </row>
    <row r="9" spans="1:36" x14ac:dyDescent="0.2">
      <c r="A9" s="72"/>
      <c r="B9" s="113" t="s">
        <v>104</v>
      </c>
      <c r="C9" s="78" t="s">
        <v>105</v>
      </c>
      <c r="D9" s="113"/>
      <c r="E9" s="75" t="s">
        <v>13</v>
      </c>
      <c r="F9" s="77" t="s">
        <v>24</v>
      </c>
      <c r="G9" s="75" t="s">
        <v>21</v>
      </c>
      <c r="H9" s="76" t="s">
        <v>25</v>
      </c>
      <c r="V9" s="67"/>
      <c r="AJ9" s="65"/>
    </row>
    <row r="10" spans="1:36" x14ac:dyDescent="0.2">
      <c r="A10" s="83">
        <f>'Q1 p.1 - Rate Base True-up Adj'!B9</f>
        <v>42795</v>
      </c>
      <c r="B10" s="81">
        <f>'Input Tab'!K21</f>
        <v>1041124198</v>
      </c>
      <c r="C10" s="82">
        <f t="shared" ref="C10:C15" si="1">B10/12</f>
        <v>86760349.833333328</v>
      </c>
      <c r="D10" s="84">
        <f>'Input Tab'!J21</f>
        <v>0.10580000000000001</v>
      </c>
      <c r="E10" s="81">
        <f>'Input Tab'!L21</f>
        <v>4758686.22</v>
      </c>
      <c r="F10" s="82">
        <f t="shared" ref="F10:F15" si="2">(C10*D10)+E10</f>
        <v>13937931.232366666</v>
      </c>
      <c r="G10" s="84">
        <f>'Input Tab'!D21</f>
        <v>0.88580000000000003</v>
      </c>
      <c r="H10" s="111">
        <f t="shared" ref="H10:H15" si="3">F10*G10</f>
        <v>12346219.485630393</v>
      </c>
      <c r="K10" s="545"/>
      <c r="U10" s="96"/>
      <c r="V10"/>
      <c r="W10"/>
      <c r="X10" s="91"/>
      <c r="Y10" s="91"/>
      <c r="Z10" s="91"/>
      <c r="AA10" s="91"/>
      <c r="AB10" s="91"/>
      <c r="AC10" s="91"/>
      <c r="AD10" s="91"/>
      <c r="AE10" s="91"/>
      <c r="AJ10" s="65"/>
    </row>
    <row r="11" spans="1:36" x14ac:dyDescent="0.2">
      <c r="A11" s="83">
        <f>'Q1 p.1 - Rate Base True-up Adj'!B10</f>
        <v>42826</v>
      </c>
      <c r="B11" s="81">
        <f>'Input Tab'!K22</f>
        <v>1041677878</v>
      </c>
      <c r="C11" s="86">
        <f t="shared" si="1"/>
        <v>86806489.833333328</v>
      </c>
      <c r="D11" s="84">
        <f>'Input Tab'!J22</f>
        <v>0.10580000000000001</v>
      </c>
      <c r="E11" s="520">
        <f>'Input Tab'!L22</f>
        <v>4232629.5199999996</v>
      </c>
      <c r="F11" s="86">
        <f t="shared" si="2"/>
        <v>13416756.144366667</v>
      </c>
      <c r="G11" s="84">
        <f>'Input Tab'!D22</f>
        <v>0.86919999999999997</v>
      </c>
      <c r="H11" s="112">
        <f t="shared" si="3"/>
        <v>11661844.440683506</v>
      </c>
      <c r="K11" s="545"/>
      <c r="U11" s="96"/>
      <c r="V11"/>
      <c r="W11"/>
      <c r="X11" s="91"/>
      <c r="Y11" s="91"/>
      <c r="Z11" s="91"/>
      <c r="AA11" s="91"/>
      <c r="AB11" s="91"/>
      <c r="AC11" s="91"/>
      <c r="AD11" s="91"/>
      <c r="AE11" s="91"/>
      <c r="AJ11" s="65"/>
    </row>
    <row r="12" spans="1:36" x14ac:dyDescent="0.2">
      <c r="A12" s="83">
        <f>'Q1 p.1 - Rate Base True-up Adj'!B11</f>
        <v>42856</v>
      </c>
      <c r="B12" s="81">
        <f>'Input Tab'!K23</f>
        <v>1042353494</v>
      </c>
      <c r="C12" s="86">
        <f t="shared" si="1"/>
        <v>86862791.166666672</v>
      </c>
      <c r="D12" s="84">
        <f>'Input Tab'!J23</f>
        <v>0.10580000000000001</v>
      </c>
      <c r="E12" s="520">
        <f>'Input Tab'!L23</f>
        <v>4541982.2300000004</v>
      </c>
      <c r="F12" s="86">
        <f t="shared" si="2"/>
        <v>13732065.535433335</v>
      </c>
      <c r="G12" s="84">
        <f>'Input Tab'!D23</f>
        <v>0.88190000000000002</v>
      </c>
      <c r="H12" s="112">
        <f t="shared" si="3"/>
        <v>12110308.595698658</v>
      </c>
      <c r="K12" s="545"/>
      <c r="U12" s="96"/>
      <c r="V12"/>
      <c r="W12"/>
      <c r="X12" s="91"/>
      <c r="Y12" s="91"/>
      <c r="Z12" s="91"/>
      <c r="AA12" s="91"/>
      <c r="AB12" s="91"/>
      <c r="AC12" s="91"/>
      <c r="AD12" s="91"/>
      <c r="AE12" s="91"/>
      <c r="AJ12" s="65"/>
    </row>
    <row r="13" spans="1:36" x14ac:dyDescent="0.2">
      <c r="A13" s="83">
        <f>'Q1 p.1 - Rate Base True-up Adj'!B12</f>
        <v>42887</v>
      </c>
      <c r="B13" s="81">
        <f>'Input Tab'!K24</f>
        <v>1040848014</v>
      </c>
      <c r="C13" s="86">
        <f t="shared" si="1"/>
        <v>86737334.5</v>
      </c>
      <c r="D13" s="84">
        <f>'Input Tab'!J24</f>
        <v>0.1036</v>
      </c>
      <c r="E13" s="520">
        <f>'Input Tab'!L24</f>
        <v>4816731.13</v>
      </c>
      <c r="F13" s="86">
        <f t="shared" si="2"/>
        <v>13802718.984200001</v>
      </c>
      <c r="G13" s="84">
        <f>'Input Tab'!D24</f>
        <v>0.89259999999999995</v>
      </c>
      <c r="H13" s="112">
        <f t="shared" si="3"/>
        <v>12320306.96529692</v>
      </c>
      <c r="K13" s="545"/>
      <c r="U13" s="96"/>
      <c r="V13"/>
      <c r="W13"/>
      <c r="X13" s="91"/>
      <c r="Y13" s="91"/>
      <c r="Z13" s="91"/>
      <c r="AA13" s="91"/>
      <c r="AB13" s="91"/>
      <c r="AC13" s="91"/>
      <c r="AD13" s="91"/>
      <c r="AE13" s="91"/>
      <c r="AJ13" s="65"/>
    </row>
    <row r="14" spans="1:36" x14ac:dyDescent="0.2">
      <c r="A14" s="83">
        <f>'Q1 p.1 - Rate Base True-up Adj'!B13</f>
        <v>42917</v>
      </c>
      <c r="B14" s="81">
        <f>'Input Tab'!K25</f>
        <v>1050361053</v>
      </c>
      <c r="C14" s="86">
        <f t="shared" si="1"/>
        <v>87530087.75</v>
      </c>
      <c r="D14" s="84">
        <f>'Input Tab'!J25</f>
        <v>0.1036</v>
      </c>
      <c r="E14" s="520">
        <f>'Input Tab'!L25</f>
        <v>5083172</v>
      </c>
      <c r="F14" s="86">
        <f t="shared" si="2"/>
        <v>14151289.0909</v>
      </c>
      <c r="G14" s="84">
        <f>'Input Tab'!D25</f>
        <v>0.88780000000000003</v>
      </c>
      <c r="H14" s="112">
        <f t="shared" si="3"/>
        <v>12563514.454901021</v>
      </c>
      <c r="K14" s="545"/>
      <c r="U14" s="96"/>
      <c r="V14" s="67"/>
      <c r="W14"/>
      <c r="X14" s="104"/>
      <c r="AJ14" s="65"/>
    </row>
    <row r="15" spans="1:36" x14ac:dyDescent="0.2">
      <c r="A15" s="83">
        <f>'Q1 p.1 - Rate Base True-up Adj'!B14</f>
        <v>42948</v>
      </c>
      <c r="B15" s="81">
        <f>'Input Tab'!K26</f>
        <v>1049324598</v>
      </c>
      <c r="C15" s="86">
        <f t="shared" si="1"/>
        <v>87443716.5</v>
      </c>
      <c r="D15" s="84">
        <f>'Input Tab'!J26</f>
        <v>0.1036</v>
      </c>
      <c r="E15" s="520">
        <f>'Input Tab'!L26</f>
        <v>5070850.04</v>
      </c>
      <c r="F15" s="86">
        <f t="shared" si="2"/>
        <v>14130019.069400001</v>
      </c>
      <c r="G15" s="84">
        <f>'Input Tab'!D26</f>
        <v>0.88870000000000005</v>
      </c>
      <c r="H15" s="112">
        <f t="shared" si="3"/>
        <v>12557347.946975783</v>
      </c>
      <c r="K15" s="545"/>
      <c r="U15" s="96"/>
      <c r="V15" s="67"/>
      <c r="W15"/>
      <c r="X15" s="104"/>
      <c r="AJ15" s="65"/>
    </row>
    <row r="16" spans="1:36" x14ac:dyDescent="0.2">
      <c r="A16" s="101"/>
      <c r="B16" s="86"/>
      <c r="C16" s="99"/>
      <c r="D16" s="99"/>
      <c r="E16" s="99"/>
      <c r="F16" s="99"/>
      <c r="G16" s="99"/>
      <c r="H16" s="85"/>
      <c r="U16" s="96"/>
      <c r="V16" s="67"/>
      <c r="W16"/>
      <c r="X16" s="104"/>
      <c r="AJ16" s="65"/>
    </row>
    <row r="17" spans="1:38" ht="13.5" thickBot="1" x14ac:dyDescent="0.25">
      <c r="A17" s="106"/>
      <c r="B17" s="107"/>
      <c r="C17" s="107"/>
      <c r="D17" s="109"/>
      <c r="E17" s="110"/>
      <c r="F17" s="107"/>
      <c r="G17" s="107"/>
      <c r="H17" s="108"/>
      <c r="U17" s="96"/>
      <c r="V17" s="105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2">
      <c r="A18" s="99"/>
      <c r="B18" s="99"/>
      <c r="C18" s="99"/>
      <c r="D18" s="99"/>
      <c r="E18" s="99"/>
      <c r="F18" s="99"/>
      <c r="G18" s="99"/>
      <c r="H18" s="99"/>
      <c r="I18" s="99"/>
      <c r="U18" s="99"/>
      <c r="V18" s="99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3.5" thickBot="1" x14ac:dyDescent="0.25">
      <c r="A19" s="99"/>
      <c r="B19" s="99"/>
      <c r="C19" s="99"/>
      <c r="D19" s="99"/>
      <c r="E19" s="99"/>
      <c r="F19" s="99"/>
      <c r="G19" s="99"/>
      <c r="H19" s="99"/>
      <c r="I19" s="99"/>
      <c r="U19" s="99"/>
      <c r="V19" s="9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3.5" thickBot="1" x14ac:dyDescent="0.25">
      <c r="A20" s="591" t="s">
        <v>101</v>
      </c>
      <c r="B20" s="592"/>
      <c r="C20" s="592"/>
      <c r="D20" s="592"/>
      <c r="E20" s="592"/>
      <c r="F20" s="592"/>
      <c r="G20" s="592"/>
      <c r="H20" s="593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x14ac:dyDescent="0.2">
      <c r="A21" s="116">
        <v>-1</v>
      </c>
      <c r="B21" s="117">
        <f t="shared" ref="B21:H21" si="4">A21-1</f>
        <v>-2</v>
      </c>
      <c r="C21" s="117">
        <f t="shared" si="4"/>
        <v>-3</v>
      </c>
      <c r="D21" s="117">
        <f t="shared" si="4"/>
        <v>-4</v>
      </c>
      <c r="E21" s="117">
        <f t="shared" si="4"/>
        <v>-5</v>
      </c>
      <c r="F21" s="117">
        <f t="shared" si="4"/>
        <v>-6</v>
      </c>
      <c r="G21" s="117">
        <f t="shared" si="4"/>
        <v>-7</v>
      </c>
      <c r="H21" s="118">
        <f t="shared" si="4"/>
        <v>-8</v>
      </c>
      <c r="U21" s="96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38.25" x14ac:dyDescent="0.2">
      <c r="A22" s="208" t="s">
        <v>1</v>
      </c>
      <c r="B22" s="209" t="s">
        <v>14</v>
      </c>
      <c r="C22" s="209" t="s">
        <v>12</v>
      </c>
      <c r="D22" s="209" t="s">
        <v>7</v>
      </c>
      <c r="E22" s="209" t="s">
        <v>20</v>
      </c>
      <c r="F22" s="209" t="s">
        <v>15</v>
      </c>
      <c r="G22" s="209" t="s">
        <v>36</v>
      </c>
      <c r="H22" s="210" t="s">
        <v>16</v>
      </c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25.5" x14ac:dyDescent="0.2">
      <c r="A23" s="72"/>
      <c r="B23" s="113" t="s">
        <v>99</v>
      </c>
      <c r="C23" s="78" t="s">
        <v>252</v>
      </c>
      <c r="D23" s="113" t="s">
        <v>98</v>
      </c>
      <c r="E23" s="75" t="s">
        <v>13</v>
      </c>
      <c r="F23" s="77" t="s">
        <v>24</v>
      </c>
      <c r="G23" s="75" t="s">
        <v>21</v>
      </c>
      <c r="H23" s="76" t="s">
        <v>25</v>
      </c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x14ac:dyDescent="0.2">
      <c r="A24" s="83">
        <f>'Q1 p.1 - Rate Base True-up Adj'!B22</f>
        <v>42795</v>
      </c>
      <c r="B24" s="81">
        <f>'Input Tab'!O21</f>
        <v>8353533</v>
      </c>
      <c r="C24" s="82">
        <f t="shared" ref="C24:C29" si="5">B24/12</f>
        <v>696127.75</v>
      </c>
      <c r="D24" s="84">
        <f>'Input Tab'!N21</f>
        <v>0.1042</v>
      </c>
      <c r="E24" s="81">
        <f>'Input Tab'!P21</f>
        <v>53977.755767411392</v>
      </c>
      <c r="F24" s="86">
        <f t="shared" ref="F24:F29" si="6">(C24*D24)+E24</f>
        <v>126514.26731741139</v>
      </c>
      <c r="G24" s="84">
        <f>'Input Tab'!D21</f>
        <v>0.88580000000000003</v>
      </c>
      <c r="H24" s="111">
        <f t="shared" ref="H24:H29" si="7">F24*G24</f>
        <v>112066.33798976301</v>
      </c>
      <c r="K24" s="545"/>
      <c r="V24" s="67"/>
      <c r="AJ24" s="65"/>
    </row>
    <row r="25" spans="1:38" x14ac:dyDescent="0.2">
      <c r="A25" s="83">
        <f>'Q1 p.1 - Rate Base True-up Adj'!B23</f>
        <v>42826</v>
      </c>
      <c r="B25" s="520">
        <f>'Input Tab'!O22</f>
        <v>8920416</v>
      </c>
      <c r="C25" s="82">
        <f t="shared" si="5"/>
        <v>743368</v>
      </c>
      <c r="D25" s="84">
        <f>'Input Tab'!N22</f>
        <v>0.1042</v>
      </c>
      <c r="E25" s="520">
        <f>'Input Tab'!P22</f>
        <v>59146.962930037938</v>
      </c>
      <c r="F25" s="86">
        <f t="shared" si="6"/>
        <v>136605.90853003794</v>
      </c>
      <c r="G25" s="84">
        <f>'Input Tab'!D22</f>
        <v>0.86919999999999997</v>
      </c>
      <c r="H25" s="112">
        <f t="shared" si="7"/>
        <v>118737.85569430896</v>
      </c>
      <c r="K25" s="545"/>
      <c r="V25" s="67"/>
      <c r="AJ25" s="65"/>
    </row>
    <row r="26" spans="1:38" x14ac:dyDescent="0.2">
      <c r="A26" s="83">
        <f>'Q1 p.1 - Rate Base True-up Adj'!B24</f>
        <v>42856</v>
      </c>
      <c r="B26" s="520">
        <f>'Input Tab'!O23</f>
        <v>9964967</v>
      </c>
      <c r="C26" s="82">
        <f t="shared" si="5"/>
        <v>830413.91666666663</v>
      </c>
      <c r="D26" s="84">
        <f>'Input Tab'!N23</f>
        <v>0.1042</v>
      </c>
      <c r="E26" s="520">
        <f>'Input Tab'!P23</f>
        <v>61604.95714006928</v>
      </c>
      <c r="F26" s="86">
        <f t="shared" si="6"/>
        <v>148134.08725673595</v>
      </c>
      <c r="G26" s="84">
        <f>'Input Tab'!D23</f>
        <v>0.88190000000000002</v>
      </c>
      <c r="H26" s="112">
        <f t="shared" si="7"/>
        <v>130639.45155171544</v>
      </c>
      <c r="K26" s="545"/>
      <c r="V26" s="67"/>
      <c r="AJ26" s="65"/>
    </row>
    <row r="27" spans="1:38" x14ac:dyDescent="0.2">
      <c r="A27" s="83">
        <f>'Q1 p.1 - Rate Base True-up Adj'!B25</f>
        <v>42887</v>
      </c>
      <c r="B27" s="520">
        <f>'Input Tab'!O24</f>
        <v>14736705</v>
      </c>
      <c r="C27" s="82">
        <f t="shared" si="5"/>
        <v>1228058.75</v>
      </c>
      <c r="D27" s="84">
        <f>'Input Tab'!N24</f>
        <v>0.1036</v>
      </c>
      <c r="E27" s="520">
        <f>'Input Tab'!P24</f>
        <v>68032.281519930242</v>
      </c>
      <c r="F27" s="86">
        <f t="shared" si="6"/>
        <v>195259.16801993025</v>
      </c>
      <c r="G27" s="84">
        <f>'Input Tab'!D24</f>
        <v>0.89259999999999995</v>
      </c>
      <c r="H27" s="112">
        <f t="shared" si="7"/>
        <v>174288.33337458974</v>
      </c>
      <c r="K27" s="545"/>
      <c r="V27" s="67"/>
      <c r="AJ27" s="65"/>
    </row>
    <row r="28" spans="1:38" x14ac:dyDescent="0.2">
      <c r="A28" s="83">
        <f>'Q1 p.1 - Rate Base True-up Adj'!B26</f>
        <v>42917</v>
      </c>
      <c r="B28" s="520">
        <f>'Input Tab'!O25</f>
        <v>20177730</v>
      </c>
      <c r="C28" s="82">
        <f t="shared" si="5"/>
        <v>1681477.5</v>
      </c>
      <c r="D28" s="84">
        <f>'Input Tab'!N25</f>
        <v>0.1036</v>
      </c>
      <c r="E28" s="520">
        <f>'Input Tab'!P25</f>
        <v>70990.890223633949</v>
      </c>
      <c r="F28" s="86">
        <f t="shared" si="6"/>
        <v>245191.95922363392</v>
      </c>
      <c r="G28" s="84">
        <f>'Input Tab'!D25</f>
        <v>0.88780000000000003</v>
      </c>
      <c r="H28" s="112">
        <f t="shared" si="7"/>
        <v>217681.42139874221</v>
      </c>
      <c r="K28" s="545"/>
      <c r="V28" s="67"/>
      <c r="AJ28" s="65"/>
    </row>
    <row r="29" spans="1:38" x14ac:dyDescent="0.2">
      <c r="A29" s="83">
        <f>'Q1 p.1 - Rate Base True-up Adj'!B27</f>
        <v>42948</v>
      </c>
      <c r="B29" s="520">
        <f>'Input Tab'!O26</f>
        <v>28249859</v>
      </c>
      <c r="C29" s="82">
        <f t="shared" si="5"/>
        <v>2354154.9166666665</v>
      </c>
      <c r="D29" s="84">
        <f>'Input Tab'!N26</f>
        <v>0.1036</v>
      </c>
      <c r="E29" s="520">
        <f>'Input Tab'!P26</f>
        <v>76438.48</v>
      </c>
      <c r="F29" s="86">
        <f t="shared" si="6"/>
        <v>320328.92936666665</v>
      </c>
      <c r="G29" s="84">
        <f>'Input Tab'!D26</f>
        <v>0.88870000000000005</v>
      </c>
      <c r="H29" s="112">
        <f t="shared" si="7"/>
        <v>284676.31952815666</v>
      </c>
      <c r="K29" s="545"/>
      <c r="V29" s="67"/>
      <c r="AJ29" s="65"/>
    </row>
    <row r="30" spans="1:38" x14ac:dyDescent="0.2">
      <c r="A30" s="101"/>
      <c r="B30" s="86"/>
      <c r="C30" s="99"/>
      <c r="D30" s="99"/>
      <c r="E30" s="82"/>
      <c r="F30" s="99"/>
      <c r="G30" s="99"/>
      <c r="H30" s="85"/>
      <c r="V30" s="67"/>
      <c r="AJ30" s="65"/>
    </row>
    <row r="31" spans="1:38" ht="13.5" thickBot="1" x14ac:dyDescent="0.25">
      <c r="A31" s="106"/>
      <c r="B31" s="107"/>
      <c r="C31" s="107"/>
      <c r="D31" s="109"/>
      <c r="E31" s="110"/>
      <c r="F31" s="107"/>
      <c r="G31" s="107"/>
      <c r="H31" s="108"/>
      <c r="X31" s="67"/>
      <c r="AJ31" s="65"/>
    </row>
    <row r="32" spans="1:38" x14ac:dyDescent="0.2">
      <c r="X32" s="67"/>
      <c r="AJ32" s="65"/>
    </row>
  </sheetData>
  <mergeCells count="2">
    <mergeCell ref="A6:H6"/>
    <mergeCell ref="A20:H20"/>
  </mergeCells>
  <printOptions horizontalCentered="1"/>
  <pageMargins left="0.25" right="0.25" top="0.75" bottom="0.5" header="0.5" footer="0.5"/>
  <pageSetup scale="80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  <pageSetUpPr fitToPage="1"/>
  </sheetPr>
  <dimension ref="A1:O33"/>
  <sheetViews>
    <sheetView workbookViewId="0">
      <selection activeCell="B12" sqref="B12:M19"/>
    </sheetView>
  </sheetViews>
  <sheetFormatPr defaultRowHeight="12.75" x14ac:dyDescent="0.2"/>
  <cols>
    <col min="1" max="1" width="15.83203125" style="65" customWidth="1"/>
    <col min="2" max="2" width="16.83203125" style="65" customWidth="1"/>
    <col min="3" max="4" width="14.83203125" style="65" customWidth="1"/>
    <col min="5" max="5" width="17.33203125" style="65" customWidth="1"/>
    <col min="6" max="6" width="13.1640625" style="65" customWidth="1"/>
    <col min="7" max="7" width="13.33203125" style="65" customWidth="1"/>
    <col min="8" max="9" width="16.83203125" style="65" customWidth="1"/>
    <col min="10" max="10" width="16.6640625" style="65" customWidth="1"/>
    <col min="11" max="12" width="16.83203125" style="65" customWidth="1"/>
    <col min="14" max="14" width="13.33203125" bestFit="1" customWidth="1"/>
    <col min="15" max="15" width="13.83203125" customWidth="1"/>
  </cols>
  <sheetData>
    <row r="1" spans="1:15" x14ac:dyDescent="0.2">
      <c r="A1" s="64" t="str">
        <f>'Input Tab'!B2</f>
        <v>Kentucky Utilities Company</v>
      </c>
      <c r="L1" s="66" t="str">
        <f>'Q2 p.1 - Retail E(m)'!H1</f>
        <v>Corrected Attachment to Response to Question No. 2</v>
      </c>
    </row>
    <row r="2" spans="1:15" x14ac:dyDescent="0.2">
      <c r="A2" s="64" t="str">
        <f>'Q2 p.1 - Retail E(m)'!A2</f>
        <v>Calculation of E(m) and Jurisdictional Surcharge Billing Factor</v>
      </c>
      <c r="L2" s="68" t="s">
        <v>191</v>
      </c>
    </row>
    <row r="3" spans="1:15" x14ac:dyDescent="0.2">
      <c r="A3" s="64" t="str">
        <f>'Q2 p.1 - Retail E(m)'!A3</f>
        <v>Summary Schedule for Expense Months March 2017 through August 2017</v>
      </c>
      <c r="L3" s="68" t="str">
        <f>'Q2 p.1 - Retail E(m)'!H3</f>
        <v>Rahn</v>
      </c>
    </row>
    <row r="4" spans="1:15" x14ac:dyDescent="0.2">
      <c r="B4" s="69"/>
    </row>
    <row r="5" spans="1:15" ht="13.5" thickBot="1" x14ac:dyDescent="0.25"/>
    <row r="6" spans="1:15" x14ac:dyDescent="0.2">
      <c r="A6" s="119">
        <v>-1</v>
      </c>
      <c r="B6" s="120">
        <f t="shared" ref="B6:C6" si="0">A6-1</f>
        <v>-2</v>
      </c>
      <c r="C6" s="120">
        <f t="shared" si="0"/>
        <v>-3</v>
      </c>
      <c r="D6" s="120">
        <f t="shared" ref="D6" si="1">C6-1</f>
        <v>-4</v>
      </c>
      <c r="E6" s="120">
        <f t="shared" ref="E6" si="2">D6-1</f>
        <v>-5</v>
      </c>
      <c r="F6" s="120">
        <f t="shared" ref="F6" si="3">E6-1</f>
        <v>-6</v>
      </c>
      <c r="G6" s="120">
        <f t="shared" ref="G6" si="4">F6-1</f>
        <v>-7</v>
      </c>
      <c r="H6" s="120">
        <f t="shared" ref="H6" si="5">G6-1</f>
        <v>-8</v>
      </c>
      <c r="I6" s="120">
        <f t="shared" ref="I6" si="6">H6-1</f>
        <v>-9</v>
      </c>
      <c r="J6" s="120">
        <f t="shared" ref="J6" si="7">I6-1</f>
        <v>-10</v>
      </c>
      <c r="K6" s="120">
        <f t="shared" ref="K6" si="8">J6-1</f>
        <v>-11</v>
      </c>
      <c r="L6" s="513">
        <f t="shared" ref="L6" si="9">K6-1</f>
        <v>-12</v>
      </c>
    </row>
    <row r="7" spans="1:15" ht="51" x14ac:dyDescent="0.2">
      <c r="A7" s="208" t="s">
        <v>1</v>
      </c>
      <c r="B7" s="209" t="s">
        <v>31</v>
      </c>
      <c r="C7" s="211" t="s">
        <v>37</v>
      </c>
      <c r="D7" s="211" t="s">
        <v>255</v>
      </c>
      <c r="E7" s="209" t="s">
        <v>26</v>
      </c>
      <c r="F7" s="209" t="s">
        <v>32</v>
      </c>
      <c r="G7" s="209" t="s">
        <v>33</v>
      </c>
      <c r="H7" s="209" t="s">
        <v>17</v>
      </c>
      <c r="I7" s="209" t="s">
        <v>27</v>
      </c>
      <c r="J7" s="209" t="s">
        <v>34</v>
      </c>
      <c r="K7" s="209" t="s">
        <v>35</v>
      </c>
      <c r="L7" s="210" t="s">
        <v>18</v>
      </c>
    </row>
    <row r="8" spans="1:15" ht="51" x14ac:dyDescent="0.2">
      <c r="A8" s="72"/>
      <c r="B8" s="113" t="s">
        <v>106</v>
      </c>
      <c r="C8" s="78" t="s">
        <v>194</v>
      </c>
      <c r="D8" s="78" t="s">
        <v>256</v>
      </c>
      <c r="E8" s="74" t="s">
        <v>257</v>
      </c>
      <c r="F8" s="75" t="s">
        <v>28</v>
      </c>
      <c r="G8" s="75" t="s">
        <v>28</v>
      </c>
      <c r="H8" s="75" t="s">
        <v>28</v>
      </c>
      <c r="I8" s="79"/>
      <c r="J8" s="75" t="s">
        <v>28</v>
      </c>
      <c r="K8" s="75" t="s">
        <v>28</v>
      </c>
      <c r="L8" s="80" t="s">
        <v>258</v>
      </c>
    </row>
    <row r="9" spans="1:15" x14ac:dyDescent="0.2">
      <c r="A9" s="101"/>
      <c r="B9" s="99"/>
      <c r="C9" s="99"/>
      <c r="D9" s="99"/>
      <c r="E9" s="99"/>
      <c r="F9" s="99"/>
      <c r="G9" s="99"/>
      <c r="H9" s="99"/>
      <c r="I9" s="99"/>
      <c r="J9" s="99"/>
      <c r="K9" s="99"/>
      <c r="L9" s="85"/>
    </row>
    <row r="10" spans="1:15" x14ac:dyDescent="0.2">
      <c r="A10" s="83">
        <f>'Q2 p.1 - Retail E(m)'!A10</f>
        <v>42795</v>
      </c>
      <c r="B10" s="86">
        <f>'Q2 p.1 - Retail E(m)'!H10+'Q2 p.1 - Retail E(m)'!H24</f>
        <v>12458285.823620155</v>
      </c>
      <c r="C10" s="87">
        <f>'Input Tab'!Q21</f>
        <v>0</v>
      </c>
      <c r="D10" s="87">
        <f>'Input Tab'!R21</f>
        <v>0</v>
      </c>
      <c r="E10" s="82">
        <f t="shared" ref="E10:E15" si="10">ROUND(SUM(B10:D10),0)</f>
        <v>12458286</v>
      </c>
      <c r="F10" s="88">
        <f>'Input Tab'!S21</f>
        <v>2.9264018842722367E-2</v>
      </c>
      <c r="G10" s="88">
        <f>'Input Tab'!T21</f>
        <v>4.3600131284504115E-2</v>
      </c>
      <c r="H10" s="218">
        <f>'Input Tab'!U21</f>
        <v>8842155</v>
      </c>
      <c r="I10" s="89">
        <f>'Q1 p.1 - Rate Base True-up Adj'!A9</f>
        <v>42856</v>
      </c>
      <c r="J10" s="81">
        <f>'Input Tab'!V21</f>
        <v>1135332.79</v>
      </c>
      <c r="K10" s="81">
        <f>'Input Tab'!W21</f>
        <v>2006442.55</v>
      </c>
      <c r="L10" s="90">
        <f>(H10+J10+K10)-E10</f>
        <v>-474355.66000000015</v>
      </c>
    </row>
    <row r="11" spans="1:15" x14ac:dyDescent="0.2">
      <c r="A11" s="83">
        <f>'Q2 p.1 - Retail E(m)'!A11</f>
        <v>42826</v>
      </c>
      <c r="B11" s="86">
        <f>'Q2 p.1 - Retail E(m)'!H11+'Q2 p.1 - Retail E(m)'!H25</f>
        <v>11780582.296377815</v>
      </c>
      <c r="C11" s="87">
        <f>'Input Tab'!Q22</f>
        <v>0</v>
      </c>
      <c r="D11" s="87">
        <f>'Input Tab'!R22</f>
        <v>0</v>
      </c>
      <c r="E11" s="82">
        <f t="shared" si="10"/>
        <v>11780582</v>
      </c>
      <c r="F11" s="88">
        <f>'Input Tab'!S22</f>
        <v>3.3186554597484021E-2</v>
      </c>
      <c r="G11" s="88">
        <f>'Input Tab'!T22</f>
        <v>4.9378422285484419E-2</v>
      </c>
      <c r="H11" s="218">
        <f>'Input Tab'!U22</f>
        <v>7697110</v>
      </c>
      <c r="I11" s="89">
        <f>'Q1 p.1 - Rate Base True-up Adj'!A10</f>
        <v>42887</v>
      </c>
      <c r="J11" s="81">
        <f>'Input Tab'!V22</f>
        <v>1583495.79</v>
      </c>
      <c r="K11" s="81">
        <f>'Input Tab'!W22</f>
        <v>2535471.63</v>
      </c>
      <c r="L11" s="95">
        <f t="shared" ref="L11:L15" si="11">(H11+J11+K11)-E11</f>
        <v>35495.419999998063</v>
      </c>
    </row>
    <row r="12" spans="1:15" x14ac:dyDescent="0.2">
      <c r="A12" s="83">
        <f>'Q2 p.1 - Retail E(m)'!A12</f>
        <v>42856</v>
      </c>
      <c r="B12" s="86">
        <f>'Q2 p.1 - Retail E(m)'!H12+'Q2 p.1 - Retail E(m)'!H26</f>
        <v>12240948.047250373</v>
      </c>
      <c r="C12" s="87">
        <f>'Input Tab'!Q23</f>
        <v>0</v>
      </c>
      <c r="D12" s="87">
        <f>'Input Tab'!R23</f>
        <v>0</v>
      </c>
      <c r="E12" s="82">
        <f t="shared" si="10"/>
        <v>12240948</v>
      </c>
      <c r="F12" s="88">
        <f>'Input Tab'!S23</f>
        <v>3.6977067712036203E-2</v>
      </c>
      <c r="G12" s="88">
        <f>'Input Tab'!T23</f>
        <v>5.5166400796730006E-2</v>
      </c>
      <c r="H12" s="218">
        <f>'Input Tab'!U23</f>
        <v>7671760</v>
      </c>
      <c r="I12" s="89">
        <f>'Q1 p.1 - Rate Base True-up Adj'!A11</f>
        <v>42917</v>
      </c>
      <c r="J12" s="81">
        <f>'Input Tab'!V23</f>
        <v>2013392.17</v>
      </c>
      <c r="K12" s="81">
        <f>'Input Tab'!W23</f>
        <v>2848529.9</v>
      </c>
      <c r="L12" s="95">
        <f t="shared" si="11"/>
        <v>292734.0700000003</v>
      </c>
      <c r="M12" s="249"/>
    </row>
    <row r="13" spans="1:15" x14ac:dyDescent="0.2">
      <c r="A13" s="83">
        <f>'Q2 p.1 - Retail E(m)'!A13</f>
        <v>42887</v>
      </c>
      <c r="B13" s="86">
        <f>'Q2 p.1 - Retail E(m)'!H13+'Q2 p.1 - Retail E(m)'!H27</f>
        <v>12494595.29867151</v>
      </c>
      <c r="C13" s="87">
        <f>'Input Tab'!Q24</f>
        <v>-110995</v>
      </c>
      <c r="D13" s="87">
        <f>'Input Tab'!R24</f>
        <v>0</v>
      </c>
      <c r="E13" s="82">
        <f t="shared" si="10"/>
        <v>12383600</v>
      </c>
      <c r="F13" s="88">
        <f>'Input Tab'!S24</f>
        <v>2.7218282107514927E-2</v>
      </c>
      <c r="G13" s="88">
        <f>'Input Tab'!T24</f>
        <v>4.0692077749259786E-2</v>
      </c>
      <c r="H13" s="218">
        <f>'Input Tab'!U24</f>
        <v>9019624</v>
      </c>
      <c r="I13" s="89">
        <f>'Q1 p.1 - Rate Base True-up Adj'!A12</f>
        <v>42948</v>
      </c>
      <c r="J13" s="81">
        <f>'Input Tab'!V24</f>
        <v>1489843.29</v>
      </c>
      <c r="K13" s="81">
        <f>'Input Tab'!W24</f>
        <v>2478997</v>
      </c>
      <c r="L13" s="95">
        <f>(H13+J13+K13)-E13</f>
        <v>604864.28999999911</v>
      </c>
      <c r="M13" s="249"/>
    </row>
    <row r="14" spans="1:15" x14ac:dyDescent="0.2">
      <c r="A14" s="83">
        <f>'Q2 p.1 - Retail E(m)'!A14</f>
        <v>42917</v>
      </c>
      <c r="B14" s="86">
        <f>'Q2 p.1 - Retail E(m)'!H14+'Q2 p.1 - Retail E(m)'!H28</f>
        <v>12781195.876299763</v>
      </c>
      <c r="C14" s="87">
        <f>'Input Tab'!Q25</f>
        <v>0</v>
      </c>
      <c r="D14" s="87">
        <f>'Input Tab'!R25</f>
        <v>0</v>
      </c>
      <c r="E14" s="82">
        <f t="shared" si="10"/>
        <v>12781196</v>
      </c>
      <c r="F14" s="88">
        <f>'Input Tab'!S25</f>
        <v>2.6706325961169421E-2</v>
      </c>
      <c r="G14" s="88">
        <f>'Input Tab'!T25</f>
        <v>3.9943104053780952E-2</v>
      </c>
      <c r="H14" s="218">
        <f>'Input Tab'!U25</f>
        <v>9478458</v>
      </c>
      <c r="I14" s="89">
        <f>'Q1 p.1 - Rate Base True-up Adj'!A13</f>
        <v>42979</v>
      </c>
      <c r="J14" s="81">
        <f>'Input Tab'!V25</f>
        <v>1251817.55</v>
      </c>
      <c r="K14" s="81">
        <f>'Input Tab'!W25</f>
        <v>2032842.07</v>
      </c>
      <c r="L14" s="95">
        <f t="shared" si="11"/>
        <v>-18078.379999998957</v>
      </c>
      <c r="M14" s="249"/>
    </row>
    <row r="15" spans="1:15" x14ac:dyDescent="0.2">
      <c r="A15" s="83">
        <f>'Q2 p.1 - Retail E(m)'!A15</f>
        <v>42948</v>
      </c>
      <c r="B15" s="86">
        <f>'Q2 p.1 - Retail E(m)'!H15+'Q2 p.1 - Retail E(m)'!H29</f>
        <v>12842024.266503939</v>
      </c>
      <c r="C15" s="87">
        <f>'Input Tab'!Q26</f>
        <v>0</v>
      </c>
      <c r="D15" s="87">
        <f>'Input Tab'!R26</f>
        <v>0</v>
      </c>
      <c r="E15" s="82">
        <f t="shared" si="10"/>
        <v>12842024</v>
      </c>
      <c r="F15" s="88">
        <f>'Input Tab'!S26</f>
        <v>2.4297050993229524E-2</v>
      </c>
      <c r="G15" s="88">
        <f>'Input Tab'!T26</f>
        <v>3.6299531104929471E-2</v>
      </c>
      <c r="H15" s="218">
        <f>'Input Tab'!U26</f>
        <v>9836556</v>
      </c>
      <c r="I15" s="89">
        <f>'Q1 p.1 - Rate Base True-up Adj'!A14</f>
        <v>43009</v>
      </c>
      <c r="J15" s="81">
        <f>'Input Tab'!V26</f>
        <v>995268.33</v>
      </c>
      <c r="K15" s="81">
        <f>'Input Tab'!W26</f>
        <v>1911418.71</v>
      </c>
      <c r="L15" s="95">
        <f t="shared" si="11"/>
        <v>-98780.960000000894</v>
      </c>
      <c r="M15" s="249"/>
    </row>
    <row r="16" spans="1:15" x14ac:dyDescent="0.2">
      <c r="A16" s="101"/>
      <c r="B16" s="99"/>
      <c r="C16" s="99"/>
      <c r="D16" s="99"/>
      <c r="E16" s="102">
        <f>SUM(E10:E15)</f>
        <v>74486636</v>
      </c>
      <c r="F16" s="99"/>
      <c r="G16" s="99"/>
      <c r="H16" s="102">
        <f>SUM(H10:H15)</f>
        <v>52545663</v>
      </c>
      <c r="I16" s="99"/>
      <c r="J16" s="102">
        <f>SUM(J10:J15)</f>
        <v>8469149.9199999999</v>
      </c>
      <c r="K16" s="102">
        <f>SUM(K10:K15)</f>
        <v>13813701.859999999</v>
      </c>
      <c r="L16" s="566">
        <f>SUM(L10:L15)</f>
        <v>341878.77999999747</v>
      </c>
      <c r="M16" s="249"/>
      <c r="O16" s="545"/>
    </row>
    <row r="17" spans="1:13" ht="13.5" thickBot="1" x14ac:dyDescent="0.25">
      <c r="A17" s="106"/>
      <c r="B17" s="138"/>
      <c r="C17" s="138"/>
      <c r="D17" s="138"/>
      <c r="E17" s="107"/>
      <c r="F17" s="138"/>
      <c r="G17" s="138"/>
      <c r="H17" s="138"/>
      <c r="I17" s="138"/>
      <c r="J17" s="138"/>
      <c r="K17" s="138"/>
      <c r="L17" s="139"/>
      <c r="M17" s="249"/>
    </row>
    <row r="18" spans="1:13" x14ac:dyDescent="0.2">
      <c r="A18"/>
      <c r="B18" s="249"/>
      <c r="M18" s="249"/>
    </row>
    <row r="19" spans="1:13" x14ac:dyDescent="0.2">
      <c r="A19"/>
      <c r="B19" s="249"/>
      <c r="M19" s="249"/>
    </row>
    <row r="20" spans="1:13" x14ac:dyDescent="0.2">
      <c r="A20"/>
      <c r="B20"/>
      <c r="C20"/>
      <c r="D20"/>
      <c r="E20"/>
      <c r="F20"/>
      <c r="G20"/>
      <c r="H20"/>
    </row>
    <row r="21" spans="1:13" x14ac:dyDescent="0.2">
      <c r="A21"/>
      <c r="B21"/>
      <c r="C21"/>
      <c r="D21"/>
      <c r="E21"/>
      <c r="F21"/>
      <c r="G21"/>
      <c r="H21"/>
    </row>
    <row r="22" spans="1:13" x14ac:dyDescent="0.2">
      <c r="B22"/>
      <c r="C22"/>
      <c r="D22"/>
      <c r="E22"/>
      <c r="F22"/>
      <c r="G22"/>
      <c r="H22"/>
    </row>
    <row r="23" spans="1:13" x14ac:dyDescent="0.2">
      <c r="B23"/>
      <c r="C23"/>
      <c r="D23"/>
      <c r="E23"/>
      <c r="F23"/>
      <c r="G23"/>
      <c r="H23"/>
    </row>
    <row r="24" spans="1:13" x14ac:dyDescent="0.2">
      <c r="B24"/>
      <c r="C24"/>
      <c r="D24"/>
      <c r="E24"/>
      <c r="F24"/>
      <c r="G24"/>
      <c r="H24"/>
    </row>
    <row r="25" spans="1:13" x14ac:dyDescent="0.2">
      <c r="B25"/>
      <c r="C25"/>
      <c r="D25"/>
      <c r="E25"/>
      <c r="F25"/>
      <c r="G25"/>
      <c r="H25"/>
    </row>
    <row r="26" spans="1:13" x14ac:dyDescent="0.2">
      <c r="B26"/>
      <c r="C26"/>
      <c r="D26"/>
      <c r="E26"/>
      <c r="F26"/>
      <c r="G26"/>
      <c r="H26"/>
    </row>
    <row r="27" spans="1:13" x14ac:dyDescent="0.2">
      <c r="B27"/>
      <c r="C27"/>
      <c r="D27"/>
      <c r="E27"/>
      <c r="F27"/>
      <c r="G27"/>
      <c r="H27"/>
    </row>
    <row r="28" spans="1:13" x14ac:dyDescent="0.2">
      <c r="B28"/>
      <c r="C28"/>
      <c r="D28"/>
      <c r="E28"/>
      <c r="F28"/>
      <c r="G28"/>
      <c r="H28"/>
    </row>
    <row r="29" spans="1:13" x14ac:dyDescent="0.2">
      <c r="B29"/>
      <c r="C29"/>
      <c r="D29"/>
      <c r="E29"/>
      <c r="F29"/>
      <c r="G29"/>
      <c r="H29"/>
    </row>
    <row r="30" spans="1:13" x14ac:dyDescent="0.2">
      <c r="B30"/>
      <c r="C30"/>
      <c r="D30"/>
      <c r="E30"/>
      <c r="F30"/>
      <c r="G30"/>
      <c r="H30"/>
    </row>
    <row r="31" spans="1:13" x14ac:dyDescent="0.2">
      <c r="B31"/>
      <c r="C31"/>
      <c r="D31"/>
      <c r="E31"/>
      <c r="F31"/>
      <c r="G31"/>
      <c r="H31"/>
    </row>
    <row r="32" spans="1:13" x14ac:dyDescent="0.2">
      <c r="B32"/>
      <c r="C32"/>
      <c r="D32"/>
      <c r="E32"/>
      <c r="F32"/>
      <c r="G32"/>
      <c r="H32"/>
    </row>
    <row r="33" spans="2:8" x14ac:dyDescent="0.2">
      <c r="B33"/>
      <c r="C33"/>
      <c r="D33"/>
      <c r="E33"/>
      <c r="F33"/>
      <c r="G33"/>
      <c r="H33"/>
    </row>
  </sheetData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Input Tab</vt:lpstr>
      <vt:lpstr>Q1 p.1 - Rate Base True-up Adj</vt:lpstr>
      <vt:lpstr>Q1 p.2 - Rate of Return Adj</vt:lpstr>
      <vt:lpstr>Q1 p3. - ROR (Mar-May)</vt:lpstr>
      <vt:lpstr>Q1 p.4 - ROR (Jun-Aug)</vt:lpstr>
      <vt:lpstr>Q1 p.5 - ECC (May)</vt:lpstr>
      <vt:lpstr>Q1 p.6 - ECC (Aug)</vt:lpstr>
      <vt:lpstr>Q2 p.1 - Retail E(m)</vt:lpstr>
      <vt:lpstr>Q2 p.2 - Detailed Over-Under</vt:lpstr>
      <vt:lpstr>Q2 p.3 - Summary Over-Under</vt:lpstr>
      <vt:lpstr>Q2 p.4 - Detailed Variances </vt:lpstr>
      <vt:lpstr>'Q1 p.4 - ROR (Jun-Aug)'!Print_Area</vt:lpstr>
      <vt:lpstr>'Q1 p3. - ROR (Mar-May)'!Print_Area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2018-04-10T21:19:27Z</dcterms:created>
  <dcterms:modified xsi:type="dcterms:W3CDTF">2018-04-11T12:26:45Z</dcterms:modified>
</cp:coreProperties>
</file>