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15" windowWidth="18960" windowHeight="11025"/>
  </bookViews>
  <sheets>
    <sheet name="Cost Shift" sheetId="23" r:id="rId1"/>
    <sheet name="Input Data" sheetId="21" r:id="rId2"/>
    <sheet name="Table2" sheetId="24" r:id="rId3"/>
    <sheet name="Table3" sheetId="25" r:id="rId4"/>
  </sheets>
  <definedNames>
    <definedName name="_xlnm.Print_Area" localSheetId="0">'Cost Shift'!$A$1:$AJ$24</definedName>
    <definedName name="_xlnm.Print_Area" localSheetId="1">'Input Data'!$A$1:$E$17</definedName>
    <definedName name="_xlnm.Print_Area" localSheetId="2">Table2!$A$1:$AJ$24</definedName>
    <definedName name="_xlnm.Print_Area" localSheetId="3">Table3!$A$1:$AJ$24</definedName>
    <definedName name="_xlnm.Print_Titles" localSheetId="0">'Cost Shift'!$A:$B</definedName>
    <definedName name="_xlnm.Print_Titles" localSheetId="2">Table2!$A:$B</definedName>
    <definedName name="_xlnm.Print_Titles" localSheetId="3">Table3!$A:$B</definedName>
  </definedNames>
  <calcPr calcId="145621"/>
</workbook>
</file>

<file path=xl/calcChain.xml><?xml version="1.0" encoding="utf-8"?>
<calcChain xmlns="http://schemas.openxmlformats.org/spreadsheetml/2006/main">
  <c r="L21" i="25" l="1"/>
  <c r="J21" i="25"/>
  <c r="L21" i="24"/>
  <c r="J21" i="24"/>
  <c r="L21" i="23"/>
  <c r="J21" i="23"/>
  <c r="Y23" i="25" l="1"/>
  <c r="K23" i="25"/>
  <c r="J23" i="25"/>
  <c r="G23" i="25"/>
  <c r="C23" i="25"/>
  <c r="U22" i="25"/>
  <c r="S22" i="25"/>
  <c r="R22" i="25"/>
  <c r="U21" i="25"/>
  <c r="S21" i="25"/>
  <c r="R21" i="25"/>
  <c r="N21" i="25"/>
  <c r="N23" i="25" s="1"/>
  <c r="M21" i="25"/>
  <c r="M23" i="25" s="1"/>
  <c r="S20" i="25"/>
  <c r="R20" i="25"/>
  <c r="S19" i="25"/>
  <c r="R19" i="25"/>
  <c r="S18" i="25"/>
  <c r="R18" i="25"/>
  <c r="S17" i="25"/>
  <c r="R17" i="25"/>
  <c r="S16" i="25"/>
  <c r="R16" i="25"/>
  <c r="S15" i="25"/>
  <c r="R15" i="25"/>
  <c r="S14" i="25"/>
  <c r="R14" i="25"/>
  <c r="S13" i="25"/>
  <c r="R13" i="25"/>
  <c r="S12" i="25"/>
  <c r="R12" i="25"/>
  <c r="H12" i="25"/>
  <c r="H23" i="25" s="1"/>
  <c r="G12" i="25"/>
  <c r="F12" i="25"/>
  <c r="F23" i="25" s="1"/>
  <c r="E12" i="25"/>
  <c r="E23" i="25" s="1"/>
  <c r="D12" i="25"/>
  <c r="D23" i="25" s="1"/>
  <c r="C12" i="25"/>
  <c r="AE11" i="25"/>
  <c r="U11" i="25"/>
  <c r="S11" i="25"/>
  <c r="R11" i="25"/>
  <c r="S10" i="25"/>
  <c r="R10" i="25"/>
  <c r="AE9" i="25"/>
  <c r="U9" i="25"/>
  <c r="S9" i="25"/>
  <c r="R9" i="25"/>
  <c r="S8" i="25"/>
  <c r="R8" i="25"/>
  <c r="AE7" i="25"/>
  <c r="U7" i="25"/>
  <c r="S7" i="25"/>
  <c r="S23" i="25" s="1"/>
  <c r="U10" i="25" s="1"/>
  <c r="R7" i="25"/>
  <c r="A2" i="25"/>
  <c r="A3" i="25" s="1"/>
  <c r="A4" i="25" s="1"/>
  <c r="A5" i="25" s="1"/>
  <c r="A6" i="25" s="1"/>
  <c r="A7" i="25" s="1"/>
  <c r="A8" i="25" s="1"/>
  <c r="A9" i="25" s="1"/>
  <c r="A10" i="25" s="1"/>
  <c r="A11" i="25" s="1"/>
  <c r="A12" i="25" s="1"/>
  <c r="A13" i="25" s="1"/>
  <c r="A14" i="25" s="1"/>
  <c r="A15" i="25" s="1"/>
  <c r="A16" i="25" s="1"/>
  <c r="A17" i="25" s="1"/>
  <c r="A18" i="25" s="1"/>
  <c r="A19" i="25" s="1"/>
  <c r="A20" i="25" s="1"/>
  <c r="A21" i="25" s="1"/>
  <c r="A22" i="25" s="1"/>
  <c r="A23" i="25" s="1"/>
  <c r="Y23" i="24"/>
  <c r="K23" i="24"/>
  <c r="J23" i="24"/>
  <c r="G23" i="24"/>
  <c r="C23" i="24"/>
  <c r="U22" i="24"/>
  <c r="S22" i="24"/>
  <c r="R22" i="24"/>
  <c r="S21" i="24"/>
  <c r="R21" i="24"/>
  <c r="N21" i="24"/>
  <c r="N23" i="24" s="1"/>
  <c r="M21" i="24"/>
  <c r="M23" i="24" s="1"/>
  <c r="S20" i="24"/>
  <c r="U20" i="24" s="1"/>
  <c r="R20" i="24"/>
  <c r="S19" i="24"/>
  <c r="U19" i="24" s="1"/>
  <c r="R19" i="24"/>
  <c r="S18" i="24"/>
  <c r="R18" i="24"/>
  <c r="S17" i="24"/>
  <c r="R17" i="24"/>
  <c r="S16" i="24"/>
  <c r="R16" i="24"/>
  <c r="S15" i="24"/>
  <c r="R15" i="24"/>
  <c r="S14" i="24"/>
  <c r="R14" i="24"/>
  <c r="S13" i="24"/>
  <c r="R13" i="24"/>
  <c r="S12" i="24"/>
  <c r="R12" i="24"/>
  <c r="H12" i="24"/>
  <c r="H23" i="24" s="1"/>
  <c r="G12" i="24"/>
  <c r="F12" i="24"/>
  <c r="F23" i="24" s="1"/>
  <c r="E12" i="24"/>
  <c r="E23" i="24" s="1"/>
  <c r="D12" i="24"/>
  <c r="D23" i="24" s="1"/>
  <c r="C12" i="24"/>
  <c r="AE11" i="24"/>
  <c r="U11" i="24"/>
  <c r="S11" i="24"/>
  <c r="R11" i="24"/>
  <c r="S10" i="24"/>
  <c r="R10" i="24"/>
  <c r="AE9" i="24"/>
  <c r="U9" i="24"/>
  <c r="S9" i="24"/>
  <c r="R9" i="24"/>
  <c r="S8" i="24"/>
  <c r="R8" i="24"/>
  <c r="AE7" i="24"/>
  <c r="U7" i="24"/>
  <c r="S7" i="24"/>
  <c r="S23" i="24" s="1"/>
  <c r="U21" i="24" s="1"/>
  <c r="R7" i="24"/>
  <c r="A2" i="24"/>
  <c r="A3" i="24" s="1"/>
  <c r="A4" i="24" s="1"/>
  <c r="A5" i="24" s="1"/>
  <c r="A6" i="24" s="1"/>
  <c r="A7" i="24" s="1"/>
  <c r="A8" i="24" s="1"/>
  <c r="A9" i="24" s="1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R23" i="25" l="1"/>
  <c r="AE10" i="25"/>
  <c r="T13" i="25"/>
  <c r="T17" i="25"/>
  <c r="O21" i="25"/>
  <c r="L23" i="25"/>
  <c r="AE22" i="25"/>
  <c r="AE21" i="25"/>
  <c r="AE20" i="25"/>
  <c r="AE18" i="25"/>
  <c r="AE16" i="25"/>
  <c r="AE14" i="25"/>
  <c r="AE12" i="25"/>
  <c r="U8" i="25"/>
  <c r="U12" i="25"/>
  <c r="U13" i="25"/>
  <c r="U14" i="25"/>
  <c r="U15" i="25"/>
  <c r="U16" i="25"/>
  <c r="U17" i="25"/>
  <c r="AE17" i="25" s="1"/>
  <c r="U18" i="25"/>
  <c r="U19" i="25"/>
  <c r="U20" i="25"/>
  <c r="M25" i="25"/>
  <c r="O21" i="24"/>
  <c r="L23" i="24"/>
  <c r="T13" i="24"/>
  <c r="U17" i="24"/>
  <c r="R23" i="24"/>
  <c r="T15" i="24" s="1"/>
  <c r="U8" i="24"/>
  <c r="U10" i="24"/>
  <c r="U12" i="24"/>
  <c r="U13" i="24"/>
  <c r="U14" i="24"/>
  <c r="U15" i="24"/>
  <c r="U16" i="24"/>
  <c r="U18" i="24"/>
  <c r="AE22" i="24"/>
  <c r="AE21" i="24"/>
  <c r="AE20" i="24"/>
  <c r="AE19" i="24"/>
  <c r="AE18" i="24"/>
  <c r="AE16" i="24"/>
  <c r="AE14" i="24"/>
  <c r="AE12" i="24"/>
  <c r="A15" i="21"/>
  <c r="A16" i="21"/>
  <c r="A17" i="21" s="1"/>
  <c r="T10" i="25" l="1"/>
  <c r="T7" i="25"/>
  <c r="T9" i="25"/>
  <c r="W9" i="25" s="1"/>
  <c r="T11" i="25"/>
  <c r="W11" i="25" s="1"/>
  <c r="T20" i="25"/>
  <c r="W20" i="25" s="1"/>
  <c r="X20" i="25" s="1"/>
  <c r="T16" i="25"/>
  <c r="T12" i="25"/>
  <c r="T21" i="25"/>
  <c r="W21" i="25" s="1"/>
  <c r="X21" i="25" s="1"/>
  <c r="T19" i="25"/>
  <c r="W19" i="25" s="1"/>
  <c r="X19" i="25" s="1"/>
  <c r="T15" i="25"/>
  <c r="T8" i="25"/>
  <c r="T22" i="25"/>
  <c r="T18" i="25"/>
  <c r="W18" i="25" s="1"/>
  <c r="X18" i="25" s="1"/>
  <c r="T14" i="25"/>
  <c r="T20" i="24"/>
  <c r="T12" i="24"/>
  <c r="T22" i="24"/>
  <c r="T19" i="24"/>
  <c r="W19" i="24" s="1"/>
  <c r="X19" i="24" s="1"/>
  <c r="T16" i="24"/>
  <c r="W16" i="24" s="1"/>
  <c r="X13" i="25"/>
  <c r="W10" i="25"/>
  <c r="W8" i="25"/>
  <c r="W7" i="25"/>
  <c r="W22" i="25"/>
  <c r="W16" i="25"/>
  <c r="X16" i="25" s="1"/>
  <c r="W17" i="25"/>
  <c r="X17" i="25" s="1"/>
  <c r="W15" i="25"/>
  <c r="W14" i="25"/>
  <c r="X14" i="25" s="1"/>
  <c r="W13" i="25"/>
  <c r="W12" i="25"/>
  <c r="X12" i="25" s="1"/>
  <c r="AE13" i="25"/>
  <c r="X8" i="25"/>
  <c r="O23" i="25"/>
  <c r="P21" i="25"/>
  <c r="P23" i="25" s="1"/>
  <c r="P25" i="25" s="1"/>
  <c r="X15" i="25"/>
  <c r="U23" i="25"/>
  <c r="AE15" i="25"/>
  <c r="AE19" i="25"/>
  <c r="AE8" i="25"/>
  <c r="AE10" i="24"/>
  <c r="W22" i="24"/>
  <c r="W15" i="24"/>
  <c r="X15" i="24" s="1"/>
  <c r="W12" i="24"/>
  <c r="X12" i="24" s="1"/>
  <c r="W20" i="24"/>
  <c r="W13" i="24"/>
  <c r="X13" i="24" s="1"/>
  <c r="O23" i="24"/>
  <c r="P21" i="24"/>
  <c r="P23" i="24" s="1"/>
  <c r="P25" i="24" s="1"/>
  <c r="M25" i="24"/>
  <c r="X22" i="24"/>
  <c r="AE15" i="24"/>
  <c r="AE8" i="24"/>
  <c r="U23" i="24"/>
  <c r="T10" i="24"/>
  <c r="W10" i="24" s="1"/>
  <c r="T11" i="24"/>
  <c r="W11" i="24" s="1"/>
  <c r="T9" i="24"/>
  <c r="W9" i="24" s="1"/>
  <c r="T8" i="24"/>
  <c r="W8" i="24" s="1"/>
  <c r="T7" i="24"/>
  <c r="W7" i="24" s="1"/>
  <c r="T17" i="24"/>
  <c r="W17" i="24" s="1"/>
  <c r="AE13" i="24"/>
  <c r="AE17" i="24"/>
  <c r="T21" i="24"/>
  <c r="W21" i="24" s="1"/>
  <c r="T18" i="24"/>
  <c r="W18" i="24" s="1"/>
  <c r="T14" i="24"/>
  <c r="W14" i="24" s="1"/>
  <c r="AE8" i="23"/>
  <c r="AE9" i="23"/>
  <c r="AE10" i="23"/>
  <c r="AE11" i="23"/>
  <c r="AE12" i="23"/>
  <c r="AE13" i="23"/>
  <c r="AE14" i="23"/>
  <c r="AE15" i="23"/>
  <c r="AE16" i="23"/>
  <c r="AE17" i="23"/>
  <c r="AE18" i="23"/>
  <c r="AE19" i="23"/>
  <c r="AE20" i="23"/>
  <c r="AE21" i="23"/>
  <c r="AE22" i="23"/>
  <c r="AE7" i="23"/>
  <c r="S21" i="23"/>
  <c r="R21" i="23"/>
  <c r="T23" i="25" l="1"/>
  <c r="AC19" i="25"/>
  <c r="AC9" i="25"/>
  <c r="AC15" i="25"/>
  <c r="AC22" i="25"/>
  <c r="X9" i="25"/>
  <c r="AC12" i="25"/>
  <c r="AC17" i="25"/>
  <c r="AC20" i="25"/>
  <c r="W23" i="25"/>
  <c r="AC7" i="25"/>
  <c r="X7" i="25"/>
  <c r="AC14" i="25"/>
  <c r="AC11" i="25"/>
  <c r="AC16" i="25"/>
  <c r="AC10" i="25"/>
  <c r="X11" i="25"/>
  <c r="AE23" i="25"/>
  <c r="X10" i="25"/>
  <c r="X22" i="25"/>
  <c r="AC13" i="25"/>
  <c r="AC18" i="25"/>
  <c r="AC21" i="25"/>
  <c r="AC8" i="25"/>
  <c r="W23" i="24"/>
  <c r="AC7" i="24"/>
  <c r="X7" i="24"/>
  <c r="AC18" i="24"/>
  <c r="X18" i="24"/>
  <c r="AC10" i="24"/>
  <c r="X10" i="24"/>
  <c r="AC8" i="24"/>
  <c r="X8" i="24"/>
  <c r="AC9" i="24"/>
  <c r="X9" i="24"/>
  <c r="AC17" i="24"/>
  <c r="X17" i="24"/>
  <c r="AC11" i="24"/>
  <c r="X11" i="24"/>
  <c r="AE23" i="24"/>
  <c r="AC14" i="24"/>
  <c r="AC16" i="24"/>
  <c r="AC22" i="24"/>
  <c r="X16" i="24"/>
  <c r="AC20" i="24"/>
  <c r="X20" i="24"/>
  <c r="AC19" i="24"/>
  <c r="AC15" i="24"/>
  <c r="AC21" i="24"/>
  <c r="X14" i="24"/>
  <c r="T23" i="24"/>
  <c r="X21" i="24"/>
  <c r="AC13" i="24"/>
  <c r="AC12" i="24"/>
  <c r="Y23" i="23"/>
  <c r="S23" i="23"/>
  <c r="AD18" i="25" l="1"/>
  <c r="X23" i="25"/>
  <c r="X25" i="25" s="1"/>
  <c r="X26" i="25" s="1"/>
  <c r="AD12" i="25"/>
  <c r="AD8" i="25"/>
  <c r="AD10" i="25"/>
  <c r="AD11" i="25"/>
  <c r="AD15" i="25"/>
  <c r="AD19" i="25"/>
  <c r="AD21" i="25"/>
  <c r="AD20" i="25"/>
  <c r="AD22" i="25"/>
  <c r="AD9" i="25"/>
  <c r="AD13" i="25"/>
  <c r="AD16" i="25"/>
  <c r="AD14" i="25"/>
  <c r="AC23" i="25"/>
  <c r="AD7" i="25"/>
  <c r="AD17" i="25"/>
  <c r="Z20" i="24"/>
  <c r="AA20" i="24" s="1"/>
  <c r="AI20" i="24" s="1"/>
  <c r="AD13" i="24"/>
  <c r="AD20" i="24"/>
  <c r="AD10" i="24"/>
  <c r="AD8" i="24"/>
  <c r="AD12" i="24"/>
  <c r="AD21" i="24"/>
  <c r="AD17" i="24"/>
  <c r="AD9" i="24"/>
  <c r="AD18" i="24"/>
  <c r="AC23" i="24"/>
  <c r="AD7" i="24"/>
  <c r="AD22" i="24"/>
  <c r="AD11" i="24"/>
  <c r="X23" i="24"/>
  <c r="Z7" i="24" s="1"/>
  <c r="AD19" i="24"/>
  <c r="AD16" i="24"/>
  <c r="AD15" i="24"/>
  <c r="AD14" i="24"/>
  <c r="A3" i="23"/>
  <c r="A4" i="23"/>
  <c r="A5" i="23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" i="23"/>
  <c r="A2" i="21"/>
  <c r="A3" i="21" s="1"/>
  <c r="A4" i="21" s="1"/>
  <c r="A5" i="21" s="1"/>
  <c r="A6" i="21" s="1"/>
  <c r="A7" i="21" s="1"/>
  <c r="A8" i="21" s="1"/>
  <c r="A9" i="21" s="1"/>
  <c r="A10" i="21" s="1"/>
  <c r="A11" i="21" s="1"/>
  <c r="A12" i="21" s="1"/>
  <c r="A13" i="21" s="1"/>
  <c r="A14" i="21" s="1"/>
  <c r="K23" i="23"/>
  <c r="J23" i="23"/>
  <c r="H12" i="23"/>
  <c r="H23" i="23" s="1"/>
  <c r="G12" i="23"/>
  <c r="G23" i="23" s="1"/>
  <c r="F12" i="23"/>
  <c r="F23" i="23" s="1"/>
  <c r="E12" i="23"/>
  <c r="E23" i="23" s="1"/>
  <c r="D12" i="23"/>
  <c r="S12" i="23" s="1"/>
  <c r="C12" i="23"/>
  <c r="C23" i="23" s="1"/>
  <c r="S22" i="23"/>
  <c r="R22" i="23"/>
  <c r="S20" i="23"/>
  <c r="R20" i="23"/>
  <c r="S19" i="23"/>
  <c r="R19" i="23"/>
  <c r="S18" i="23"/>
  <c r="R18" i="23"/>
  <c r="R17" i="23"/>
  <c r="S17" i="23"/>
  <c r="S16" i="23"/>
  <c r="R16" i="23"/>
  <c r="S15" i="23"/>
  <c r="R15" i="23"/>
  <c r="S14" i="23"/>
  <c r="R14" i="23"/>
  <c r="S13" i="23"/>
  <c r="R13" i="23"/>
  <c r="S11" i="23"/>
  <c r="R11" i="23"/>
  <c r="S10" i="23"/>
  <c r="R10" i="23"/>
  <c r="S9" i="23"/>
  <c r="R9" i="23"/>
  <c r="S8" i="23"/>
  <c r="R8" i="23"/>
  <c r="S7" i="23"/>
  <c r="R7" i="23"/>
  <c r="Z18" i="25" l="1"/>
  <c r="AA18" i="25" s="1"/>
  <c r="AI18" i="25" s="1"/>
  <c r="Z20" i="25"/>
  <c r="AA20" i="25" s="1"/>
  <c r="AI20" i="25" s="1"/>
  <c r="Z17" i="25"/>
  <c r="AA17" i="25" s="1"/>
  <c r="AI17" i="25" s="1"/>
  <c r="Z16" i="25"/>
  <c r="AA16" i="25" s="1"/>
  <c r="AI16" i="25" s="1"/>
  <c r="Z15" i="25"/>
  <c r="AA15" i="25" s="1"/>
  <c r="AI15" i="25" s="1"/>
  <c r="Z13" i="25"/>
  <c r="AA13" i="25" s="1"/>
  <c r="AI13" i="25" s="1"/>
  <c r="Z12" i="25"/>
  <c r="AA12" i="25" s="1"/>
  <c r="AI12" i="25" s="1"/>
  <c r="Z14" i="25"/>
  <c r="AA14" i="25" s="1"/>
  <c r="AI14" i="25" s="1"/>
  <c r="AD23" i="25"/>
  <c r="AF10" i="25" s="1"/>
  <c r="AG10" i="25" s="1"/>
  <c r="AJ10" i="25" s="1"/>
  <c r="Z19" i="25"/>
  <c r="AA19" i="25" s="1"/>
  <c r="AI19" i="25" s="1"/>
  <c r="Z10" i="25"/>
  <c r="AA10" i="25" s="1"/>
  <c r="AI10" i="25" s="1"/>
  <c r="Z8" i="25"/>
  <c r="AA8" i="25" s="1"/>
  <c r="AI8" i="25" s="1"/>
  <c r="Z7" i="25"/>
  <c r="Z22" i="25"/>
  <c r="AA22" i="25" s="1"/>
  <c r="AI22" i="25" s="1"/>
  <c r="Z11" i="25"/>
  <c r="AA11" i="25" s="1"/>
  <c r="AI11" i="25" s="1"/>
  <c r="Z21" i="25"/>
  <c r="AA21" i="25" s="1"/>
  <c r="AI21" i="25" s="1"/>
  <c r="Z9" i="25"/>
  <c r="AA9" i="25" s="1"/>
  <c r="AI9" i="25" s="1"/>
  <c r="AD23" i="24"/>
  <c r="AF7" i="24" s="1"/>
  <c r="AA7" i="24"/>
  <c r="X25" i="24"/>
  <c r="X26" i="24" s="1"/>
  <c r="Z17" i="24"/>
  <c r="AA17" i="24" s="1"/>
  <c r="AI17" i="24" s="1"/>
  <c r="Z13" i="24"/>
  <c r="AA13" i="24" s="1"/>
  <c r="AI13" i="24" s="1"/>
  <c r="Z10" i="24"/>
  <c r="AA10" i="24" s="1"/>
  <c r="AI10" i="24" s="1"/>
  <c r="Z22" i="24"/>
  <c r="AA22" i="24" s="1"/>
  <c r="AI22" i="24" s="1"/>
  <c r="Z19" i="24"/>
  <c r="AA19" i="24" s="1"/>
  <c r="AI19" i="24" s="1"/>
  <c r="Z15" i="24"/>
  <c r="AA15" i="24" s="1"/>
  <c r="AI15" i="24" s="1"/>
  <c r="Z11" i="24"/>
  <c r="AA11" i="24" s="1"/>
  <c r="AI11" i="24" s="1"/>
  <c r="Z21" i="24"/>
  <c r="AA21" i="24" s="1"/>
  <c r="AI21" i="24" s="1"/>
  <c r="Z14" i="24"/>
  <c r="AA14" i="24" s="1"/>
  <c r="AI14" i="24" s="1"/>
  <c r="Z9" i="24"/>
  <c r="AA9" i="24" s="1"/>
  <c r="AI9" i="24" s="1"/>
  <c r="Z16" i="24"/>
  <c r="AA16" i="24" s="1"/>
  <c r="AI16" i="24" s="1"/>
  <c r="Z12" i="24"/>
  <c r="AA12" i="24" s="1"/>
  <c r="AI12" i="24" s="1"/>
  <c r="Z8" i="24"/>
  <c r="AA8" i="24" s="1"/>
  <c r="AI8" i="24" s="1"/>
  <c r="Z18" i="24"/>
  <c r="AA18" i="24" s="1"/>
  <c r="AI18" i="24" s="1"/>
  <c r="L23" i="23"/>
  <c r="R12" i="23"/>
  <c r="R23" i="23" s="1"/>
  <c r="D23" i="23"/>
  <c r="N21" i="23"/>
  <c r="N23" i="23" s="1"/>
  <c r="AF9" i="25" l="1"/>
  <c r="AG9" i="25" s="1"/>
  <c r="AJ9" i="25" s="1"/>
  <c r="AF10" i="24"/>
  <c r="AG10" i="24" s="1"/>
  <c r="AJ10" i="24" s="1"/>
  <c r="AF8" i="24"/>
  <c r="AG8" i="24" s="1"/>
  <c r="AJ8" i="24" s="1"/>
  <c r="AF17" i="24"/>
  <c r="AG17" i="24" s="1"/>
  <c r="AJ17" i="24" s="1"/>
  <c r="AF21" i="24"/>
  <c r="AG21" i="24" s="1"/>
  <c r="AJ21" i="24" s="1"/>
  <c r="AF11" i="24"/>
  <c r="AG11" i="24" s="1"/>
  <c r="AJ11" i="24" s="1"/>
  <c r="AF19" i="24"/>
  <c r="AG19" i="24" s="1"/>
  <c r="AJ19" i="24" s="1"/>
  <c r="AF9" i="24"/>
  <c r="AG9" i="24" s="1"/>
  <c r="AJ9" i="24" s="1"/>
  <c r="AF12" i="24"/>
  <c r="AG12" i="24" s="1"/>
  <c r="AJ12" i="24" s="1"/>
  <c r="AF14" i="24"/>
  <c r="AG14" i="24" s="1"/>
  <c r="AJ14" i="24" s="1"/>
  <c r="AD25" i="25"/>
  <c r="AD26" i="25" s="1"/>
  <c r="AF22" i="25"/>
  <c r="AG22" i="25" s="1"/>
  <c r="AJ22" i="25" s="1"/>
  <c r="AF20" i="25"/>
  <c r="AG20" i="25" s="1"/>
  <c r="AJ20" i="25" s="1"/>
  <c r="AF18" i="25"/>
  <c r="AG18" i="25" s="1"/>
  <c r="AJ18" i="25" s="1"/>
  <c r="AF12" i="25"/>
  <c r="AG12" i="25" s="1"/>
  <c r="AJ12" i="25" s="1"/>
  <c r="AF8" i="25"/>
  <c r="AG8" i="25" s="1"/>
  <c r="AJ8" i="25" s="1"/>
  <c r="AF15" i="25"/>
  <c r="AG15" i="25" s="1"/>
  <c r="AJ15" i="25" s="1"/>
  <c r="AF16" i="25"/>
  <c r="AG16" i="25" s="1"/>
  <c r="AJ16" i="25" s="1"/>
  <c r="AF21" i="25"/>
  <c r="AG21" i="25" s="1"/>
  <c r="AJ21" i="25" s="1"/>
  <c r="AF14" i="25"/>
  <c r="AG14" i="25" s="1"/>
  <c r="AJ14" i="25" s="1"/>
  <c r="AF11" i="25"/>
  <c r="AG11" i="25" s="1"/>
  <c r="AJ11" i="25" s="1"/>
  <c r="AF17" i="25"/>
  <c r="AG17" i="25" s="1"/>
  <c r="AJ17" i="25" s="1"/>
  <c r="AF19" i="25"/>
  <c r="AG19" i="25" s="1"/>
  <c r="AJ19" i="25" s="1"/>
  <c r="Z23" i="25"/>
  <c r="AA7" i="25"/>
  <c r="AF7" i="25"/>
  <c r="AF13" i="25"/>
  <c r="AG13" i="25" s="1"/>
  <c r="AJ13" i="25" s="1"/>
  <c r="AD25" i="24"/>
  <c r="AD26" i="24" s="1"/>
  <c r="AF20" i="24"/>
  <c r="AG20" i="24" s="1"/>
  <c r="AJ20" i="24" s="1"/>
  <c r="AF22" i="24"/>
  <c r="AG22" i="24" s="1"/>
  <c r="AJ22" i="24" s="1"/>
  <c r="AF15" i="24"/>
  <c r="AG15" i="24" s="1"/>
  <c r="AJ15" i="24" s="1"/>
  <c r="AF13" i="24"/>
  <c r="AG13" i="24" s="1"/>
  <c r="AJ13" i="24" s="1"/>
  <c r="AF16" i="24"/>
  <c r="AG16" i="24" s="1"/>
  <c r="AJ16" i="24" s="1"/>
  <c r="AF18" i="24"/>
  <c r="AG18" i="24" s="1"/>
  <c r="AJ18" i="24" s="1"/>
  <c r="AG7" i="24"/>
  <c r="AI7" i="24"/>
  <c r="AA23" i="24"/>
  <c r="AI23" i="24" s="1"/>
  <c r="Z23" i="24"/>
  <c r="W20" i="23"/>
  <c r="W17" i="23"/>
  <c r="W21" i="23"/>
  <c r="W22" i="23"/>
  <c r="W19" i="23"/>
  <c r="U7" i="23"/>
  <c r="U9" i="23"/>
  <c r="U11" i="23"/>
  <c r="U13" i="23"/>
  <c r="U15" i="23"/>
  <c r="U17" i="23"/>
  <c r="U19" i="23"/>
  <c r="U21" i="23"/>
  <c r="U8" i="23"/>
  <c r="U10" i="23"/>
  <c r="U14" i="23"/>
  <c r="U16" i="23"/>
  <c r="U18" i="23"/>
  <c r="U20" i="23"/>
  <c r="U22" i="23"/>
  <c r="U12" i="23"/>
  <c r="T9" i="23"/>
  <c r="W9" i="23" s="1"/>
  <c r="T11" i="23"/>
  <c r="W11" i="23" s="1"/>
  <c r="T13" i="23"/>
  <c r="W13" i="23" s="1"/>
  <c r="T15" i="23"/>
  <c r="W15" i="23" s="1"/>
  <c r="T17" i="23"/>
  <c r="T19" i="23"/>
  <c r="T21" i="23"/>
  <c r="T7" i="23"/>
  <c r="W7" i="23" s="1"/>
  <c r="T8" i="23"/>
  <c r="W8" i="23" s="1"/>
  <c r="T10" i="23"/>
  <c r="W10" i="23" s="1"/>
  <c r="T16" i="23"/>
  <c r="W16" i="23" s="1"/>
  <c r="T18" i="23"/>
  <c r="W18" i="23" s="1"/>
  <c r="T20" i="23"/>
  <c r="T22" i="23"/>
  <c r="T14" i="23"/>
  <c r="W14" i="23" s="1"/>
  <c r="T12" i="23"/>
  <c r="W12" i="23" s="1"/>
  <c r="AI7" i="25" l="1"/>
  <c r="AA23" i="25"/>
  <c r="AI23" i="25" s="1"/>
  <c r="AF23" i="25"/>
  <c r="AG7" i="25"/>
  <c r="AG23" i="24"/>
  <c r="AJ23" i="24" s="1"/>
  <c r="AJ7" i="24"/>
  <c r="AF23" i="24"/>
  <c r="AE23" i="23"/>
  <c r="U23" i="23"/>
  <c r="T23" i="23"/>
  <c r="AG23" i="25" l="1"/>
  <c r="AJ23" i="25" s="1"/>
  <c r="AJ7" i="25"/>
  <c r="AC11" i="23"/>
  <c r="AC19" i="23"/>
  <c r="AC22" i="23"/>
  <c r="AC15" i="23"/>
  <c r="AC21" i="23"/>
  <c r="AC12" i="23"/>
  <c r="AC18" i="23"/>
  <c r="AC9" i="23"/>
  <c r="AC10" i="23"/>
  <c r="AC13" i="23"/>
  <c r="AC14" i="23"/>
  <c r="AC16" i="23"/>
  <c r="AC17" i="23"/>
  <c r="AC8" i="23"/>
  <c r="AC20" i="23"/>
  <c r="W23" i="23" l="1"/>
  <c r="AC7" i="23"/>
  <c r="AC23" i="23" s="1"/>
  <c r="E16" i="21" l="1"/>
  <c r="D8" i="21"/>
  <c r="D17" i="21" l="1"/>
  <c r="M21" i="23"/>
  <c r="M23" i="23" l="1"/>
  <c r="O21" i="23"/>
  <c r="P21" i="23"/>
  <c r="P23" i="23" s="1"/>
  <c r="P25" i="23" s="1"/>
  <c r="AD8" i="23" l="1"/>
  <c r="AD12" i="23"/>
  <c r="AD16" i="23"/>
  <c r="AD20" i="23"/>
  <c r="X8" i="23"/>
  <c r="X12" i="23"/>
  <c r="X16" i="23"/>
  <c r="X20" i="23"/>
  <c r="AD18" i="23"/>
  <c r="X14" i="23"/>
  <c r="AD9" i="23"/>
  <c r="AD13" i="23"/>
  <c r="AD17" i="23"/>
  <c r="AD21" i="23"/>
  <c r="X9" i="23"/>
  <c r="X13" i="23"/>
  <c r="X17" i="23"/>
  <c r="X21" i="23"/>
  <c r="AD14" i="23"/>
  <c r="X18" i="23"/>
  <c r="AD11" i="23"/>
  <c r="AD15" i="23"/>
  <c r="AD19" i="23"/>
  <c r="AD7" i="23"/>
  <c r="X11" i="23"/>
  <c r="X15" i="23"/>
  <c r="X19" i="23"/>
  <c r="X7" i="23"/>
  <c r="X23" i="23" s="1"/>
  <c r="X25" i="23" s="1"/>
  <c r="AD10" i="23"/>
  <c r="AD22" i="23"/>
  <c r="X10" i="23"/>
  <c r="X22" i="23"/>
  <c r="M25" i="23"/>
  <c r="O23" i="23"/>
  <c r="AD23" i="23" l="1"/>
  <c r="AD25" i="23" s="1"/>
  <c r="AF12" i="23"/>
  <c r="AF16" i="23"/>
  <c r="Z22" i="23"/>
  <c r="Z18" i="23"/>
  <c r="AA18" i="23" s="1"/>
  <c r="AI18" i="23" s="1"/>
  <c r="Z14" i="23"/>
  <c r="AA14" i="23" s="1"/>
  <c r="AI14" i="23" s="1"/>
  <c r="Z10" i="23"/>
  <c r="AF10" i="23"/>
  <c r="AF22" i="23"/>
  <c r="Z20" i="23"/>
  <c r="AA20" i="23" s="1"/>
  <c r="AI20" i="23" s="1"/>
  <c r="Z12" i="23"/>
  <c r="AF9" i="23"/>
  <c r="AF13" i="23"/>
  <c r="AF17" i="23"/>
  <c r="Z21" i="23"/>
  <c r="Z17" i="23"/>
  <c r="Z13" i="23"/>
  <c r="AA13" i="23" s="1"/>
  <c r="AI13" i="23" s="1"/>
  <c r="Z9" i="23"/>
  <c r="AF14" i="23"/>
  <c r="Z16" i="23"/>
  <c r="Z8" i="23"/>
  <c r="AA8" i="23" s="1"/>
  <c r="AI8" i="23" s="1"/>
  <c r="AF15" i="23"/>
  <c r="AF19" i="23"/>
  <c r="AF7" i="23"/>
  <c r="Z19" i="23"/>
  <c r="Z15" i="23"/>
  <c r="Z11" i="23"/>
  <c r="AA11" i="23" s="1"/>
  <c r="AI11" i="23" s="1"/>
  <c r="Z7" i="23"/>
  <c r="Z23" i="23" s="1"/>
  <c r="AD26" i="23"/>
  <c r="AA16" i="23"/>
  <c r="AI16" i="23" s="1"/>
  <c r="X26" i="23"/>
  <c r="AA9" i="23"/>
  <c r="AI9" i="23" s="1"/>
  <c r="AA10" i="23"/>
  <c r="AI10" i="23" s="1"/>
  <c r="AA12" i="23"/>
  <c r="AI12" i="23" s="1"/>
  <c r="AA22" i="23"/>
  <c r="AI22" i="23" s="1"/>
  <c r="AA19" i="23"/>
  <c r="AI19" i="23" s="1"/>
  <c r="AA15" i="23"/>
  <c r="AI15" i="23" s="1"/>
  <c r="AA17" i="23"/>
  <c r="AI17" i="23" s="1"/>
  <c r="AA21" i="23"/>
  <c r="AI21" i="23" s="1"/>
  <c r="AF18" i="23" l="1"/>
  <c r="AF11" i="23"/>
  <c r="AG11" i="23" s="1"/>
  <c r="AJ11" i="23" s="1"/>
  <c r="AF21" i="23"/>
  <c r="AG21" i="23" s="1"/>
  <c r="AJ21" i="23" s="1"/>
  <c r="AF20" i="23"/>
  <c r="AF8" i="23"/>
  <c r="AG7" i="23"/>
  <c r="AJ7" i="23" s="1"/>
  <c r="AA7" i="23"/>
  <c r="AI7" i="23" s="1"/>
  <c r="AG22" i="23"/>
  <c r="AJ22" i="23" s="1"/>
  <c r="AG10" i="23"/>
  <c r="AJ10" i="23" s="1"/>
  <c r="AG8" i="23"/>
  <c r="AJ8" i="23" s="1"/>
  <c r="AG13" i="23"/>
  <c r="AJ13" i="23" s="1"/>
  <c r="AG16" i="23"/>
  <c r="AJ16" i="23" s="1"/>
  <c r="AG18" i="23"/>
  <c r="AJ18" i="23" s="1"/>
  <c r="AG12" i="23"/>
  <c r="AJ12" i="23" s="1"/>
  <c r="AG15" i="23"/>
  <c r="AJ15" i="23" s="1"/>
  <c r="AG9" i="23"/>
  <c r="AJ9" i="23" s="1"/>
  <c r="AG17" i="23"/>
  <c r="AJ17" i="23" s="1"/>
  <c r="AG19" i="23"/>
  <c r="AJ19" i="23" s="1"/>
  <c r="AG20" i="23"/>
  <c r="AJ20" i="23" s="1"/>
  <c r="AG14" i="23"/>
  <c r="AJ14" i="23" s="1"/>
  <c r="AF23" i="23" l="1"/>
  <c r="AA23" i="23"/>
  <c r="AI23" i="23" s="1"/>
  <c r="AG23" i="23"/>
  <c r="AJ23" i="23" l="1"/>
</calcChain>
</file>

<file path=xl/sharedStrings.xml><?xml version="1.0" encoding="utf-8"?>
<sst xmlns="http://schemas.openxmlformats.org/spreadsheetml/2006/main" count="195" uniqueCount="55">
  <si>
    <t>BLUE GRASS ENERGY</t>
  </si>
  <si>
    <t>KW</t>
  </si>
  <si>
    <t>KWH</t>
  </si>
  <si>
    <t>%KW</t>
  </si>
  <si>
    <t>%KWH</t>
  </si>
  <si>
    <t>South Kentucky Savings Under EKPC Wholesale Power Agreement</t>
  </si>
  <si>
    <t>Demand</t>
  </si>
  <si>
    <t>South Kentucky</t>
  </si>
  <si>
    <t>Assumptions</t>
  </si>
  <si>
    <t>Base Rates</t>
  </si>
  <si>
    <t>Energy Off Pk</t>
  </si>
  <si>
    <t>Energy On Pk</t>
  </si>
  <si>
    <t>E2</t>
  </si>
  <si>
    <t>Alternate Source kW</t>
  </si>
  <si>
    <t>Alternate Source kWh</t>
  </si>
  <si>
    <t>Class</t>
  </si>
  <si>
    <t>Component</t>
  </si>
  <si>
    <t>Charge</t>
  </si>
  <si>
    <t>Share</t>
  </si>
  <si>
    <t>Energy All-In</t>
  </si>
  <si>
    <t>Billing Determinants</t>
  </si>
  <si>
    <t>TOTAL</t>
  </si>
  <si>
    <t>BIG SANDY RECC</t>
  </si>
  <si>
    <t>CLARK ENERGY COOP</t>
  </si>
  <si>
    <t>CUMBERLAND VALLEY ELECTRIC</t>
  </si>
  <si>
    <t>FARMERS RECC</t>
  </si>
  <si>
    <t>FLEMING MASON RECC</t>
  </si>
  <si>
    <t>GRAYSON RECC</t>
  </si>
  <si>
    <t>INTER-COUNTY ECC</t>
  </si>
  <si>
    <t>JACKSON ENERGY COOP</t>
  </si>
  <si>
    <t>LICKING VALLEY RECC</t>
  </si>
  <si>
    <t>NOLIN RECC</t>
  </si>
  <si>
    <t>OWEN EC</t>
  </si>
  <si>
    <t>SALT RIVER RECC</t>
  </si>
  <si>
    <t>SHELBY ENERGY COOP</t>
  </si>
  <si>
    <t>SOUTH KENTUCKY RECC</t>
  </si>
  <si>
    <t>TAYLOR COUNTY RECC</t>
  </si>
  <si>
    <t>Estimated Transaction Impacts</t>
  </si>
  <si>
    <t>Base Rev $</t>
  </si>
  <si>
    <t>FAC $</t>
  </si>
  <si>
    <t>ES $</t>
  </si>
  <si>
    <t>Total Rev $</t>
  </si>
  <si>
    <t>Base Rev Energy $</t>
  </si>
  <si>
    <t>Base Rev Demand $</t>
  </si>
  <si>
    <t>Owner Member</t>
  </si>
  <si>
    <t>With FAC</t>
  </si>
  <si>
    <t>Without FAC</t>
  </si>
  <si>
    <t>Increase %</t>
  </si>
  <si>
    <t>Remaining Amounts</t>
  </si>
  <si>
    <t>Total Base Rev:</t>
  </si>
  <si>
    <t>Portion Shifted:</t>
  </si>
  <si>
    <t>Total Savings:</t>
  </si>
  <si>
    <t>Cost Shift: Increase without FAC</t>
  </si>
  <si>
    <t>Cost Shift: Increase with FAC</t>
  </si>
  <si>
    <t>'Estimated Transaction Impacts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</si>
</sst>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0000_);_(* \(#,##0.00000\);_(* &quot;-&quot;??_);_(@_)"/>
    <numFmt numFmtId="167" formatCode="_(* #,##0.000000_);_(* \(#,##0.000000\);_(* &quot;-&quot;??_);_(@_)"/>
  </numFmts>
  <fonts count="14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99"/>
      <name val="Times New Roman"/>
      <family val="1"/>
    </font>
    <font>
      <u/>
      <sz val="10"/>
      <color rgb="FF000000"/>
      <name val="Times New Roman"/>
      <family val="1"/>
    </font>
    <font>
      <b/>
      <u/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i/>
      <sz val="10"/>
      <name val="Times New Roman"/>
      <family val="1"/>
    </font>
    <font>
      <sz val="8"/>
      <color rgb="FF00009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0"/>
  </cellStyleXfs>
  <cellXfs count="7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2" fillId="0" borderId="1" xfId="1" applyFont="1" applyFill="1" applyBorder="1" applyAlignment="1">
      <alignment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164" fontId="2" fillId="0" borderId="3" xfId="2" applyNumberFormat="1" applyFont="1" applyFill="1" applyBorder="1" applyAlignment="1">
      <alignment horizontal="center" vertical="center" wrapText="1"/>
    </xf>
    <xf numFmtId="164" fontId="2" fillId="0" borderId="0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4" fillId="0" borderId="0" xfId="2" applyNumberFormat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right" vertical="center"/>
    </xf>
    <xf numFmtId="164" fontId="4" fillId="0" borderId="0" xfId="1" applyNumberFormat="1" applyFont="1" applyFill="1" applyBorder="1" applyAlignment="1">
      <alignment horizontal="left" vertical="center"/>
    </xf>
    <xf numFmtId="9" fontId="4" fillId="0" borderId="0" xfId="3" applyFont="1" applyFill="1" applyBorder="1" applyAlignment="1">
      <alignment horizontal="right" vertical="center"/>
    </xf>
    <xf numFmtId="164" fontId="4" fillId="0" borderId="2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vertical="center" wrapText="1"/>
    </xf>
    <xf numFmtId="165" fontId="4" fillId="0" borderId="0" xfId="3" applyNumberFormat="1" applyFont="1" applyFill="1" applyBorder="1" applyAlignment="1">
      <alignment horizontal="right" vertical="center"/>
    </xf>
    <xf numFmtId="164" fontId="13" fillId="0" borderId="0" xfId="2" applyNumberFormat="1" applyFont="1" applyFill="1" applyBorder="1" applyAlignment="1">
      <alignment horizontal="right" vertical="center" wrapText="1"/>
    </xf>
    <xf numFmtId="166" fontId="4" fillId="0" borderId="0" xfId="2" applyNumberFormat="1" applyFont="1" applyFill="1" applyBorder="1" applyAlignment="1">
      <alignment horizontal="right" vertical="center" wrapText="1"/>
    </xf>
    <xf numFmtId="164" fontId="4" fillId="0" borderId="0" xfId="1" applyNumberFormat="1" applyFont="1" applyFill="1" applyBorder="1" applyAlignment="1">
      <alignment horizontal="right" vertical="center"/>
    </xf>
    <xf numFmtId="164" fontId="4" fillId="4" borderId="0" xfId="2" applyNumberFormat="1" applyFont="1" applyFill="1" applyBorder="1" applyAlignment="1">
      <alignment horizontal="right" vertical="center" wrapText="1"/>
    </xf>
    <xf numFmtId="164" fontId="4" fillId="0" borderId="4" xfId="2" applyNumberFormat="1" applyFont="1" applyFill="1" applyBorder="1" applyAlignment="1">
      <alignment horizontal="right" vertical="center" wrapText="1"/>
    </xf>
    <xf numFmtId="9" fontId="4" fillId="0" borderId="4" xfId="3" applyFont="1" applyFill="1" applyBorder="1" applyAlignment="1">
      <alignment horizontal="right" vertical="center" wrapText="1"/>
    </xf>
    <xf numFmtId="165" fontId="4" fillId="0" borderId="0" xfId="3" applyNumberFormat="1" applyFont="1" applyFill="1" applyBorder="1" applyAlignment="1">
      <alignment horizontal="center" vertical="center"/>
    </xf>
    <xf numFmtId="165" fontId="4" fillId="0" borderId="4" xfId="3" applyNumberFormat="1" applyFont="1" applyFill="1" applyBorder="1" applyAlignment="1">
      <alignment horizontal="center" vertical="center"/>
    </xf>
    <xf numFmtId="0" fontId="2" fillId="0" borderId="0" xfId="1" quotePrefix="1" applyFont="1" applyFill="1" applyBorder="1" applyAlignment="1">
      <alignment horizontal="left" vertical="center"/>
    </xf>
    <xf numFmtId="164" fontId="3" fillId="0" borderId="0" xfId="2" applyNumberFormat="1" applyFont="1" applyFill="1" applyBorder="1" applyAlignment="1">
      <alignment horizontal="right" vertical="center" wrapText="1"/>
    </xf>
    <xf numFmtId="43" fontId="4" fillId="0" borderId="0" xfId="2" applyNumberFormat="1" applyFont="1" applyFill="1" applyBorder="1" applyAlignment="1">
      <alignment horizontal="left" vertical="center"/>
    </xf>
    <xf numFmtId="167" fontId="4" fillId="0" borderId="0" xfId="2" applyNumberFormat="1" applyFont="1" applyFill="1" applyBorder="1" applyAlignment="1">
      <alignment horizontal="left" vertical="center"/>
    </xf>
    <xf numFmtId="43" fontId="4" fillId="0" borderId="0" xfId="2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3" fillId="0" borderId="2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vertical="center" wrapText="1"/>
    </xf>
    <xf numFmtId="0" fontId="2" fillId="0" borderId="2" xfId="1" applyFont="1" applyFill="1" applyBorder="1" applyAlignment="1">
      <alignment vertical="center" wrapText="1"/>
    </xf>
    <xf numFmtId="9" fontId="4" fillId="0" borderId="0" xfId="3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64" fontId="8" fillId="0" borderId="0" xfId="2" applyNumberFormat="1" applyFont="1" applyFill="1" applyBorder="1" applyAlignment="1">
      <alignment horizontal="left" vertical="center"/>
    </xf>
    <xf numFmtId="164" fontId="0" fillId="0" borderId="0" xfId="2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43" fontId="8" fillId="0" borderId="0" xfId="2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167" fontId="8" fillId="0" borderId="0" xfId="2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167" fontId="12" fillId="0" borderId="0" xfId="2" applyNumberFormat="1" applyFont="1" applyFill="1" applyBorder="1" applyAlignment="1">
      <alignment horizontal="left"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vertical="center"/>
    </xf>
    <xf numFmtId="164" fontId="2" fillId="7" borderId="5" xfId="2" applyNumberFormat="1" applyFont="1" applyFill="1" applyBorder="1" applyAlignment="1">
      <alignment horizontal="center" vertical="center" wrapText="1"/>
    </xf>
    <xf numFmtId="164" fontId="2" fillId="7" borderId="7" xfId="2" applyNumberFormat="1" applyFont="1" applyFill="1" applyBorder="1" applyAlignment="1">
      <alignment horizontal="center" vertical="center" wrapText="1"/>
    </xf>
    <xf numFmtId="164" fontId="4" fillId="4" borderId="5" xfId="2" applyNumberFormat="1" applyFont="1" applyFill="1" applyBorder="1" applyAlignment="1">
      <alignment horizontal="center" vertical="center"/>
    </xf>
    <xf numFmtId="164" fontId="4" fillId="4" borderId="6" xfId="2" applyNumberFormat="1" applyFont="1" applyFill="1" applyBorder="1" applyAlignment="1">
      <alignment horizontal="center" vertical="center"/>
    </xf>
    <xf numFmtId="164" fontId="4" fillId="4" borderId="7" xfId="2" applyNumberFormat="1" applyFont="1" applyFill="1" applyBorder="1" applyAlignment="1">
      <alignment horizontal="center" vertical="center"/>
    </xf>
    <xf numFmtId="164" fontId="4" fillId="2" borderId="5" xfId="2" applyNumberFormat="1" applyFont="1" applyFill="1" applyBorder="1" applyAlignment="1">
      <alignment horizontal="center" vertical="center"/>
    </xf>
    <xf numFmtId="164" fontId="4" fillId="2" borderId="6" xfId="2" applyNumberFormat="1" applyFont="1" applyFill="1" applyBorder="1" applyAlignment="1">
      <alignment horizontal="center" vertical="center"/>
    </xf>
    <xf numFmtId="164" fontId="4" fillId="2" borderId="7" xfId="2" applyNumberFormat="1" applyFont="1" applyFill="1" applyBorder="1" applyAlignment="1">
      <alignment horizontal="center" vertical="center"/>
    </xf>
    <xf numFmtId="164" fontId="2" fillId="3" borderId="5" xfId="2" applyNumberFormat="1" applyFont="1" applyFill="1" applyBorder="1" applyAlignment="1">
      <alignment horizontal="center" vertical="center" wrapText="1"/>
    </xf>
    <xf numFmtId="164" fontId="2" fillId="3" borderId="6" xfId="2" applyNumberFormat="1" applyFont="1" applyFill="1" applyBorder="1" applyAlignment="1">
      <alignment horizontal="center" vertical="center" wrapText="1"/>
    </xf>
    <xf numFmtId="164" fontId="2" fillId="3" borderId="7" xfId="2" applyNumberFormat="1" applyFont="1" applyFill="1" applyBorder="1" applyAlignment="1">
      <alignment horizontal="center" vertical="center" wrapText="1"/>
    </xf>
    <xf numFmtId="164" fontId="2" fillId="6" borderId="5" xfId="2" applyNumberFormat="1" applyFont="1" applyFill="1" applyBorder="1" applyAlignment="1">
      <alignment horizontal="center" vertical="center" wrapText="1"/>
    </xf>
    <xf numFmtId="164" fontId="2" fillId="6" borderId="6" xfId="2" applyNumberFormat="1" applyFont="1" applyFill="1" applyBorder="1" applyAlignment="1">
      <alignment horizontal="center" vertical="center" wrapText="1"/>
    </xf>
    <xf numFmtId="164" fontId="2" fillId="6" borderId="7" xfId="2" applyNumberFormat="1" applyFont="1" applyFill="1" applyBorder="1" applyAlignment="1">
      <alignment horizontal="center" vertical="center" wrapText="1"/>
    </xf>
    <xf numFmtId="164" fontId="2" fillId="5" borderId="5" xfId="2" applyNumberFormat="1" applyFont="1" applyFill="1" applyBorder="1" applyAlignment="1">
      <alignment horizontal="center" vertical="center" wrapText="1"/>
    </xf>
    <xf numFmtId="164" fontId="2" fillId="5" borderId="6" xfId="2" applyNumberFormat="1" applyFont="1" applyFill="1" applyBorder="1" applyAlignment="1">
      <alignment horizontal="center" vertical="center" wrapText="1"/>
    </xf>
    <xf numFmtId="164" fontId="2" fillId="5" borderId="7" xfId="2" applyNumberFormat="1" applyFont="1" applyFill="1" applyBorder="1" applyAlignment="1">
      <alignment horizontal="center" vertical="center" wrapText="1"/>
    </xf>
    <xf numFmtId="164" fontId="13" fillId="8" borderId="0" xfId="2" applyNumberFormat="1" applyFont="1" applyFill="1" applyBorder="1" applyAlignment="1">
      <alignment horizontal="right" vertical="center" wrapText="1"/>
    </xf>
  </cellXfs>
  <cellStyles count="5">
    <cellStyle name="Comma" xfId="2" builtinId="3"/>
    <cellStyle name="Normal" xfId="0" builtinId="0"/>
    <cellStyle name="Normal 2" xfId="1"/>
    <cellStyle name="Normal 3" xfId="4"/>
    <cellStyle name="Percent" xfId="3" builtinId="5"/>
  </cellStyles>
  <dxfs count="0"/>
  <tableStyles count="0" defaultTableStyle="TableStyleMedium9" defaultPivotStyle="PivotStyleLight16"/>
  <colors>
    <mruColors>
      <color rgb="FFFFFF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9"/>
  <sheetViews>
    <sheetView tabSelected="1" view="pageBreakPreview" zoomScaleNormal="100" zoomScaleSheetLayoutView="100" workbookViewId="0">
      <selection activeCell="K10" sqref="K10"/>
    </sheetView>
  </sheetViews>
  <sheetFormatPr defaultRowHeight="15" customHeight="1" x14ac:dyDescent="0.2"/>
  <cols>
    <col min="1" max="1" width="6.1640625" style="7" customWidth="1"/>
    <col min="2" max="2" width="30.33203125" style="9" bestFit="1" customWidth="1"/>
    <col min="3" max="3" width="11.1640625" style="11" bestFit="1" customWidth="1"/>
    <col min="4" max="4" width="14.83203125" style="11" bestFit="1" customWidth="1"/>
    <col min="5" max="5" width="12.1640625" style="11" bestFit="1" customWidth="1"/>
    <col min="6" max="6" width="12" style="11" bestFit="1" customWidth="1"/>
    <col min="7" max="8" width="12.1640625" style="11" bestFit="1" customWidth="1"/>
    <col min="9" max="9" width="1.6640625" style="11" customWidth="1"/>
    <col min="10" max="10" width="8.6640625" style="11" bestFit="1" customWidth="1"/>
    <col min="11" max="11" width="12.1640625" style="11" customWidth="1"/>
    <col min="12" max="12" width="10.1640625" style="11" bestFit="1" customWidth="1"/>
    <col min="13" max="13" width="11.5" style="11" bestFit="1" customWidth="1"/>
    <col min="14" max="14" width="11" style="11" bestFit="1" customWidth="1"/>
    <col min="15" max="15" width="10.1640625" style="11" bestFit="1" customWidth="1"/>
    <col min="16" max="16" width="11.5" style="11" bestFit="1" customWidth="1"/>
    <col min="17" max="17" width="1.6640625" style="9" customWidth="1"/>
    <col min="18" max="18" width="11.1640625" style="9" bestFit="1" customWidth="1"/>
    <col min="19" max="19" width="14.83203125" style="9" bestFit="1" customWidth="1"/>
    <col min="20" max="20" width="6.33203125" style="9" bestFit="1" customWidth="1"/>
    <col min="21" max="21" width="7.1640625" style="9" bestFit="1" customWidth="1"/>
    <col min="22" max="22" width="1.83203125" style="9" customWidth="1"/>
    <col min="23" max="23" width="14" style="9" bestFit="1" customWidth="1"/>
    <col min="24" max="24" width="11.5" style="9" bestFit="1" customWidth="1"/>
    <col min="25" max="25" width="6.83203125" style="9" bestFit="1" customWidth="1"/>
    <col min="26" max="26" width="10.1640625" style="9" bestFit="1" customWidth="1"/>
    <col min="27" max="27" width="11.5" style="9" bestFit="1" customWidth="1"/>
    <col min="28" max="28" width="1.83203125" style="9" customWidth="1"/>
    <col min="29" max="29" width="14" style="9" bestFit="1" customWidth="1"/>
    <col min="30" max="30" width="11.1640625" style="9" bestFit="1" customWidth="1"/>
    <col min="31" max="31" width="11" style="9" bestFit="1" customWidth="1"/>
    <col min="32" max="32" width="10.1640625" style="9" bestFit="1" customWidth="1"/>
    <col min="33" max="33" width="11.5" style="9" bestFit="1" customWidth="1"/>
    <col min="34" max="34" width="2" style="9" customWidth="1"/>
    <col min="35" max="35" width="8.6640625" style="9" bestFit="1" customWidth="1"/>
    <col min="36" max="36" width="7.6640625" style="9" customWidth="1"/>
    <col min="37" max="37" width="9.33203125" style="9"/>
    <col min="38" max="38" width="10.5" style="9" bestFit="1" customWidth="1"/>
    <col min="39" max="16384" width="9.33203125" style="9"/>
  </cols>
  <sheetData>
    <row r="1" spans="1:39" ht="15" customHeight="1" x14ac:dyDescent="0.2">
      <c r="A1" s="7">
        <v>1</v>
      </c>
      <c r="B1" s="27" t="s">
        <v>37</v>
      </c>
    </row>
    <row r="2" spans="1:39" ht="15" customHeight="1" x14ac:dyDescent="0.2">
      <c r="A2" s="7">
        <f>A1+1</f>
        <v>2</v>
      </c>
      <c r="B2" s="27"/>
      <c r="E2" s="28"/>
      <c r="L2" s="29"/>
      <c r="M2" s="30"/>
      <c r="N2" s="30"/>
      <c r="O2" s="31"/>
    </row>
    <row r="3" spans="1:39" s="7" customFormat="1" ht="15" customHeight="1" x14ac:dyDescent="0.2">
      <c r="A3" s="7">
        <f t="shared" ref="A3:A23" si="0">A2+1</f>
        <v>3</v>
      </c>
      <c r="B3" s="8"/>
      <c r="C3" s="8"/>
      <c r="D3" s="8"/>
      <c r="E3" s="8"/>
      <c r="F3" s="8"/>
      <c r="G3" s="8"/>
      <c r="H3" s="8"/>
      <c r="I3" s="8"/>
      <c r="J3" s="11"/>
      <c r="K3" s="11"/>
      <c r="L3" s="11"/>
      <c r="M3" s="30"/>
      <c r="N3" s="11"/>
      <c r="O3" s="11"/>
      <c r="P3" s="11"/>
      <c r="Q3" s="9"/>
      <c r="R3" s="9"/>
      <c r="S3" s="9"/>
      <c r="T3" s="32"/>
    </row>
    <row r="4" spans="1:39" ht="15" customHeight="1" x14ac:dyDescent="0.2">
      <c r="A4" s="7">
        <f t="shared" si="0"/>
        <v>4</v>
      </c>
      <c r="B4" s="6"/>
      <c r="C4" s="57" t="s">
        <v>20</v>
      </c>
      <c r="D4" s="58"/>
      <c r="E4" s="58"/>
      <c r="F4" s="58"/>
      <c r="G4" s="58"/>
      <c r="H4" s="59"/>
      <c r="I4" s="8"/>
      <c r="J4" s="60" t="s">
        <v>5</v>
      </c>
      <c r="K4" s="61"/>
      <c r="L4" s="61"/>
      <c r="M4" s="61"/>
      <c r="N4" s="61"/>
      <c r="O4" s="61"/>
      <c r="P4" s="62"/>
      <c r="R4" s="63" t="s">
        <v>48</v>
      </c>
      <c r="S4" s="64"/>
      <c r="T4" s="64"/>
      <c r="U4" s="65"/>
      <c r="W4" s="66" t="s">
        <v>52</v>
      </c>
      <c r="X4" s="67"/>
      <c r="Y4" s="67"/>
      <c r="Z4" s="67"/>
      <c r="AA4" s="68"/>
      <c r="AC4" s="69" t="s">
        <v>53</v>
      </c>
      <c r="AD4" s="70"/>
      <c r="AE4" s="70"/>
      <c r="AF4" s="70"/>
      <c r="AG4" s="71"/>
      <c r="AI4" s="55" t="s">
        <v>47</v>
      </c>
      <c r="AJ4" s="56"/>
      <c r="AK4" s="7"/>
      <c r="AL4" s="7"/>
      <c r="AM4" s="7"/>
    </row>
    <row r="5" spans="1:39" ht="15" customHeight="1" x14ac:dyDescent="0.2">
      <c r="A5" s="7">
        <f t="shared" si="0"/>
        <v>5</v>
      </c>
      <c r="AK5" s="7"/>
      <c r="AL5" s="7"/>
      <c r="AM5" s="7"/>
    </row>
    <row r="6" spans="1:39" ht="22.5" x14ac:dyDescent="0.2">
      <c r="A6" s="7">
        <f t="shared" si="0"/>
        <v>6</v>
      </c>
      <c r="B6" s="2" t="s">
        <v>44</v>
      </c>
      <c r="C6" s="3" t="s">
        <v>1</v>
      </c>
      <c r="D6" s="3" t="s">
        <v>2</v>
      </c>
      <c r="E6" s="4" t="s">
        <v>38</v>
      </c>
      <c r="F6" s="5" t="s">
        <v>39</v>
      </c>
      <c r="G6" s="5" t="s">
        <v>40</v>
      </c>
      <c r="H6" s="5" t="s">
        <v>41</v>
      </c>
      <c r="I6" s="8"/>
      <c r="J6" s="3" t="s">
        <v>1</v>
      </c>
      <c r="K6" s="3" t="s">
        <v>2</v>
      </c>
      <c r="L6" s="3" t="s">
        <v>43</v>
      </c>
      <c r="M6" s="3" t="s">
        <v>42</v>
      </c>
      <c r="N6" s="4" t="s">
        <v>39</v>
      </c>
      <c r="O6" s="4" t="s">
        <v>40</v>
      </c>
      <c r="P6" s="4" t="s">
        <v>41</v>
      </c>
      <c r="R6" s="3" t="s">
        <v>1</v>
      </c>
      <c r="S6" s="3" t="s">
        <v>2</v>
      </c>
      <c r="T6" s="3" t="s">
        <v>3</v>
      </c>
      <c r="U6" s="3" t="s">
        <v>4</v>
      </c>
      <c r="W6" s="3" t="s">
        <v>43</v>
      </c>
      <c r="X6" s="3" t="s">
        <v>42</v>
      </c>
      <c r="Y6" s="4" t="s">
        <v>39</v>
      </c>
      <c r="Z6" s="4" t="s">
        <v>40</v>
      </c>
      <c r="AA6" s="4" t="s">
        <v>41</v>
      </c>
      <c r="AC6" s="3" t="s">
        <v>43</v>
      </c>
      <c r="AD6" s="3" t="s">
        <v>42</v>
      </c>
      <c r="AE6" s="4" t="s">
        <v>39</v>
      </c>
      <c r="AF6" s="4" t="s">
        <v>40</v>
      </c>
      <c r="AG6" s="4" t="s">
        <v>41</v>
      </c>
      <c r="AI6" s="4" t="s">
        <v>46</v>
      </c>
      <c r="AJ6" s="4" t="s">
        <v>45</v>
      </c>
    </row>
    <row r="7" spans="1:39" ht="15" customHeight="1" x14ac:dyDescent="0.2">
      <c r="A7" s="7">
        <f t="shared" si="0"/>
        <v>7</v>
      </c>
      <c r="B7" s="33" t="s">
        <v>22</v>
      </c>
      <c r="C7" s="15">
        <v>531265</v>
      </c>
      <c r="D7" s="15">
        <v>220559577</v>
      </c>
      <c r="E7" s="16">
        <v>14160279</v>
      </c>
      <c r="F7" s="15">
        <v>-1022466</v>
      </c>
      <c r="G7" s="15">
        <v>2180784</v>
      </c>
      <c r="H7" s="15">
        <v>15318597</v>
      </c>
      <c r="I7" s="17"/>
      <c r="J7" s="20"/>
      <c r="K7" s="16"/>
      <c r="L7" s="16"/>
      <c r="M7" s="16"/>
      <c r="N7" s="16"/>
      <c r="O7" s="16"/>
      <c r="P7" s="16"/>
      <c r="Q7" s="12"/>
      <c r="R7" s="15">
        <f>C7</f>
        <v>531265</v>
      </c>
      <c r="S7" s="15">
        <f>D7</f>
        <v>220559577</v>
      </c>
      <c r="T7" s="18">
        <f>R7/R$23</f>
        <v>1.9641083883637857E-2</v>
      </c>
      <c r="U7" s="18">
        <f>S7/S$23</f>
        <v>1.832105909606677E-2</v>
      </c>
      <c r="V7" s="12"/>
      <c r="W7" s="10">
        <f>L$23*T7</f>
        <v>82294.570185731922</v>
      </c>
      <c r="X7" s="10">
        <f>U7*(0.5*(L$23+M$23))-W7</f>
        <v>174914.77672344883</v>
      </c>
      <c r="Y7" s="53">
        <v>0</v>
      </c>
      <c r="Z7" s="21">
        <f>O$23*(SUM(W7:Y7)/SUM(W$23:Y$23))</f>
        <v>78091.162105307973</v>
      </c>
      <c r="AA7" s="21">
        <f>SUM(W7:Z7)</f>
        <v>335300.50901448872</v>
      </c>
      <c r="AB7" s="12"/>
      <c r="AC7" s="10">
        <f>W7</f>
        <v>82294.570185731922</v>
      </c>
      <c r="AD7" s="10">
        <f>U7*(0.5*(L$23+M$23))-AC7</f>
        <v>174914.77672344883</v>
      </c>
      <c r="AE7" s="21">
        <f>N$23*U7</f>
        <v>-43262.958067715197</v>
      </c>
      <c r="AF7" s="21">
        <f>O$23*(SUM(AC7:AE7)/SUM(AC$23:AE$23))</f>
        <v>78091.162105307973</v>
      </c>
      <c r="AG7" s="21">
        <f>SUM(AC7:AF7)</f>
        <v>292037.5509467735</v>
      </c>
      <c r="AI7" s="25">
        <f>AA7/H7</f>
        <v>2.1888460739223618E-2</v>
      </c>
      <c r="AJ7" s="25">
        <f>AG7/H7</f>
        <v>1.9064249222482548E-2</v>
      </c>
      <c r="AM7" s="36"/>
    </row>
    <row r="8" spans="1:39" ht="15" customHeight="1" x14ac:dyDescent="0.2">
      <c r="A8" s="7">
        <f t="shared" si="0"/>
        <v>8</v>
      </c>
      <c r="B8" s="34" t="s">
        <v>0</v>
      </c>
      <c r="C8" s="16">
        <v>3041601</v>
      </c>
      <c r="D8" s="16">
        <v>1337802640</v>
      </c>
      <c r="E8" s="16">
        <v>82660655</v>
      </c>
      <c r="F8" s="16">
        <v>-6270906</v>
      </c>
      <c r="G8" s="16">
        <v>12704137</v>
      </c>
      <c r="H8" s="16">
        <v>89093886</v>
      </c>
      <c r="I8" s="17"/>
      <c r="J8" s="20"/>
      <c r="K8" s="16"/>
      <c r="L8" s="16"/>
      <c r="M8" s="16"/>
      <c r="N8" s="16"/>
      <c r="O8" s="16"/>
      <c r="P8" s="16"/>
      <c r="Q8" s="12"/>
      <c r="R8" s="16">
        <f>C8</f>
        <v>3041601</v>
      </c>
      <c r="S8" s="16">
        <f>D8</f>
        <v>1337802640</v>
      </c>
      <c r="T8" s="18">
        <f t="shared" ref="T8:T22" si="1">R8/R$23</f>
        <v>0.11244923038701363</v>
      </c>
      <c r="U8" s="18">
        <f t="shared" ref="U8:U22" si="2">S8/S$23</f>
        <v>0.11112626148314629</v>
      </c>
      <c r="V8" s="12"/>
      <c r="W8" s="10">
        <f t="shared" ref="W8:W22" si="3">L$23*T8</f>
        <v>471153.2793831561</v>
      </c>
      <c r="X8" s="10">
        <f t="shared" ref="X8:X22" si="4">U8*(0.5*(L$23+M$23))-W8</f>
        <v>1088948.2950217398</v>
      </c>
      <c r="Y8" s="53">
        <v>0</v>
      </c>
      <c r="Z8" s="21">
        <f t="shared" ref="Z8:Z22" si="5">O$23*(SUM(W8:Y8)/SUM(W$23:Y$23))</f>
        <v>473661.42176246992</v>
      </c>
      <c r="AA8" s="21">
        <f t="shared" ref="AA8:AA22" si="6">SUM(W8:Z8)</f>
        <v>2033762.9961673657</v>
      </c>
      <c r="AB8" s="12"/>
      <c r="AC8" s="10">
        <f t="shared" ref="AC8:AC22" si="7">W8</f>
        <v>471153.2793831561</v>
      </c>
      <c r="AD8" s="10">
        <f t="shared" ref="AD8:AD22" si="8">U8*(0.5*(L$23+M$23))-AC8</f>
        <v>1088948.2950217398</v>
      </c>
      <c r="AE8" s="21">
        <f t="shared" ref="AE8:AE22" si="9">N$23*U8</f>
        <v>-262411.18297573942</v>
      </c>
      <c r="AF8" s="21">
        <f t="shared" ref="AF8:AF22" si="10">O$23*(SUM(AC8:AE8)/SUM(AC$23:AE$23))</f>
        <v>473661.42176246992</v>
      </c>
      <c r="AG8" s="21">
        <f t="shared" ref="AG8:AG22" si="11">SUM(AC8:AF8)</f>
        <v>1771351.8131916262</v>
      </c>
      <c r="AI8" s="25">
        <f t="shared" ref="AI8:AI23" si="12">AA8/H8</f>
        <v>2.2827189243573524E-2</v>
      </c>
      <c r="AJ8" s="25">
        <f t="shared" ref="AJ8:AJ23" si="13">AG8/H8</f>
        <v>1.9881856014133521E-2</v>
      </c>
    </row>
    <row r="9" spans="1:39" ht="15" customHeight="1" x14ac:dyDescent="0.2">
      <c r="A9" s="7">
        <f t="shared" si="0"/>
        <v>9</v>
      </c>
      <c r="B9" s="34" t="s">
        <v>23</v>
      </c>
      <c r="C9" s="16">
        <v>1032472</v>
      </c>
      <c r="D9" s="16">
        <v>427893092</v>
      </c>
      <c r="E9" s="16">
        <v>27708197</v>
      </c>
      <c r="F9" s="16">
        <v>-1984300</v>
      </c>
      <c r="G9" s="16">
        <v>4279023</v>
      </c>
      <c r="H9" s="16">
        <v>30002920</v>
      </c>
      <c r="I9" s="17"/>
      <c r="J9" s="20"/>
      <c r="K9" s="16"/>
      <c r="L9" s="16"/>
      <c r="M9" s="16"/>
      <c r="N9" s="16"/>
      <c r="O9" s="16"/>
      <c r="P9" s="16"/>
      <c r="Q9" s="12"/>
      <c r="R9" s="16">
        <f t="shared" ref="R9:S22" si="14">C9</f>
        <v>1032472</v>
      </c>
      <c r="S9" s="16">
        <f t="shared" si="14"/>
        <v>427893092</v>
      </c>
      <c r="T9" s="18">
        <f t="shared" si="1"/>
        <v>3.8170911239225898E-2</v>
      </c>
      <c r="U9" s="18">
        <f t="shared" si="2"/>
        <v>3.5543478691613263E-2</v>
      </c>
      <c r="V9" s="12"/>
      <c r="W9" s="10">
        <f t="shared" si="3"/>
        <v>159933.06441945737</v>
      </c>
      <c r="X9" s="10">
        <f t="shared" si="4"/>
        <v>339061.82955547073</v>
      </c>
      <c r="Y9" s="53">
        <v>0</v>
      </c>
      <c r="Z9" s="21">
        <f t="shared" si="5"/>
        <v>151499.51439702595</v>
      </c>
      <c r="AA9" s="21">
        <f t="shared" si="6"/>
        <v>650494.40837195399</v>
      </c>
      <c r="AB9" s="12"/>
      <c r="AC9" s="10">
        <f t="shared" si="7"/>
        <v>159933.06441945737</v>
      </c>
      <c r="AD9" s="10">
        <f t="shared" si="8"/>
        <v>339061.82955547073</v>
      </c>
      <c r="AE9" s="21">
        <f t="shared" si="9"/>
        <v>-83931.612258491965</v>
      </c>
      <c r="AF9" s="21">
        <f t="shared" si="10"/>
        <v>151499.51439702595</v>
      </c>
      <c r="AG9" s="21">
        <f t="shared" si="11"/>
        <v>566562.79611346207</v>
      </c>
      <c r="AI9" s="25">
        <f t="shared" si="12"/>
        <v>2.168103665816374E-2</v>
      </c>
      <c r="AJ9" s="25">
        <f t="shared" si="13"/>
        <v>1.8883588534498046E-2</v>
      </c>
    </row>
    <row r="10" spans="1:39" ht="15" customHeight="1" x14ac:dyDescent="0.2">
      <c r="A10" s="7">
        <f t="shared" si="0"/>
        <v>10</v>
      </c>
      <c r="B10" s="34" t="s">
        <v>24</v>
      </c>
      <c r="C10" s="16">
        <v>1020706</v>
      </c>
      <c r="D10" s="16">
        <v>436068508</v>
      </c>
      <c r="E10" s="16">
        <v>27832656</v>
      </c>
      <c r="F10" s="16">
        <v>-2024789</v>
      </c>
      <c r="G10" s="16">
        <v>4284008</v>
      </c>
      <c r="H10" s="16">
        <v>30091875</v>
      </c>
      <c r="I10" s="17"/>
      <c r="J10" s="20"/>
      <c r="K10" s="16"/>
      <c r="L10" s="16"/>
      <c r="M10" s="16"/>
      <c r="N10" s="16"/>
      <c r="O10" s="16"/>
      <c r="P10" s="16"/>
      <c r="Q10" s="12"/>
      <c r="R10" s="16">
        <f t="shared" si="14"/>
        <v>1020706</v>
      </c>
      <c r="S10" s="16">
        <f t="shared" si="14"/>
        <v>436068508</v>
      </c>
      <c r="T10" s="18">
        <f t="shared" si="1"/>
        <v>3.7735917416981103E-2</v>
      </c>
      <c r="U10" s="18">
        <f t="shared" si="2"/>
        <v>3.6222579919989895E-2</v>
      </c>
      <c r="V10" s="12"/>
      <c r="W10" s="10">
        <f t="shared" si="3"/>
        <v>158110.47510375746</v>
      </c>
      <c r="X10" s="10">
        <f t="shared" si="4"/>
        <v>350418.32095183554</v>
      </c>
      <c r="Y10" s="53">
        <v>0</v>
      </c>
      <c r="Z10" s="21">
        <f t="shared" si="5"/>
        <v>154394.09619128797</v>
      </c>
      <c r="AA10" s="21">
        <f t="shared" si="6"/>
        <v>662922.89224688103</v>
      </c>
      <c r="AB10" s="12"/>
      <c r="AC10" s="10">
        <f t="shared" si="7"/>
        <v>158110.47510375746</v>
      </c>
      <c r="AD10" s="10">
        <f t="shared" si="8"/>
        <v>350418.32095183554</v>
      </c>
      <c r="AE10" s="21">
        <f t="shared" si="9"/>
        <v>-85535.227410483873</v>
      </c>
      <c r="AF10" s="21">
        <f t="shared" si="10"/>
        <v>154394.09619128797</v>
      </c>
      <c r="AG10" s="21">
        <f t="shared" si="11"/>
        <v>577387.66483639716</v>
      </c>
      <c r="AI10" s="25">
        <f t="shared" si="12"/>
        <v>2.2029962979936646E-2</v>
      </c>
      <c r="AJ10" s="25">
        <f t="shared" si="13"/>
        <v>1.9187493794799997E-2</v>
      </c>
    </row>
    <row r="11" spans="1:39" ht="15" customHeight="1" x14ac:dyDescent="0.2">
      <c r="A11" s="7">
        <f t="shared" si="0"/>
        <v>11</v>
      </c>
      <c r="B11" s="34" t="s">
        <v>25</v>
      </c>
      <c r="C11" s="16">
        <v>1118923</v>
      </c>
      <c r="D11" s="16">
        <v>505322872</v>
      </c>
      <c r="E11" s="16">
        <v>31455115</v>
      </c>
      <c r="F11" s="16">
        <v>-2376441</v>
      </c>
      <c r="G11" s="16">
        <v>4865184</v>
      </c>
      <c r="H11" s="16">
        <v>33943858</v>
      </c>
      <c r="I11" s="17"/>
      <c r="J11" s="20"/>
      <c r="K11" s="16"/>
      <c r="L11" s="16"/>
      <c r="M11" s="16"/>
      <c r="N11" s="16"/>
      <c r="O11" s="16"/>
      <c r="P11" s="16"/>
      <c r="Q11" s="12"/>
      <c r="R11" s="16">
        <f t="shared" si="14"/>
        <v>1118923</v>
      </c>
      <c r="S11" s="16">
        <f t="shared" si="14"/>
        <v>505322872</v>
      </c>
      <c r="T11" s="18">
        <f t="shared" si="1"/>
        <v>4.1367039993848123E-2</v>
      </c>
      <c r="U11" s="18">
        <f t="shared" si="2"/>
        <v>4.1975280903382331E-2</v>
      </c>
      <c r="V11" s="12"/>
      <c r="W11" s="10">
        <f t="shared" si="3"/>
        <v>173324.58821102412</v>
      </c>
      <c r="X11" s="10">
        <f t="shared" si="4"/>
        <v>415966.37640390865</v>
      </c>
      <c r="Y11" s="53">
        <v>0</v>
      </c>
      <c r="Z11" s="21">
        <f t="shared" si="5"/>
        <v>178914.24552773687</v>
      </c>
      <c r="AA11" s="21">
        <f t="shared" si="6"/>
        <v>768205.21014266962</v>
      </c>
      <c r="AB11" s="12"/>
      <c r="AC11" s="10">
        <f t="shared" si="7"/>
        <v>173324.58821102412</v>
      </c>
      <c r="AD11" s="10">
        <f t="shared" si="8"/>
        <v>415966.37640390865</v>
      </c>
      <c r="AE11" s="21">
        <f t="shared" si="9"/>
        <v>-99119.53277818182</v>
      </c>
      <c r="AF11" s="21">
        <f t="shared" si="10"/>
        <v>178914.24552773687</v>
      </c>
      <c r="AG11" s="21">
        <f t="shared" si="11"/>
        <v>669085.67736448778</v>
      </c>
      <c r="AI11" s="25">
        <f t="shared" si="12"/>
        <v>2.2631641051016345E-2</v>
      </c>
      <c r="AJ11" s="25">
        <f t="shared" si="13"/>
        <v>1.9711538899452378E-2</v>
      </c>
    </row>
    <row r="12" spans="1:39" ht="15" customHeight="1" x14ac:dyDescent="0.2">
      <c r="A12" s="7">
        <f t="shared" si="0"/>
        <v>12</v>
      </c>
      <c r="B12" s="34" t="s">
        <v>26</v>
      </c>
      <c r="C12" s="16">
        <f>1958835+381852</f>
        <v>2340687</v>
      </c>
      <c r="D12" s="16">
        <f>1003315863+209428447</f>
        <v>1212744310</v>
      </c>
      <c r="E12" s="16">
        <f>54092089+10797849</f>
        <v>64889938</v>
      </c>
      <c r="F12" s="16">
        <f>-3938220-1011691</f>
        <v>-4949911</v>
      </c>
      <c r="G12" s="16">
        <f>7907535+1661752</f>
        <v>9569287</v>
      </c>
      <c r="H12" s="16">
        <f>58061404+11447910</f>
        <v>69509314</v>
      </c>
      <c r="I12" s="17"/>
      <c r="J12" s="20"/>
      <c r="K12" s="16"/>
      <c r="L12" s="16"/>
      <c r="M12" s="16"/>
      <c r="N12" s="16"/>
      <c r="O12" s="16"/>
      <c r="P12" s="16"/>
      <c r="Q12" s="12"/>
      <c r="R12" s="16">
        <f t="shared" si="14"/>
        <v>2340687</v>
      </c>
      <c r="S12" s="16">
        <f t="shared" si="14"/>
        <v>1212744310</v>
      </c>
      <c r="T12" s="18">
        <f t="shared" si="1"/>
        <v>8.6536153731829962E-2</v>
      </c>
      <c r="U12" s="18">
        <f t="shared" si="2"/>
        <v>0.10073813376931132</v>
      </c>
      <c r="V12" s="12"/>
      <c r="W12" s="10">
        <f t="shared" si="3"/>
        <v>362579.56124406896</v>
      </c>
      <c r="X12" s="10">
        <f t="shared" si="4"/>
        <v>1051683.0891731698</v>
      </c>
      <c r="Y12" s="53">
        <v>0</v>
      </c>
      <c r="Z12" s="21">
        <f t="shared" si="5"/>
        <v>429383.36114282563</v>
      </c>
      <c r="AA12" s="21">
        <f t="shared" si="6"/>
        <v>1843646.0115600643</v>
      </c>
      <c r="AB12" s="12"/>
      <c r="AC12" s="10">
        <f t="shared" si="7"/>
        <v>362579.56124406896</v>
      </c>
      <c r="AD12" s="10">
        <f t="shared" si="8"/>
        <v>1051683.0891731698</v>
      </c>
      <c r="AE12" s="21">
        <f t="shared" si="9"/>
        <v>-237880.87982409491</v>
      </c>
      <c r="AF12" s="21">
        <f t="shared" si="10"/>
        <v>429383.36114282557</v>
      </c>
      <c r="AG12" s="21">
        <f t="shared" si="11"/>
        <v>1605765.1317359693</v>
      </c>
      <c r="AI12" s="25">
        <f t="shared" si="12"/>
        <v>2.6523726180926837E-2</v>
      </c>
      <c r="AJ12" s="25">
        <f t="shared" si="13"/>
        <v>2.3101438344449339E-2</v>
      </c>
    </row>
    <row r="13" spans="1:39" ht="15" customHeight="1" x14ac:dyDescent="0.2">
      <c r="A13" s="7">
        <f t="shared" si="0"/>
        <v>13</v>
      </c>
      <c r="B13" s="34" t="s">
        <v>27</v>
      </c>
      <c r="C13" s="16">
        <v>570205</v>
      </c>
      <c r="D13" s="16">
        <v>250857783</v>
      </c>
      <c r="E13" s="16">
        <v>15898661</v>
      </c>
      <c r="F13" s="16">
        <v>-1170031</v>
      </c>
      <c r="G13" s="16">
        <v>2450030</v>
      </c>
      <c r="H13" s="16">
        <v>17178660</v>
      </c>
      <c r="I13" s="17"/>
      <c r="J13" s="20"/>
      <c r="K13" s="16"/>
      <c r="L13" s="16"/>
      <c r="M13" s="16"/>
      <c r="N13" s="16"/>
      <c r="O13" s="16"/>
      <c r="P13" s="16"/>
      <c r="Q13" s="12"/>
      <c r="R13" s="16">
        <f t="shared" si="14"/>
        <v>570205</v>
      </c>
      <c r="S13" s="16">
        <f t="shared" si="14"/>
        <v>250857783</v>
      </c>
      <c r="T13" s="18">
        <f t="shared" si="1"/>
        <v>2.1080711576839665E-2</v>
      </c>
      <c r="U13" s="18">
        <f t="shared" si="2"/>
        <v>2.0837817743236304E-2</v>
      </c>
      <c r="V13" s="12"/>
      <c r="W13" s="10">
        <f t="shared" si="3"/>
        <v>88326.495050032041</v>
      </c>
      <c r="X13" s="10">
        <f t="shared" si="4"/>
        <v>204215.62626766972</v>
      </c>
      <c r="Y13" s="53">
        <v>0</v>
      </c>
      <c r="Z13" s="21">
        <f t="shared" si="5"/>
        <v>88818.522705233379</v>
      </c>
      <c r="AA13" s="21">
        <f t="shared" si="6"/>
        <v>381360.64402293513</v>
      </c>
      <c r="AB13" s="12"/>
      <c r="AC13" s="10">
        <f t="shared" si="7"/>
        <v>88326.495050032041</v>
      </c>
      <c r="AD13" s="10">
        <f t="shared" si="8"/>
        <v>204215.62626766972</v>
      </c>
      <c r="AE13" s="21">
        <f t="shared" si="9"/>
        <v>-49205.978241828954</v>
      </c>
      <c r="AF13" s="21">
        <f t="shared" si="10"/>
        <v>88818.522705233379</v>
      </c>
      <c r="AG13" s="21">
        <f t="shared" si="11"/>
        <v>332154.66578110616</v>
      </c>
      <c r="AI13" s="25">
        <f t="shared" si="12"/>
        <v>2.2199673549795802E-2</v>
      </c>
      <c r="AJ13" s="25">
        <f t="shared" si="13"/>
        <v>1.9335307048460482E-2</v>
      </c>
    </row>
    <row r="14" spans="1:39" ht="15" customHeight="1" x14ac:dyDescent="0.2">
      <c r="A14" s="7">
        <f t="shared" si="0"/>
        <v>14</v>
      </c>
      <c r="B14" s="34" t="s">
        <v>28</v>
      </c>
      <c r="C14" s="16">
        <v>1148240</v>
      </c>
      <c r="D14" s="16">
        <v>465755004</v>
      </c>
      <c r="E14" s="16">
        <v>29714401</v>
      </c>
      <c r="F14" s="16">
        <v>-2151496</v>
      </c>
      <c r="G14" s="16">
        <v>4583414</v>
      </c>
      <c r="H14" s="16">
        <v>32146319</v>
      </c>
      <c r="I14" s="17"/>
      <c r="J14" s="20"/>
      <c r="K14" s="16"/>
      <c r="L14" s="16"/>
      <c r="M14" s="16"/>
      <c r="N14" s="16"/>
      <c r="O14" s="16"/>
      <c r="P14" s="16"/>
      <c r="Q14" s="12"/>
      <c r="R14" s="16">
        <f t="shared" si="14"/>
        <v>1148240</v>
      </c>
      <c r="S14" s="16">
        <f t="shared" si="14"/>
        <v>465755004</v>
      </c>
      <c r="T14" s="18">
        <f t="shared" si="1"/>
        <v>4.2450901449461821E-2</v>
      </c>
      <c r="U14" s="18">
        <f t="shared" si="2"/>
        <v>3.8688526105455923E-2</v>
      </c>
      <c r="V14" s="12"/>
      <c r="W14" s="10">
        <f t="shared" si="3"/>
        <v>177865.88100112905</v>
      </c>
      <c r="X14" s="10">
        <f t="shared" si="4"/>
        <v>365282.33331795665</v>
      </c>
      <c r="Y14" s="53">
        <v>0</v>
      </c>
      <c r="Z14" s="21">
        <f t="shared" si="5"/>
        <v>164904.87519715531</v>
      </c>
      <c r="AA14" s="21">
        <f t="shared" si="6"/>
        <v>708053.08951624099</v>
      </c>
      <c r="AB14" s="12"/>
      <c r="AC14" s="10">
        <f t="shared" si="7"/>
        <v>177865.88100112905</v>
      </c>
      <c r="AD14" s="10">
        <f t="shared" si="8"/>
        <v>365282.33331795665</v>
      </c>
      <c r="AE14" s="21">
        <f t="shared" si="9"/>
        <v>-91358.260121620231</v>
      </c>
      <c r="AF14" s="21">
        <f t="shared" si="10"/>
        <v>164904.87519715531</v>
      </c>
      <c r="AG14" s="21">
        <f t="shared" si="11"/>
        <v>616694.82939462073</v>
      </c>
      <c r="AI14" s="25">
        <f t="shared" si="12"/>
        <v>2.2025946097164063E-2</v>
      </c>
      <c r="AJ14" s="25">
        <f t="shared" si="13"/>
        <v>1.9183995200029613E-2</v>
      </c>
    </row>
    <row r="15" spans="1:39" ht="15" customHeight="1" x14ac:dyDescent="0.2">
      <c r="A15" s="7">
        <f t="shared" si="0"/>
        <v>15</v>
      </c>
      <c r="B15" s="34" t="s">
        <v>29</v>
      </c>
      <c r="C15" s="16">
        <v>2112617</v>
      </c>
      <c r="D15" s="16">
        <v>871147701</v>
      </c>
      <c r="E15" s="16">
        <v>55723074</v>
      </c>
      <c r="F15" s="16">
        <v>-4031713</v>
      </c>
      <c r="G15" s="16">
        <v>8587016</v>
      </c>
      <c r="H15" s="16">
        <v>60278377</v>
      </c>
      <c r="I15" s="17"/>
      <c r="J15" s="20"/>
      <c r="K15" s="16"/>
      <c r="L15" s="16"/>
      <c r="M15" s="16"/>
      <c r="N15" s="16"/>
      <c r="O15" s="16"/>
      <c r="P15" s="16"/>
      <c r="Q15" s="12"/>
      <c r="R15" s="16">
        <f t="shared" si="14"/>
        <v>2112617</v>
      </c>
      <c r="S15" s="16">
        <f t="shared" si="14"/>
        <v>871147701</v>
      </c>
      <c r="T15" s="18">
        <f t="shared" si="1"/>
        <v>7.8104312745991847E-2</v>
      </c>
      <c r="U15" s="18">
        <f t="shared" si="2"/>
        <v>7.2362981143293106E-2</v>
      </c>
      <c r="V15" s="12"/>
      <c r="W15" s="10">
        <f t="shared" si="3"/>
        <v>327250.82206068613</v>
      </c>
      <c r="X15" s="10">
        <f t="shared" si="4"/>
        <v>688653.06333552254</v>
      </c>
      <c r="Y15" s="53">
        <v>0</v>
      </c>
      <c r="Z15" s="21">
        <f t="shared" si="5"/>
        <v>308437.9162391001</v>
      </c>
      <c r="AA15" s="21">
        <f t="shared" si="6"/>
        <v>1324341.8016353087</v>
      </c>
      <c r="AB15" s="12"/>
      <c r="AC15" s="10">
        <f t="shared" si="7"/>
        <v>327250.82206068613</v>
      </c>
      <c r="AD15" s="10">
        <f t="shared" si="8"/>
        <v>688653.06333552254</v>
      </c>
      <c r="AE15" s="21">
        <f t="shared" si="9"/>
        <v>-170876.39979990304</v>
      </c>
      <c r="AF15" s="21">
        <f t="shared" si="10"/>
        <v>308437.9162391001</v>
      </c>
      <c r="AG15" s="21">
        <f t="shared" si="11"/>
        <v>1153465.4018354057</v>
      </c>
      <c r="AI15" s="25">
        <f t="shared" si="12"/>
        <v>2.1970428992063085E-2</v>
      </c>
      <c r="AJ15" s="25">
        <f t="shared" si="13"/>
        <v>1.9135641323511511E-2</v>
      </c>
    </row>
    <row r="16" spans="1:39" ht="15" customHeight="1" x14ac:dyDescent="0.2">
      <c r="A16" s="7">
        <f t="shared" si="0"/>
        <v>16</v>
      </c>
      <c r="B16" s="34" t="s">
        <v>30</v>
      </c>
      <c r="C16" s="16">
        <v>569067</v>
      </c>
      <c r="D16" s="16">
        <v>247024092</v>
      </c>
      <c r="E16" s="16">
        <v>15726729</v>
      </c>
      <c r="F16" s="16">
        <v>-1145696</v>
      </c>
      <c r="G16" s="16">
        <v>2422607</v>
      </c>
      <c r="H16" s="16">
        <v>17003640</v>
      </c>
      <c r="I16" s="17"/>
      <c r="J16" s="20"/>
      <c r="K16" s="16"/>
      <c r="L16" s="16"/>
      <c r="M16" s="16"/>
      <c r="N16" s="16"/>
      <c r="O16" s="16"/>
      <c r="P16" s="16"/>
      <c r="Q16" s="12"/>
      <c r="R16" s="16">
        <f t="shared" si="14"/>
        <v>569067</v>
      </c>
      <c r="S16" s="16">
        <f t="shared" si="14"/>
        <v>247024092</v>
      </c>
      <c r="T16" s="18">
        <f t="shared" si="1"/>
        <v>2.103863925236962E-2</v>
      </c>
      <c r="U16" s="18">
        <f t="shared" si="2"/>
        <v>2.0519367371130907E-2</v>
      </c>
      <c r="V16" s="12"/>
      <c r="W16" s="10">
        <f t="shared" si="3"/>
        <v>88150.215376288514</v>
      </c>
      <c r="X16" s="10">
        <f t="shared" si="4"/>
        <v>199921.18119767838</v>
      </c>
      <c r="Y16" s="53">
        <v>0</v>
      </c>
      <c r="Z16" s="21">
        <f t="shared" si="5"/>
        <v>87461.168880862111</v>
      </c>
      <c r="AA16" s="21">
        <f t="shared" si="6"/>
        <v>375532.56545482902</v>
      </c>
      <c r="AB16" s="12"/>
      <c r="AC16" s="10">
        <f t="shared" si="7"/>
        <v>88150.215376288514</v>
      </c>
      <c r="AD16" s="10">
        <f t="shared" si="8"/>
        <v>199921.18119767838</v>
      </c>
      <c r="AE16" s="21">
        <f t="shared" si="9"/>
        <v>-48453.996327311703</v>
      </c>
      <c r="AF16" s="21">
        <f t="shared" si="10"/>
        <v>87461.168880862111</v>
      </c>
      <c r="AG16" s="21">
        <f t="shared" si="11"/>
        <v>327078.56912751729</v>
      </c>
      <c r="AI16" s="25">
        <f t="shared" si="12"/>
        <v>2.2085422030508117E-2</v>
      </c>
      <c r="AJ16" s="25">
        <f t="shared" si="13"/>
        <v>1.9235797107414489E-2</v>
      </c>
    </row>
    <row r="17" spans="1:36" ht="15" customHeight="1" x14ac:dyDescent="0.2">
      <c r="A17" s="7">
        <f t="shared" si="0"/>
        <v>17</v>
      </c>
      <c r="B17" s="34" t="s">
        <v>31</v>
      </c>
      <c r="C17" s="16">
        <v>1761640</v>
      </c>
      <c r="D17" s="16">
        <v>760403789</v>
      </c>
      <c r="E17" s="16">
        <v>46861376</v>
      </c>
      <c r="F17" s="16">
        <v>-3567998</v>
      </c>
      <c r="G17" s="16">
        <v>7214992</v>
      </c>
      <c r="H17" s="16">
        <v>50508370</v>
      </c>
      <c r="I17" s="17"/>
      <c r="J17" s="20"/>
      <c r="K17" s="16"/>
      <c r="L17" s="16"/>
      <c r="M17" s="16"/>
      <c r="N17" s="16"/>
      <c r="O17" s="16"/>
      <c r="P17" s="16"/>
      <c r="Q17" s="12"/>
      <c r="R17" s="16">
        <f t="shared" si="14"/>
        <v>1761640</v>
      </c>
      <c r="S17" s="16">
        <f t="shared" si="14"/>
        <v>760403789</v>
      </c>
      <c r="T17" s="18">
        <f t="shared" si="1"/>
        <v>6.5128549806164143E-2</v>
      </c>
      <c r="U17" s="18">
        <f t="shared" si="2"/>
        <v>6.3163898592089193E-2</v>
      </c>
      <c r="V17" s="12"/>
      <c r="W17" s="10">
        <f t="shared" si="3"/>
        <v>272883.41340384324</v>
      </c>
      <c r="X17" s="10">
        <f t="shared" si="4"/>
        <v>613874.55292992643</v>
      </c>
      <c r="Y17" s="53">
        <v>0</v>
      </c>
      <c r="Z17" s="21">
        <f t="shared" si="5"/>
        <v>269228.00796035893</v>
      </c>
      <c r="AA17" s="21">
        <f t="shared" si="6"/>
        <v>1155985.9742941286</v>
      </c>
      <c r="AB17" s="12"/>
      <c r="AC17" s="10">
        <f t="shared" si="7"/>
        <v>272883.41340384324</v>
      </c>
      <c r="AD17" s="10">
        <f t="shared" si="8"/>
        <v>613874.55292992643</v>
      </c>
      <c r="AE17" s="21">
        <f t="shared" si="9"/>
        <v>-149153.88252689096</v>
      </c>
      <c r="AF17" s="21">
        <f t="shared" si="10"/>
        <v>269228.00796035893</v>
      </c>
      <c r="AG17" s="21">
        <f t="shared" si="11"/>
        <v>1006832.0917672378</v>
      </c>
      <c r="AI17" s="25">
        <f t="shared" si="12"/>
        <v>2.2887018018877436E-2</v>
      </c>
      <c r="AJ17" s="25">
        <f t="shared" si="13"/>
        <v>1.9933965237192128E-2</v>
      </c>
    </row>
    <row r="18" spans="1:36" ht="15" customHeight="1" x14ac:dyDescent="0.2">
      <c r="A18" s="7">
        <f t="shared" si="0"/>
        <v>18</v>
      </c>
      <c r="B18" s="34" t="s">
        <v>32</v>
      </c>
      <c r="C18" s="16">
        <v>4486688</v>
      </c>
      <c r="D18" s="16">
        <v>2284294624</v>
      </c>
      <c r="E18" s="16">
        <v>119652391</v>
      </c>
      <c r="F18" s="16">
        <v>-10857755</v>
      </c>
      <c r="G18" s="16">
        <v>18250930</v>
      </c>
      <c r="H18" s="16">
        <v>127045566</v>
      </c>
      <c r="I18" s="17"/>
      <c r="J18" s="20"/>
      <c r="K18" s="16"/>
      <c r="L18" s="16"/>
      <c r="M18" s="16"/>
      <c r="N18" s="16"/>
      <c r="O18" s="16"/>
      <c r="P18" s="16"/>
      <c r="Q18" s="12"/>
      <c r="R18" s="16">
        <f t="shared" si="14"/>
        <v>4486688</v>
      </c>
      <c r="S18" s="16">
        <f t="shared" si="14"/>
        <v>2284294624</v>
      </c>
      <c r="T18" s="18">
        <f t="shared" si="1"/>
        <v>0.16587468658336493</v>
      </c>
      <c r="U18" s="18">
        <f t="shared" si="2"/>
        <v>0.18974781040286282</v>
      </c>
      <c r="V18" s="12"/>
      <c r="W18" s="10">
        <f t="shared" si="3"/>
        <v>695001.66680937237</v>
      </c>
      <c r="X18" s="10">
        <f t="shared" si="4"/>
        <v>1968867.8254103765</v>
      </c>
      <c r="Y18" s="53">
        <v>0</v>
      </c>
      <c r="Z18" s="21">
        <f t="shared" si="5"/>
        <v>808775.67959367053</v>
      </c>
      <c r="AA18" s="21">
        <f t="shared" si="6"/>
        <v>3472645.1718134196</v>
      </c>
      <c r="AB18" s="12"/>
      <c r="AC18" s="10">
        <f t="shared" si="7"/>
        <v>695001.66680937237</v>
      </c>
      <c r="AD18" s="10">
        <f t="shared" si="8"/>
        <v>1968867.8254103765</v>
      </c>
      <c r="AE18" s="21">
        <f t="shared" si="9"/>
        <v>-448066.43119568215</v>
      </c>
      <c r="AF18" s="21">
        <f t="shared" si="10"/>
        <v>808775.67959367065</v>
      </c>
      <c r="AG18" s="21">
        <f t="shared" si="11"/>
        <v>3024578.7406177376</v>
      </c>
      <c r="AI18" s="25">
        <f t="shared" si="12"/>
        <v>2.7333855727113054E-2</v>
      </c>
      <c r="AJ18" s="25">
        <f t="shared" si="13"/>
        <v>2.3807038969134411E-2</v>
      </c>
    </row>
    <row r="19" spans="1:36" ht="15" customHeight="1" x14ac:dyDescent="0.2">
      <c r="A19" s="7">
        <f t="shared" si="0"/>
        <v>19</v>
      </c>
      <c r="B19" s="34" t="s">
        <v>33</v>
      </c>
      <c r="C19" s="16">
        <v>2604971</v>
      </c>
      <c r="D19" s="16">
        <v>1184476084</v>
      </c>
      <c r="E19" s="16">
        <v>73598088</v>
      </c>
      <c r="F19" s="16">
        <v>-5590559</v>
      </c>
      <c r="G19" s="16">
        <v>11365957</v>
      </c>
      <c r="H19" s="16">
        <v>79373486</v>
      </c>
      <c r="I19" s="17"/>
      <c r="J19" s="20"/>
      <c r="K19" s="16"/>
      <c r="L19" s="16"/>
      <c r="M19" s="16"/>
      <c r="N19" s="16"/>
      <c r="O19" s="16"/>
      <c r="P19" s="16"/>
      <c r="Q19" s="12"/>
      <c r="R19" s="16">
        <f t="shared" si="14"/>
        <v>2604971</v>
      </c>
      <c r="S19" s="16">
        <f t="shared" si="14"/>
        <v>1184476084</v>
      </c>
      <c r="T19" s="18">
        <f t="shared" si="1"/>
        <v>9.6306841078264135E-2</v>
      </c>
      <c r="U19" s="18">
        <f t="shared" si="2"/>
        <v>9.8389997967949255E-2</v>
      </c>
      <c r="V19" s="12"/>
      <c r="W19" s="10">
        <f t="shared" si="3"/>
        <v>403517.95957064041</v>
      </c>
      <c r="X19" s="10">
        <f t="shared" si="4"/>
        <v>977779.21255434933</v>
      </c>
      <c r="Y19" s="53">
        <v>0</v>
      </c>
      <c r="Z19" s="21">
        <f t="shared" si="5"/>
        <v>419374.73377319897</v>
      </c>
      <c r="AA19" s="21">
        <f t="shared" si="6"/>
        <v>1800671.9058981887</v>
      </c>
      <c r="AB19" s="12"/>
      <c r="AC19" s="10">
        <f t="shared" si="7"/>
        <v>403517.95957064041</v>
      </c>
      <c r="AD19" s="10">
        <f t="shared" si="8"/>
        <v>977779.21255434933</v>
      </c>
      <c r="AE19" s="21">
        <f t="shared" si="9"/>
        <v>-232336.04204048464</v>
      </c>
      <c r="AF19" s="21">
        <f t="shared" si="10"/>
        <v>419374.73377319897</v>
      </c>
      <c r="AG19" s="21">
        <f t="shared" si="11"/>
        <v>1568335.863857704</v>
      </c>
      <c r="AI19" s="25">
        <f t="shared" si="12"/>
        <v>2.2686063024851759E-2</v>
      </c>
      <c r="AJ19" s="25">
        <f t="shared" si="13"/>
        <v>1.9758938946661659E-2</v>
      </c>
    </row>
    <row r="20" spans="1:36" ht="15" customHeight="1" x14ac:dyDescent="0.2">
      <c r="A20" s="7">
        <f t="shared" si="0"/>
        <v>20</v>
      </c>
      <c r="B20" s="34" t="s">
        <v>34</v>
      </c>
      <c r="C20" s="16">
        <v>1021546</v>
      </c>
      <c r="D20" s="16">
        <v>500695586</v>
      </c>
      <c r="E20" s="16">
        <v>30200720</v>
      </c>
      <c r="F20" s="16">
        <v>-2355752</v>
      </c>
      <c r="G20" s="16">
        <v>4634477</v>
      </c>
      <c r="H20" s="16">
        <v>32479445</v>
      </c>
      <c r="I20" s="17"/>
      <c r="J20" s="16"/>
      <c r="K20" s="16"/>
      <c r="L20" s="16"/>
      <c r="M20" s="16"/>
      <c r="N20" s="16"/>
      <c r="O20" s="16"/>
      <c r="P20" s="16"/>
      <c r="Q20" s="12"/>
      <c r="R20" s="16">
        <f t="shared" si="14"/>
        <v>1021546</v>
      </c>
      <c r="S20" s="16">
        <f t="shared" si="14"/>
        <v>500695586</v>
      </c>
      <c r="T20" s="18">
        <f t="shared" si="1"/>
        <v>3.7766972559823669E-2</v>
      </c>
      <c r="U20" s="18">
        <f t="shared" si="2"/>
        <v>4.1590909562933112E-2</v>
      </c>
      <c r="V20" s="12"/>
      <c r="W20" s="10">
        <f t="shared" si="3"/>
        <v>158240.59366785636</v>
      </c>
      <c r="X20" s="10">
        <f t="shared" si="4"/>
        <v>425654.18173502519</v>
      </c>
      <c r="Y20" s="53">
        <v>0</v>
      </c>
      <c r="Z20" s="21">
        <f t="shared" si="5"/>
        <v>177275.91203957636</v>
      </c>
      <c r="AA20" s="21">
        <f t="shared" si="6"/>
        <v>761170.68744245789</v>
      </c>
      <c r="AB20" s="12"/>
      <c r="AC20" s="10">
        <f t="shared" si="7"/>
        <v>158240.59366785636</v>
      </c>
      <c r="AD20" s="10">
        <f t="shared" si="8"/>
        <v>425654.18173502519</v>
      </c>
      <c r="AE20" s="21">
        <f t="shared" si="9"/>
        <v>-98211.8864954483</v>
      </c>
      <c r="AF20" s="21">
        <f t="shared" si="10"/>
        <v>177275.91203957639</v>
      </c>
      <c r="AG20" s="21">
        <f t="shared" si="11"/>
        <v>662958.80094700959</v>
      </c>
      <c r="AI20" s="25">
        <f t="shared" si="12"/>
        <v>2.3435458562868234E-2</v>
      </c>
      <c r="AJ20" s="25">
        <f t="shared" si="13"/>
        <v>2.0411641915279329E-2</v>
      </c>
    </row>
    <row r="21" spans="1:36" ht="15" customHeight="1" x14ac:dyDescent="0.2">
      <c r="A21" s="7">
        <f t="shared" si="0"/>
        <v>21</v>
      </c>
      <c r="B21" s="34" t="s">
        <v>35</v>
      </c>
      <c r="C21" s="16">
        <v>3122465</v>
      </c>
      <c r="D21" s="16">
        <v>1274648341</v>
      </c>
      <c r="E21" s="16">
        <v>81152946</v>
      </c>
      <c r="F21" s="16">
        <v>-5924121</v>
      </c>
      <c r="G21" s="16">
        <v>12517918</v>
      </c>
      <c r="H21" s="16">
        <v>87746743</v>
      </c>
      <c r="I21" s="17"/>
      <c r="J21" s="72">
        <f>58000*12</f>
        <v>696000</v>
      </c>
      <c r="K21" s="19">
        <v>508080000</v>
      </c>
      <c r="L21" s="16">
        <f>J21*'Input Data'!D14</f>
        <v>4189919.9999999995</v>
      </c>
      <c r="M21" s="16">
        <f>K21*('Input Data'!D15*'Input Data'!E15+'Input Data'!D16*'Input Data'!E16)</f>
        <v>23888079.809999999</v>
      </c>
      <c r="N21" s="16">
        <f>(K21/D21)*F21</f>
        <v>-2361378.6648940532</v>
      </c>
      <c r="O21" s="16">
        <f>(L21+M21+N21)*(G23/(E23+F23))</f>
        <v>4262371.6072218148</v>
      </c>
      <c r="P21" s="16">
        <f>SUM(L21:O21)</f>
        <v>29978992.752327763</v>
      </c>
      <c r="Q21" s="12"/>
      <c r="R21" s="22">
        <f>C21-J21</f>
        <v>2426465</v>
      </c>
      <c r="S21" s="22">
        <f>D21-K21</f>
        <v>766568341</v>
      </c>
      <c r="T21" s="18">
        <f t="shared" si="1"/>
        <v>8.9707401401769998E-2</v>
      </c>
      <c r="U21" s="18">
        <f t="shared" si="2"/>
        <v>6.367596486927822E-2</v>
      </c>
      <c r="V21" s="12"/>
      <c r="W21" s="10">
        <f t="shared" si="3"/>
        <v>375866.83528130408</v>
      </c>
      <c r="X21" s="10">
        <f t="shared" si="4"/>
        <v>518080.0294692762</v>
      </c>
      <c r="Y21" s="53">
        <v>0</v>
      </c>
      <c r="Z21" s="21">
        <f t="shared" si="5"/>
        <v>271410.62472126522</v>
      </c>
      <c r="AA21" s="21">
        <f t="shared" si="6"/>
        <v>1165357.4894718456</v>
      </c>
      <c r="AB21" s="12"/>
      <c r="AC21" s="10">
        <f t="shared" si="7"/>
        <v>375866.83528130408</v>
      </c>
      <c r="AD21" s="10">
        <f t="shared" si="8"/>
        <v>518080.0294692762</v>
      </c>
      <c r="AE21" s="21">
        <f t="shared" si="9"/>
        <v>-150363.06490885685</v>
      </c>
      <c r="AF21" s="21">
        <f t="shared" si="10"/>
        <v>271410.62472126522</v>
      </c>
      <c r="AG21" s="21">
        <f t="shared" si="11"/>
        <v>1014994.4245629886</v>
      </c>
      <c r="AI21" s="25">
        <f t="shared" si="12"/>
        <v>1.3280920175827444E-2</v>
      </c>
      <c r="AJ21" s="25">
        <f t="shared" si="13"/>
        <v>1.1567317371118704E-2</v>
      </c>
    </row>
    <row r="22" spans="1:36" ht="15" customHeight="1" x14ac:dyDescent="0.2">
      <c r="A22" s="7">
        <f t="shared" si="0"/>
        <v>22</v>
      </c>
      <c r="B22" s="34" t="s">
        <v>36</v>
      </c>
      <c r="C22" s="16">
        <v>1261567</v>
      </c>
      <c r="D22" s="16">
        <v>566968256</v>
      </c>
      <c r="E22" s="16">
        <v>32802228</v>
      </c>
      <c r="F22" s="16">
        <v>-2174385</v>
      </c>
      <c r="G22" s="16">
        <v>4857759</v>
      </c>
      <c r="H22" s="16">
        <v>35485602</v>
      </c>
      <c r="I22" s="17"/>
      <c r="J22" s="16"/>
      <c r="K22" s="16"/>
      <c r="L22" s="16"/>
      <c r="M22" s="16"/>
      <c r="N22" s="16"/>
      <c r="O22" s="16"/>
      <c r="P22" s="16"/>
      <c r="Q22" s="12"/>
      <c r="R22" s="16">
        <f t="shared" si="14"/>
        <v>1261567</v>
      </c>
      <c r="S22" s="16">
        <f t="shared" si="14"/>
        <v>566968256</v>
      </c>
      <c r="T22" s="18">
        <f t="shared" si="1"/>
        <v>4.6640646893413573E-2</v>
      </c>
      <c r="U22" s="18">
        <f t="shared" si="2"/>
        <v>4.7095932378261283E-2</v>
      </c>
      <c r="V22" s="12"/>
      <c r="W22" s="10">
        <f t="shared" si="3"/>
        <v>195420.57923165138</v>
      </c>
      <c r="X22" s="10">
        <f t="shared" si="4"/>
        <v>465759.21095264517</v>
      </c>
      <c r="Y22" s="53">
        <v>0</v>
      </c>
      <c r="Z22" s="21">
        <f t="shared" si="5"/>
        <v>200740.36498473946</v>
      </c>
      <c r="AA22" s="21">
        <f t="shared" si="6"/>
        <v>861920.15516903601</v>
      </c>
      <c r="AB22" s="12"/>
      <c r="AC22" s="10">
        <f t="shared" si="7"/>
        <v>195420.57923165138</v>
      </c>
      <c r="AD22" s="10">
        <f t="shared" si="8"/>
        <v>465759.21095264517</v>
      </c>
      <c r="AE22" s="21">
        <f t="shared" si="9"/>
        <v>-111211.32992131924</v>
      </c>
      <c r="AF22" s="21">
        <f t="shared" si="10"/>
        <v>200740.36498473946</v>
      </c>
      <c r="AG22" s="21">
        <f t="shared" si="11"/>
        <v>750708.82524771674</v>
      </c>
      <c r="AI22" s="25">
        <f t="shared" si="12"/>
        <v>2.4289292180221037E-2</v>
      </c>
      <c r="AJ22" s="25">
        <f t="shared" si="13"/>
        <v>2.1155307587784947E-2</v>
      </c>
    </row>
    <row r="23" spans="1:36" ht="15" customHeight="1" x14ac:dyDescent="0.2">
      <c r="A23" s="7">
        <f t="shared" si="0"/>
        <v>23</v>
      </c>
      <c r="B23" s="35" t="s">
        <v>21</v>
      </c>
      <c r="C23" s="15">
        <f>SUM(C7:C22)</f>
        <v>27744660</v>
      </c>
      <c r="D23" s="15">
        <f t="shared" ref="D23:H23" si="15">SUM(D7:D22)</f>
        <v>12546662259</v>
      </c>
      <c r="E23" s="15">
        <f t="shared" si="15"/>
        <v>750037454</v>
      </c>
      <c r="F23" s="15">
        <f t="shared" si="15"/>
        <v>-57598319</v>
      </c>
      <c r="G23" s="15">
        <f t="shared" si="15"/>
        <v>114767523</v>
      </c>
      <c r="H23" s="15">
        <f t="shared" si="15"/>
        <v>807206658</v>
      </c>
      <c r="I23" s="17"/>
      <c r="J23" s="15">
        <f>SUM(J7:J22)</f>
        <v>696000</v>
      </c>
      <c r="K23" s="15">
        <f t="shared" ref="K23" si="16">SUM(K7:K22)</f>
        <v>508080000</v>
      </c>
      <c r="L23" s="15">
        <f t="shared" ref="L23" si="17">SUM(L7:L22)</f>
        <v>4189919.9999999995</v>
      </c>
      <c r="M23" s="15">
        <f t="shared" ref="M23" si="18">SUM(M7:M22)</f>
        <v>23888079.809999999</v>
      </c>
      <c r="N23" s="15">
        <f t="shared" ref="N23" si="19">SUM(N7:N22)</f>
        <v>-2361378.6648940532</v>
      </c>
      <c r="O23" s="15">
        <f t="shared" ref="O23:P23" si="20">SUM(O7:O22)</f>
        <v>4262371.6072218148</v>
      </c>
      <c r="P23" s="15">
        <f t="shared" si="20"/>
        <v>29978992.752327763</v>
      </c>
      <c r="Q23" s="12"/>
      <c r="R23" s="23">
        <f>SUM(R7:R22)</f>
        <v>27048660</v>
      </c>
      <c r="S23" s="23">
        <f>SUM(S7:S22)</f>
        <v>12038582259</v>
      </c>
      <c r="T23" s="24">
        <f>SUM(T7:T22)</f>
        <v>1</v>
      </c>
      <c r="U23" s="24">
        <f>SUM(U7:U22)</f>
        <v>0.99999999999999989</v>
      </c>
      <c r="V23" s="12"/>
      <c r="W23" s="23">
        <f>SUM(W7:W22)</f>
        <v>4189919.9999999995</v>
      </c>
      <c r="X23" s="23">
        <f>SUM(X7:X22)</f>
        <v>9849079.9049999993</v>
      </c>
      <c r="Y23" s="54">
        <f>SUM(Y7:Y22)</f>
        <v>0</v>
      </c>
      <c r="Z23" s="23">
        <f>SUM(Z7:Z22)</f>
        <v>4262371.6072218148</v>
      </c>
      <c r="AA23" s="23">
        <f>SUM(AA7:AA22)</f>
        <v>18301371.512221813</v>
      </c>
      <c r="AB23" s="12"/>
      <c r="AC23" s="23">
        <f>SUM(AC7:AC22)</f>
        <v>4189919.9999999995</v>
      </c>
      <c r="AD23" s="23">
        <f>SUM(AD7:AD22)</f>
        <v>9849079.9049999993</v>
      </c>
      <c r="AE23" s="23">
        <f>SUM(AE7:AE22)</f>
        <v>-2361378.6648940532</v>
      </c>
      <c r="AF23" s="23">
        <f>SUM(AF7:AF22)</f>
        <v>4262371.6072218148</v>
      </c>
      <c r="AG23" s="23">
        <f>SUM(AG7:AG22)</f>
        <v>15939992.847327759</v>
      </c>
      <c r="AI23" s="26">
        <f t="shared" si="12"/>
        <v>2.2672473437677979E-2</v>
      </c>
      <c r="AJ23" s="26">
        <f t="shared" si="13"/>
        <v>1.9747102788797561E-2</v>
      </c>
    </row>
    <row r="24" spans="1:36" ht="15" customHeight="1" x14ac:dyDescent="0.2">
      <c r="E24" s="28"/>
      <c r="AA24" s="14"/>
      <c r="AG24" s="14"/>
    </row>
    <row r="25" spans="1:36" ht="15" customHeight="1" x14ac:dyDescent="0.2">
      <c r="L25" s="10" t="s">
        <v>49</v>
      </c>
      <c r="M25" s="16">
        <f>M23+L23</f>
        <v>28077999.809999999</v>
      </c>
      <c r="O25" s="10" t="s">
        <v>51</v>
      </c>
      <c r="P25" s="11">
        <f>P23</f>
        <v>29978992.752327763</v>
      </c>
      <c r="R25" s="13"/>
      <c r="S25" s="13"/>
      <c r="W25" s="12" t="s">
        <v>49</v>
      </c>
      <c r="X25" s="16">
        <f>X23+W23</f>
        <v>14038999.904999999</v>
      </c>
      <c r="AC25" s="12" t="s">
        <v>49</v>
      </c>
      <c r="AD25" s="16">
        <f>AD23+AC23</f>
        <v>14038999.904999999</v>
      </c>
    </row>
    <row r="26" spans="1:36" ht="15" customHeight="1" x14ac:dyDescent="0.2">
      <c r="R26" s="13"/>
      <c r="S26" s="13"/>
      <c r="W26" s="12" t="s">
        <v>50</v>
      </c>
      <c r="X26" s="14">
        <f>X25/M25</f>
        <v>0.5</v>
      </c>
      <c r="AC26" s="12" t="s">
        <v>50</v>
      </c>
      <c r="AD26" s="14">
        <f>AD25/M25</f>
        <v>0.5</v>
      </c>
    </row>
    <row r="29" spans="1:36" ht="27" customHeight="1" x14ac:dyDescent="0.2"/>
  </sheetData>
  <mergeCells count="6">
    <mergeCell ref="AI4:AJ4"/>
    <mergeCell ref="C4:H4"/>
    <mergeCell ref="J4:P4"/>
    <mergeCell ref="R4:U4"/>
    <mergeCell ref="W4:AA4"/>
    <mergeCell ref="AC4:AG4"/>
  </mergeCells>
  <printOptions horizontalCentered="1"/>
  <pageMargins left="0.75" right="0.75" top="1.25" bottom="0.75" header="0.8" footer="0.3"/>
  <pageSetup fitToWidth="4" orientation="landscape" r:id="rId1"/>
  <headerFooter>
    <oddFooter>&amp;R&amp;"Arial,Bold"Exhibit JW-2
Page &amp;P of &amp;N</oddFooter>
  </headerFooter>
  <colBreaks count="3" manualBreakCount="3">
    <brk id="9" max="23" man="1"/>
    <brk id="17" max="23" man="1"/>
    <brk id="28" max="23" man="1"/>
  </colBreaks>
  <ignoredErrors>
    <ignoredError sqref="R21:S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zoomScaleNormal="100" workbookViewId="0">
      <selection activeCell="A6" sqref="A6"/>
    </sheetView>
  </sheetViews>
  <sheetFormatPr defaultRowHeight="12.75" x14ac:dyDescent="0.2"/>
  <cols>
    <col min="1" max="1" width="6.5" style="1" customWidth="1"/>
    <col min="2" max="2" width="9.33203125" style="1"/>
    <col min="3" max="3" width="15.1640625" style="1" bestFit="1" customWidth="1"/>
    <col min="4" max="4" width="17.83203125" style="1" bestFit="1" customWidth="1"/>
    <col min="5" max="16384" width="9.33203125" style="1"/>
  </cols>
  <sheetData>
    <row r="1" spans="1:5" x14ac:dyDescent="0.2">
      <c r="A1" s="1">
        <v>1</v>
      </c>
      <c r="B1" s="37" t="s">
        <v>54</v>
      </c>
    </row>
    <row r="2" spans="1:5" x14ac:dyDescent="0.2">
      <c r="A2" s="1">
        <f>A1+1</f>
        <v>2</v>
      </c>
    </row>
    <row r="3" spans="1:5" x14ac:dyDescent="0.2">
      <c r="A3" s="1">
        <f t="shared" ref="A3:A17" si="0">A2+1</f>
        <v>3</v>
      </c>
      <c r="B3" s="37" t="s">
        <v>8</v>
      </c>
    </row>
    <row r="4" spans="1:5" x14ac:dyDescent="0.2">
      <c r="A4" s="1">
        <f t="shared" si="0"/>
        <v>4</v>
      </c>
    </row>
    <row r="5" spans="1:5" x14ac:dyDescent="0.2">
      <c r="A5" s="1">
        <f t="shared" si="0"/>
        <v>5</v>
      </c>
    </row>
    <row r="6" spans="1:5" x14ac:dyDescent="0.2">
      <c r="A6" s="1">
        <f t="shared" si="0"/>
        <v>6</v>
      </c>
      <c r="B6" s="38" t="s">
        <v>7</v>
      </c>
      <c r="C6" s="39"/>
    </row>
    <row r="7" spans="1:5" x14ac:dyDescent="0.2">
      <c r="A7" s="1">
        <f t="shared" si="0"/>
        <v>7</v>
      </c>
      <c r="B7" s="40" t="s">
        <v>13</v>
      </c>
      <c r="D7" s="41">
        <v>58000</v>
      </c>
    </row>
    <row r="8" spans="1:5" x14ac:dyDescent="0.2">
      <c r="A8" s="1">
        <f t="shared" si="0"/>
        <v>8</v>
      </c>
      <c r="B8" s="40" t="s">
        <v>14</v>
      </c>
      <c r="D8" s="42">
        <f>D7*8760</f>
        <v>508080000</v>
      </c>
    </row>
    <row r="9" spans="1:5" x14ac:dyDescent="0.2">
      <c r="A9" s="1">
        <f t="shared" si="0"/>
        <v>9</v>
      </c>
    </row>
    <row r="10" spans="1:5" x14ac:dyDescent="0.2">
      <c r="A10" s="1">
        <f t="shared" si="0"/>
        <v>10</v>
      </c>
    </row>
    <row r="11" spans="1:5" x14ac:dyDescent="0.2">
      <c r="A11" s="1">
        <f t="shared" si="0"/>
        <v>11</v>
      </c>
      <c r="B11" s="38" t="s">
        <v>9</v>
      </c>
    </row>
    <row r="12" spans="1:5" x14ac:dyDescent="0.2">
      <c r="A12" s="1">
        <f t="shared" si="0"/>
        <v>12</v>
      </c>
      <c r="B12" s="39"/>
    </row>
    <row r="13" spans="1:5" x14ac:dyDescent="0.2">
      <c r="A13" s="1">
        <f t="shared" si="0"/>
        <v>13</v>
      </c>
      <c r="B13" s="43" t="s">
        <v>15</v>
      </c>
      <c r="C13" s="39" t="s">
        <v>16</v>
      </c>
      <c r="D13" s="44" t="s">
        <v>17</v>
      </c>
      <c r="E13" s="44" t="s">
        <v>18</v>
      </c>
    </row>
    <row r="14" spans="1:5" x14ac:dyDescent="0.2">
      <c r="A14" s="1">
        <f t="shared" si="0"/>
        <v>14</v>
      </c>
      <c r="B14" s="45" t="s">
        <v>12</v>
      </c>
      <c r="C14" s="40" t="s">
        <v>6</v>
      </c>
      <c r="D14" s="46">
        <v>6.02</v>
      </c>
      <c r="E14" s="47"/>
    </row>
    <row r="15" spans="1:5" x14ac:dyDescent="0.2">
      <c r="A15" s="1">
        <f t="shared" si="0"/>
        <v>15</v>
      </c>
      <c r="B15" s="48"/>
      <c r="C15" s="40" t="s">
        <v>11</v>
      </c>
      <c r="D15" s="49">
        <v>5.0899E-2</v>
      </c>
      <c r="E15" s="50">
        <v>0.55500000000000005</v>
      </c>
    </row>
    <row r="16" spans="1:5" x14ac:dyDescent="0.2">
      <c r="A16" s="1">
        <f t="shared" si="0"/>
        <v>16</v>
      </c>
      <c r="B16" s="48"/>
      <c r="C16" s="40" t="s">
        <v>10</v>
      </c>
      <c r="D16" s="49">
        <v>4.2174000000000003E-2</v>
      </c>
      <c r="E16" s="47">
        <f>1-E15</f>
        <v>0.44499999999999995</v>
      </c>
    </row>
    <row r="17" spans="1:5" x14ac:dyDescent="0.2">
      <c r="A17" s="1">
        <f t="shared" si="0"/>
        <v>17</v>
      </c>
      <c r="B17" s="48"/>
      <c r="C17" s="51" t="s">
        <v>19</v>
      </c>
      <c r="D17" s="52">
        <f>D15*E15+D16*E16</f>
        <v>4.7016374999999999E-2</v>
      </c>
      <c r="E17" s="47"/>
    </row>
    <row r="18" spans="1:5" x14ac:dyDescent="0.2">
      <c r="B18" s="38"/>
    </row>
    <row r="19" spans="1:5" x14ac:dyDescent="0.2">
      <c r="B19" s="38"/>
    </row>
    <row r="20" spans="1:5" x14ac:dyDescent="0.2">
      <c r="B20" s="38"/>
    </row>
    <row r="21" spans="1:5" x14ac:dyDescent="0.2">
      <c r="B21" s="38"/>
    </row>
    <row r="22" spans="1:5" x14ac:dyDescent="0.2">
      <c r="B22" s="38"/>
    </row>
    <row r="23" spans="1:5" x14ac:dyDescent="0.2">
      <c r="B23" s="38"/>
    </row>
    <row r="24" spans="1:5" x14ac:dyDescent="0.2">
      <c r="B24" s="38"/>
    </row>
    <row r="25" spans="1:5" x14ac:dyDescent="0.2">
      <c r="B25" s="38"/>
    </row>
    <row r="26" spans="1:5" x14ac:dyDescent="0.2">
      <c r="B26" s="38"/>
    </row>
    <row r="27" spans="1:5" x14ac:dyDescent="0.2">
      <c r="B27" s="38"/>
    </row>
    <row r="28" spans="1:5" x14ac:dyDescent="0.2">
      <c r="B28" s="38"/>
    </row>
    <row r="29" spans="1:5" x14ac:dyDescent="0.2">
      <c r="B29" s="38"/>
    </row>
    <row r="30" spans="1:5" x14ac:dyDescent="0.2">
      <c r="B30" s="38"/>
    </row>
    <row r="31" spans="1:5" x14ac:dyDescent="0.2">
      <c r="B31" s="38"/>
    </row>
    <row r="32" spans="1:5" x14ac:dyDescent="0.2">
      <c r="B32" s="38"/>
    </row>
    <row r="33" spans="2:2" x14ac:dyDescent="0.2">
      <c r="B33" s="38"/>
    </row>
    <row r="34" spans="2:2" x14ac:dyDescent="0.2">
      <c r="B34" s="38"/>
    </row>
    <row r="35" spans="2:2" x14ac:dyDescent="0.2">
      <c r="B35" s="38"/>
    </row>
    <row r="36" spans="2:2" x14ac:dyDescent="0.2">
      <c r="B36" s="38"/>
    </row>
    <row r="37" spans="2:2" x14ac:dyDescent="0.2">
      <c r="B37" s="38"/>
    </row>
  </sheetData>
  <printOptions horizontalCentered="1"/>
  <pageMargins left="0.75" right="0.75" top="1.25" bottom="0.75" header="0.8" footer="0.3"/>
  <pageSetup orientation="portrait" verticalDpi="0" r:id="rId1"/>
  <headerFooter>
    <oddFooter>&amp;R&amp;"Arial,Bold"Exhibit JW-2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29"/>
  <sheetViews>
    <sheetView topLeftCell="W1" zoomScaleNormal="100" zoomScaleSheetLayoutView="100" workbookViewId="0">
      <selection activeCell="AN6" sqref="AN6:AO23"/>
    </sheetView>
  </sheetViews>
  <sheetFormatPr defaultRowHeight="15" customHeight="1" x14ac:dyDescent="0.2"/>
  <cols>
    <col min="1" max="1" width="6.1640625" style="7" customWidth="1"/>
    <col min="2" max="2" width="30.33203125" style="9" bestFit="1" customWidth="1"/>
    <col min="3" max="3" width="11.1640625" style="11" hidden="1" customWidth="1"/>
    <col min="4" max="4" width="14.83203125" style="11" hidden="1" customWidth="1"/>
    <col min="5" max="5" width="12.1640625" style="11" hidden="1" customWidth="1"/>
    <col min="6" max="6" width="12" style="11" hidden="1" customWidth="1"/>
    <col min="7" max="8" width="12.1640625" style="11" hidden="1" customWidth="1"/>
    <col min="9" max="9" width="1.6640625" style="11" hidden="1" customWidth="1"/>
    <col min="10" max="10" width="8.6640625" style="11" hidden="1" customWidth="1"/>
    <col min="11" max="11" width="12.1640625" style="11" hidden="1" customWidth="1"/>
    <col min="12" max="12" width="10.1640625" style="11" hidden="1" customWidth="1"/>
    <col min="13" max="13" width="11.5" style="11" hidden="1" customWidth="1"/>
    <col min="14" max="14" width="11" style="11" hidden="1" customWidth="1"/>
    <col min="15" max="15" width="10.1640625" style="11" hidden="1" customWidth="1"/>
    <col min="16" max="16" width="11.5" style="11" hidden="1" customWidth="1"/>
    <col min="17" max="17" width="1.6640625" style="9" hidden="1" customWidth="1"/>
    <col min="18" max="18" width="11.1640625" style="9" hidden="1" customWidth="1"/>
    <col min="19" max="19" width="14.83203125" style="9" hidden="1" customWidth="1"/>
    <col min="20" max="20" width="6.33203125" style="9" hidden="1" customWidth="1"/>
    <col min="21" max="21" width="7.1640625" style="9" hidden="1" customWidth="1"/>
    <col min="22" max="22" width="1.83203125" style="9" hidden="1" customWidth="1"/>
    <col min="23" max="23" width="14" style="9" bestFit="1" customWidth="1"/>
    <col min="24" max="24" width="11.5" style="9" bestFit="1" customWidth="1"/>
    <col min="25" max="25" width="6.83203125" style="9" bestFit="1" customWidth="1"/>
    <col min="26" max="26" width="10.1640625" style="9" bestFit="1" customWidth="1"/>
    <col min="27" max="27" width="11.5" style="9" bestFit="1" customWidth="1"/>
    <col min="28" max="28" width="1.83203125" style="9" customWidth="1"/>
    <col min="29" max="29" width="14" style="9" hidden="1" customWidth="1"/>
    <col min="30" max="30" width="11.1640625" style="9" hidden="1" customWidth="1"/>
    <col min="31" max="31" width="11" style="9" hidden="1" customWidth="1"/>
    <col min="32" max="32" width="10.1640625" style="9" hidden="1" customWidth="1"/>
    <col min="33" max="33" width="11.5" style="9" hidden="1" customWidth="1"/>
    <col min="34" max="34" width="2" style="9" hidden="1" customWidth="1"/>
    <col min="35" max="35" width="8.6640625" style="9" hidden="1" customWidth="1"/>
    <col min="36" max="36" width="7.6640625" style="9" hidden="1" customWidth="1"/>
    <col min="37" max="37" width="9.33203125" style="9"/>
    <col min="38" max="38" width="10.5" style="9" bestFit="1" customWidth="1"/>
    <col min="39" max="16384" width="9.33203125" style="9"/>
  </cols>
  <sheetData>
    <row r="1" spans="1:40" ht="15" customHeight="1" x14ac:dyDescent="0.2">
      <c r="A1" s="7">
        <v>1</v>
      </c>
      <c r="B1" s="27" t="s">
        <v>37</v>
      </c>
    </row>
    <row r="2" spans="1:40" ht="15" customHeight="1" x14ac:dyDescent="0.2">
      <c r="A2" s="7">
        <f>A1+1</f>
        <v>2</v>
      </c>
      <c r="B2" s="27"/>
      <c r="E2" s="28"/>
      <c r="L2" s="29"/>
      <c r="M2" s="30"/>
      <c r="N2" s="30"/>
      <c r="O2" s="31"/>
    </row>
    <row r="3" spans="1:40" s="7" customFormat="1" ht="15" customHeight="1" x14ac:dyDescent="0.2">
      <c r="A3" s="7">
        <f t="shared" ref="A3:A23" si="0">A2+1</f>
        <v>3</v>
      </c>
      <c r="B3" s="8"/>
      <c r="C3" s="8"/>
      <c r="D3" s="8"/>
      <c r="E3" s="8"/>
      <c r="F3" s="8"/>
      <c r="G3" s="8"/>
      <c r="H3" s="8"/>
      <c r="I3" s="8"/>
      <c r="J3" s="11"/>
      <c r="K3" s="11"/>
      <c r="L3" s="11"/>
      <c r="M3" s="30"/>
      <c r="N3" s="11"/>
      <c r="O3" s="11"/>
      <c r="P3" s="11"/>
      <c r="Q3" s="9"/>
      <c r="R3" s="9"/>
      <c r="S3" s="9"/>
      <c r="T3" s="32"/>
    </row>
    <row r="4" spans="1:40" ht="15" customHeight="1" x14ac:dyDescent="0.2">
      <c r="A4" s="7">
        <f t="shared" si="0"/>
        <v>4</v>
      </c>
      <c r="B4" s="6"/>
      <c r="C4" s="57" t="s">
        <v>20</v>
      </c>
      <c r="D4" s="58"/>
      <c r="E4" s="58"/>
      <c r="F4" s="58"/>
      <c r="G4" s="58"/>
      <c r="H4" s="59"/>
      <c r="I4" s="8"/>
      <c r="J4" s="60" t="s">
        <v>5</v>
      </c>
      <c r="K4" s="61"/>
      <c r="L4" s="61"/>
      <c r="M4" s="61"/>
      <c r="N4" s="61"/>
      <c r="O4" s="61"/>
      <c r="P4" s="62"/>
      <c r="R4" s="63" t="s">
        <v>48</v>
      </c>
      <c r="S4" s="64"/>
      <c r="T4" s="64"/>
      <c r="U4" s="65"/>
      <c r="W4" s="66" t="s">
        <v>52</v>
      </c>
      <c r="X4" s="67"/>
      <c r="Y4" s="67"/>
      <c r="Z4" s="67"/>
      <c r="AA4" s="68"/>
      <c r="AC4" s="69" t="s">
        <v>53</v>
      </c>
      <c r="AD4" s="70"/>
      <c r="AE4" s="70"/>
      <c r="AF4" s="70"/>
      <c r="AG4" s="71"/>
      <c r="AI4" s="55" t="s">
        <v>47</v>
      </c>
      <c r="AJ4" s="56"/>
      <c r="AK4" s="7"/>
      <c r="AL4" s="7"/>
      <c r="AM4" s="7"/>
    </row>
    <row r="5" spans="1:40" ht="15" customHeight="1" x14ac:dyDescent="0.2">
      <c r="A5" s="7">
        <f t="shared" si="0"/>
        <v>5</v>
      </c>
      <c r="AK5" s="7"/>
      <c r="AL5" s="7"/>
      <c r="AM5" s="7"/>
    </row>
    <row r="6" spans="1:40" ht="22.5" x14ac:dyDescent="0.2">
      <c r="A6" s="7">
        <f t="shared" si="0"/>
        <v>6</v>
      </c>
      <c r="B6" s="2" t="s">
        <v>44</v>
      </c>
      <c r="C6" s="3" t="s">
        <v>1</v>
      </c>
      <c r="D6" s="3" t="s">
        <v>2</v>
      </c>
      <c r="E6" s="4" t="s">
        <v>38</v>
      </c>
      <c r="F6" s="5" t="s">
        <v>39</v>
      </c>
      <c r="G6" s="5" t="s">
        <v>40</v>
      </c>
      <c r="H6" s="5" t="s">
        <v>41</v>
      </c>
      <c r="I6" s="8"/>
      <c r="J6" s="3" t="s">
        <v>1</v>
      </c>
      <c r="K6" s="3" t="s">
        <v>2</v>
      </c>
      <c r="L6" s="3" t="s">
        <v>43</v>
      </c>
      <c r="M6" s="3" t="s">
        <v>42</v>
      </c>
      <c r="N6" s="4" t="s">
        <v>39</v>
      </c>
      <c r="O6" s="4" t="s">
        <v>40</v>
      </c>
      <c r="P6" s="4" t="s">
        <v>41</v>
      </c>
      <c r="R6" s="3" t="s">
        <v>1</v>
      </c>
      <c r="S6" s="3" t="s">
        <v>2</v>
      </c>
      <c r="T6" s="3" t="s">
        <v>3</v>
      </c>
      <c r="U6" s="3" t="s">
        <v>4</v>
      </c>
      <c r="W6" s="3" t="s">
        <v>43</v>
      </c>
      <c r="X6" s="3" t="s">
        <v>42</v>
      </c>
      <c r="Y6" s="4" t="s">
        <v>39</v>
      </c>
      <c r="Z6" s="4" t="s">
        <v>40</v>
      </c>
      <c r="AA6" s="4" t="s">
        <v>41</v>
      </c>
      <c r="AC6" s="3" t="s">
        <v>43</v>
      </c>
      <c r="AD6" s="3" t="s">
        <v>42</v>
      </c>
      <c r="AE6" s="4" t="s">
        <v>39</v>
      </c>
      <c r="AF6" s="4" t="s">
        <v>40</v>
      </c>
      <c r="AG6" s="4" t="s">
        <v>41</v>
      </c>
      <c r="AI6" s="4" t="s">
        <v>46</v>
      </c>
      <c r="AJ6" s="4" t="s">
        <v>45</v>
      </c>
    </row>
    <row r="7" spans="1:40" ht="15" customHeight="1" x14ac:dyDescent="0.2">
      <c r="A7" s="7">
        <f t="shared" si="0"/>
        <v>7</v>
      </c>
      <c r="B7" s="33" t="s">
        <v>22</v>
      </c>
      <c r="C7" s="15">
        <v>531265</v>
      </c>
      <c r="D7" s="15">
        <v>220559577</v>
      </c>
      <c r="E7" s="16">
        <v>14160279</v>
      </c>
      <c r="F7" s="15">
        <v>-1022466</v>
      </c>
      <c r="G7" s="15">
        <v>2180784</v>
      </c>
      <c r="H7" s="15">
        <v>15318597</v>
      </c>
      <c r="I7" s="17"/>
      <c r="J7" s="20"/>
      <c r="K7" s="16"/>
      <c r="L7" s="16"/>
      <c r="M7" s="16"/>
      <c r="N7" s="16"/>
      <c r="O7" s="16"/>
      <c r="P7" s="16"/>
      <c r="Q7" s="12"/>
      <c r="R7" s="15">
        <f>C7</f>
        <v>531265</v>
      </c>
      <c r="S7" s="15">
        <f>D7</f>
        <v>220559577</v>
      </c>
      <c r="T7" s="18">
        <f>R7/R$23</f>
        <v>1.9641083883637857E-2</v>
      </c>
      <c r="U7" s="18">
        <f>S7/S$23</f>
        <v>1.832105909606677E-2</v>
      </c>
      <c r="V7" s="12"/>
      <c r="W7" s="10">
        <f>L$23*T7</f>
        <v>82294.570185731922</v>
      </c>
      <c r="X7" s="10">
        <f>U7*(0.5*(L$23+M$23))-W7</f>
        <v>174914.77672344883</v>
      </c>
      <c r="Y7" s="53">
        <v>0</v>
      </c>
      <c r="Z7" s="21">
        <f>O$23*(SUM(W7:Y7)/SUM(W$23:Y$23))</f>
        <v>78091.162105307973</v>
      </c>
      <c r="AA7" s="21">
        <f>SUM(W7:Z7)</f>
        <v>335300.50901448872</v>
      </c>
      <c r="AB7" s="12"/>
      <c r="AC7" s="10">
        <f>W7</f>
        <v>82294.570185731922</v>
      </c>
      <c r="AD7" s="10">
        <f>U7*(0.5*(L$23+M$23))-AC7</f>
        <v>174914.77672344883</v>
      </c>
      <c r="AE7" s="21">
        <f>N$23*U7</f>
        <v>-43262.958067715197</v>
      </c>
      <c r="AF7" s="21">
        <f>O$23*(SUM(AC7:AE7)/SUM(AC$23:AE$23))</f>
        <v>78091.162105307973</v>
      </c>
      <c r="AG7" s="21">
        <f>SUM(AC7:AF7)</f>
        <v>292037.5509467735</v>
      </c>
      <c r="AI7" s="25">
        <f>AA7/H7</f>
        <v>2.1888460739223618E-2</v>
      </c>
      <c r="AJ7" s="25">
        <f>AG7/H7</f>
        <v>1.9064249222482548E-2</v>
      </c>
      <c r="AM7" s="36"/>
      <c r="AN7" s="13"/>
    </row>
    <row r="8" spans="1:40" ht="15" customHeight="1" x14ac:dyDescent="0.2">
      <c r="A8" s="7">
        <f t="shared" si="0"/>
        <v>8</v>
      </c>
      <c r="B8" s="34" t="s">
        <v>0</v>
      </c>
      <c r="C8" s="16">
        <v>3041601</v>
      </c>
      <c r="D8" s="16">
        <v>1337802640</v>
      </c>
      <c r="E8" s="16">
        <v>82660655</v>
      </c>
      <c r="F8" s="16">
        <v>-6270906</v>
      </c>
      <c r="G8" s="16">
        <v>12704137</v>
      </c>
      <c r="H8" s="16">
        <v>89093886</v>
      </c>
      <c r="I8" s="17"/>
      <c r="J8" s="20"/>
      <c r="K8" s="16"/>
      <c r="L8" s="16"/>
      <c r="M8" s="16"/>
      <c r="N8" s="16"/>
      <c r="O8" s="16"/>
      <c r="P8" s="16"/>
      <c r="Q8" s="12"/>
      <c r="R8" s="16">
        <f>C8</f>
        <v>3041601</v>
      </c>
      <c r="S8" s="16">
        <f>D8</f>
        <v>1337802640</v>
      </c>
      <c r="T8" s="18">
        <f t="shared" ref="T8:U22" si="1">R8/R$23</f>
        <v>0.11244923038701363</v>
      </c>
      <c r="U8" s="18">
        <f t="shared" si="1"/>
        <v>0.11112626148314629</v>
      </c>
      <c r="V8" s="12"/>
      <c r="W8" s="10">
        <f t="shared" ref="W8:W22" si="2">L$23*T8</f>
        <v>471153.2793831561</v>
      </c>
      <c r="X8" s="10">
        <f t="shared" ref="X8:X22" si="3">U8*(0.5*(L$23+M$23))-W8</f>
        <v>1088948.2950217398</v>
      </c>
      <c r="Y8" s="53">
        <v>0</v>
      </c>
      <c r="Z8" s="21">
        <f t="shared" ref="Z8:Z22" si="4">O$23*(SUM(W8:Y8)/SUM(W$23:Y$23))</f>
        <v>473661.42176246992</v>
      </c>
      <c r="AA8" s="21">
        <f t="shared" ref="AA8:AA22" si="5">SUM(W8:Z8)</f>
        <v>2033762.9961673657</v>
      </c>
      <c r="AB8" s="12"/>
      <c r="AC8" s="10">
        <f t="shared" ref="AC8:AC22" si="6">W8</f>
        <v>471153.2793831561</v>
      </c>
      <c r="AD8" s="10">
        <f t="shared" ref="AD8:AD22" si="7">U8*(0.5*(L$23+M$23))-AC8</f>
        <v>1088948.2950217398</v>
      </c>
      <c r="AE8" s="21">
        <f t="shared" ref="AE8:AE22" si="8">N$23*U8</f>
        <v>-262411.18297573942</v>
      </c>
      <c r="AF8" s="21">
        <f t="shared" ref="AF8:AF22" si="9">O$23*(SUM(AC8:AE8)/SUM(AC$23:AE$23))</f>
        <v>473661.42176246992</v>
      </c>
      <c r="AG8" s="21">
        <f t="shared" ref="AG8:AG22" si="10">SUM(AC8:AF8)</f>
        <v>1771351.8131916262</v>
      </c>
      <c r="AI8" s="25">
        <f t="shared" ref="AI8:AI23" si="11">AA8/H8</f>
        <v>2.2827189243573524E-2</v>
      </c>
      <c r="AJ8" s="25">
        <f t="shared" ref="AJ8:AJ23" si="12">AG8/H8</f>
        <v>1.9881856014133521E-2</v>
      </c>
      <c r="AN8" s="13"/>
    </row>
    <row r="9" spans="1:40" ht="15" customHeight="1" x14ac:dyDescent="0.2">
      <c r="A9" s="7">
        <f t="shared" si="0"/>
        <v>9</v>
      </c>
      <c r="B9" s="34" t="s">
        <v>23</v>
      </c>
      <c r="C9" s="16">
        <v>1032472</v>
      </c>
      <c r="D9" s="16">
        <v>427893092</v>
      </c>
      <c r="E9" s="16">
        <v>27708197</v>
      </c>
      <c r="F9" s="16">
        <v>-1984300</v>
      </c>
      <c r="G9" s="16">
        <v>4279023</v>
      </c>
      <c r="H9" s="16">
        <v>30002920</v>
      </c>
      <c r="I9" s="17"/>
      <c r="J9" s="20"/>
      <c r="K9" s="16"/>
      <c r="L9" s="16"/>
      <c r="M9" s="16"/>
      <c r="N9" s="16"/>
      <c r="O9" s="16"/>
      <c r="P9" s="16"/>
      <c r="Q9" s="12"/>
      <c r="R9" s="16">
        <f t="shared" ref="R9:S22" si="13">C9</f>
        <v>1032472</v>
      </c>
      <c r="S9" s="16">
        <f t="shared" si="13"/>
        <v>427893092</v>
      </c>
      <c r="T9" s="18">
        <f t="shared" si="1"/>
        <v>3.8170911239225898E-2</v>
      </c>
      <c r="U9" s="18">
        <f t="shared" si="1"/>
        <v>3.5543478691613263E-2</v>
      </c>
      <c r="V9" s="12"/>
      <c r="W9" s="10">
        <f t="shared" si="2"/>
        <v>159933.06441945737</v>
      </c>
      <c r="X9" s="10">
        <f t="shared" si="3"/>
        <v>339061.82955547073</v>
      </c>
      <c r="Y9" s="53">
        <v>0</v>
      </c>
      <c r="Z9" s="21">
        <f t="shared" si="4"/>
        <v>151499.51439702595</v>
      </c>
      <c r="AA9" s="21">
        <f t="shared" si="5"/>
        <v>650494.40837195399</v>
      </c>
      <c r="AB9" s="12"/>
      <c r="AC9" s="10">
        <f t="shared" si="6"/>
        <v>159933.06441945737</v>
      </c>
      <c r="AD9" s="10">
        <f t="shared" si="7"/>
        <v>339061.82955547073</v>
      </c>
      <c r="AE9" s="21">
        <f t="shared" si="8"/>
        <v>-83931.612258491965</v>
      </c>
      <c r="AF9" s="21">
        <f t="shared" si="9"/>
        <v>151499.51439702595</v>
      </c>
      <c r="AG9" s="21">
        <f t="shared" si="10"/>
        <v>566562.79611346207</v>
      </c>
      <c r="AI9" s="25">
        <f t="shared" si="11"/>
        <v>2.168103665816374E-2</v>
      </c>
      <c r="AJ9" s="25">
        <f t="shared" si="12"/>
        <v>1.8883588534498046E-2</v>
      </c>
      <c r="AN9" s="13"/>
    </row>
    <row r="10" spans="1:40" ht="15" customHeight="1" x14ac:dyDescent="0.2">
      <c r="A10" s="7">
        <f t="shared" si="0"/>
        <v>10</v>
      </c>
      <c r="B10" s="34" t="s">
        <v>24</v>
      </c>
      <c r="C10" s="16">
        <v>1020706</v>
      </c>
      <c r="D10" s="16">
        <v>436068508</v>
      </c>
      <c r="E10" s="16">
        <v>27832656</v>
      </c>
      <c r="F10" s="16">
        <v>-2024789</v>
      </c>
      <c r="G10" s="16">
        <v>4284008</v>
      </c>
      <c r="H10" s="16">
        <v>30091875</v>
      </c>
      <c r="I10" s="17"/>
      <c r="J10" s="20"/>
      <c r="K10" s="16"/>
      <c r="L10" s="16"/>
      <c r="M10" s="16"/>
      <c r="N10" s="16"/>
      <c r="O10" s="16"/>
      <c r="P10" s="16"/>
      <c r="Q10" s="12"/>
      <c r="R10" s="16">
        <f t="shared" si="13"/>
        <v>1020706</v>
      </c>
      <c r="S10" s="16">
        <f t="shared" si="13"/>
        <v>436068508</v>
      </c>
      <c r="T10" s="18">
        <f t="shared" si="1"/>
        <v>3.7735917416981103E-2</v>
      </c>
      <c r="U10" s="18">
        <f t="shared" si="1"/>
        <v>3.6222579919989895E-2</v>
      </c>
      <c r="V10" s="12"/>
      <c r="W10" s="10">
        <f t="shared" si="2"/>
        <v>158110.47510375746</v>
      </c>
      <c r="X10" s="10">
        <f t="shared" si="3"/>
        <v>350418.32095183554</v>
      </c>
      <c r="Y10" s="53">
        <v>0</v>
      </c>
      <c r="Z10" s="21">
        <f t="shared" si="4"/>
        <v>154394.09619128797</v>
      </c>
      <c r="AA10" s="21">
        <f t="shared" si="5"/>
        <v>662922.89224688103</v>
      </c>
      <c r="AB10" s="12"/>
      <c r="AC10" s="10">
        <f t="shared" si="6"/>
        <v>158110.47510375746</v>
      </c>
      <c r="AD10" s="10">
        <f t="shared" si="7"/>
        <v>350418.32095183554</v>
      </c>
      <c r="AE10" s="21">
        <f t="shared" si="8"/>
        <v>-85535.227410483873</v>
      </c>
      <c r="AF10" s="21">
        <f t="shared" si="9"/>
        <v>154394.09619128797</v>
      </c>
      <c r="AG10" s="21">
        <f t="shared" si="10"/>
        <v>577387.66483639716</v>
      </c>
      <c r="AI10" s="25">
        <f t="shared" si="11"/>
        <v>2.2029962979936646E-2</v>
      </c>
      <c r="AJ10" s="25">
        <f t="shared" si="12"/>
        <v>1.9187493794799997E-2</v>
      </c>
      <c r="AN10" s="13"/>
    </row>
    <row r="11" spans="1:40" ht="15" customHeight="1" x14ac:dyDescent="0.2">
      <c r="A11" s="7">
        <f t="shared" si="0"/>
        <v>11</v>
      </c>
      <c r="B11" s="34" t="s">
        <v>25</v>
      </c>
      <c r="C11" s="16">
        <v>1118923</v>
      </c>
      <c r="D11" s="16">
        <v>505322872</v>
      </c>
      <c r="E11" s="16">
        <v>31455115</v>
      </c>
      <c r="F11" s="16">
        <v>-2376441</v>
      </c>
      <c r="G11" s="16">
        <v>4865184</v>
      </c>
      <c r="H11" s="16">
        <v>33943858</v>
      </c>
      <c r="I11" s="17"/>
      <c r="J11" s="20"/>
      <c r="K11" s="16"/>
      <c r="L11" s="16"/>
      <c r="M11" s="16"/>
      <c r="N11" s="16"/>
      <c r="O11" s="16"/>
      <c r="P11" s="16"/>
      <c r="Q11" s="12"/>
      <c r="R11" s="16">
        <f t="shared" si="13"/>
        <v>1118923</v>
      </c>
      <c r="S11" s="16">
        <f t="shared" si="13"/>
        <v>505322872</v>
      </c>
      <c r="T11" s="18">
        <f t="shared" si="1"/>
        <v>4.1367039993848123E-2</v>
      </c>
      <c r="U11" s="18">
        <f t="shared" si="1"/>
        <v>4.1975280903382331E-2</v>
      </c>
      <c r="V11" s="12"/>
      <c r="W11" s="10">
        <f t="shared" si="2"/>
        <v>173324.58821102412</v>
      </c>
      <c r="X11" s="10">
        <f t="shared" si="3"/>
        <v>415966.37640390865</v>
      </c>
      <c r="Y11" s="53">
        <v>0</v>
      </c>
      <c r="Z11" s="21">
        <f t="shared" si="4"/>
        <v>178914.24552773687</v>
      </c>
      <c r="AA11" s="21">
        <f t="shared" si="5"/>
        <v>768205.21014266962</v>
      </c>
      <c r="AB11" s="12"/>
      <c r="AC11" s="10">
        <f t="shared" si="6"/>
        <v>173324.58821102412</v>
      </c>
      <c r="AD11" s="10">
        <f t="shared" si="7"/>
        <v>415966.37640390865</v>
      </c>
      <c r="AE11" s="21">
        <f t="shared" si="8"/>
        <v>-99119.53277818182</v>
      </c>
      <c r="AF11" s="21">
        <f t="shared" si="9"/>
        <v>178914.24552773687</v>
      </c>
      <c r="AG11" s="21">
        <f t="shared" si="10"/>
        <v>669085.67736448778</v>
      </c>
      <c r="AI11" s="25">
        <f t="shared" si="11"/>
        <v>2.2631641051016345E-2</v>
      </c>
      <c r="AJ11" s="25">
        <f t="shared" si="12"/>
        <v>1.9711538899452378E-2</v>
      </c>
      <c r="AN11" s="13"/>
    </row>
    <row r="12" spans="1:40" ht="15" customHeight="1" x14ac:dyDescent="0.2">
      <c r="A12" s="7">
        <f t="shared" si="0"/>
        <v>12</v>
      </c>
      <c r="B12" s="34" t="s">
        <v>26</v>
      </c>
      <c r="C12" s="16">
        <f>1958835+381852</f>
        <v>2340687</v>
      </c>
      <c r="D12" s="16">
        <f>1003315863+209428447</f>
        <v>1212744310</v>
      </c>
      <c r="E12" s="16">
        <f>54092089+10797849</f>
        <v>64889938</v>
      </c>
      <c r="F12" s="16">
        <f>-3938220-1011691</f>
        <v>-4949911</v>
      </c>
      <c r="G12" s="16">
        <f>7907535+1661752</f>
        <v>9569287</v>
      </c>
      <c r="H12" s="16">
        <f>58061404+11447910</f>
        <v>69509314</v>
      </c>
      <c r="I12" s="17"/>
      <c r="J12" s="20"/>
      <c r="K12" s="16"/>
      <c r="L12" s="16"/>
      <c r="M12" s="16"/>
      <c r="N12" s="16"/>
      <c r="O12" s="16"/>
      <c r="P12" s="16"/>
      <c r="Q12" s="12"/>
      <c r="R12" s="16">
        <f t="shared" si="13"/>
        <v>2340687</v>
      </c>
      <c r="S12" s="16">
        <f t="shared" si="13"/>
        <v>1212744310</v>
      </c>
      <c r="T12" s="18">
        <f t="shared" si="1"/>
        <v>8.6536153731829962E-2</v>
      </c>
      <c r="U12" s="18">
        <f t="shared" si="1"/>
        <v>0.10073813376931132</v>
      </c>
      <c r="V12" s="12"/>
      <c r="W12" s="10">
        <f t="shared" si="2"/>
        <v>362579.56124406896</v>
      </c>
      <c r="X12" s="10">
        <f t="shared" si="3"/>
        <v>1051683.0891731698</v>
      </c>
      <c r="Y12" s="53">
        <v>0</v>
      </c>
      <c r="Z12" s="21">
        <f t="shared" si="4"/>
        <v>429383.36114282563</v>
      </c>
      <c r="AA12" s="21">
        <f t="shared" si="5"/>
        <v>1843646.0115600643</v>
      </c>
      <c r="AB12" s="12"/>
      <c r="AC12" s="10">
        <f t="shared" si="6"/>
        <v>362579.56124406896</v>
      </c>
      <c r="AD12" s="10">
        <f t="shared" si="7"/>
        <v>1051683.0891731698</v>
      </c>
      <c r="AE12" s="21">
        <f t="shared" si="8"/>
        <v>-237880.87982409491</v>
      </c>
      <c r="AF12" s="21">
        <f t="shared" si="9"/>
        <v>429383.36114282557</v>
      </c>
      <c r="AG12" s="21">
        <f t="shared" si="10"/>
        <v>1605765.1317359693</v>
      </c>
      <c r="AI12" s="25">
        <f t="shared" si="11"/>
        <v>2.6523726180926837E-2</v>
      </c>
      <c r="AJ12" s="25">
        <f t="shared" si="12"/>
        <v>2.3101438344449339E-2</v>
      </c>
      <c r="AN12" s="13"/>
    </row>
    <row r="13" spans="1:40" ht="15" customHeight="1" x14ac:dyDescent="0.2">
      <c r="A13" s="7">
        <f t="shared" si="0"/>
        <v>13</v>
      </c>
      <c r="B13" s="34" t="s">
        <v>27</v>
      </c>
      <c r="C13" s="16">
        <v>570205</v>
      </c>
      <c r="D13" s="16">
        <v>250857783</v>
      </c>
      <c r="E13" s="16">
        <v>15898661</v>
      </c>
      <c r="F13" s="16">
        <v>-1170031</v>
      </c>
      <c r="G13" s="16">
        <v>2450030</v>
      </c>
      <c r="H13" s="16">
        <v>17178660</v>
      </c>
      <c r="I13" s="17"/>
      <c r="J13" s="20"/>
      <c r="K13" s="16"/>
      <c r="L13" s="16"/>
      <c r="M13" s="16"/>
      <c r="N13" s="16"/>
      <c r="O13" s="16"/>
      <c r="P13" s="16"/>
      <c r="Q13" s="12"/>
      <c r="R13" s="16">
        <f t="shared" si="13"/>
        <v>570205</v>
      </c>
      <c r="S13" s="16">
        <f t="shared" si="13"/>
        <v>250857783</v>
      </c>
      <c r="T13" s="18">
        <f t="shared" si="1"/>
        <v>2.1080711576839665E-2</v>
      </c>
      <c r="U13" s="18">
        <f t="shared" si="1"/>
        <v>2.0837817743236304E-2</v>
      </c>
      <c r="V13" s="12"/>
      <c r="W13" s="10">
        <f t="shared" si="2"/>
        <v>88326.495050032041</v>
      </c>
      <c r="X13" s="10">
        <f t="shared" si="3"/>
        <v>204215.62626766972</v>
      </c>
      <c r="Y13" s="53">
        <v>0</v>
      </c>
      <c r="Z13" s="21">
        <f t="shared" si="4"/>
        <v>88818.522705233379</v>
      </c>
      <c r="AA13" s="21">
        <f t="shared" si="5"/>
        <v>381360.64402293513</v>
      </c>
      <c r="AB13" s="12"/>
      <c r="AC13" s="10">
        <f t="shared" si="6"/>
        <v>88326.495050032041</v>
      </c>
      <c r="AD13" s="10">
        <f t="shared" si="7"/>
        <v>204215.62626766972</v>
      </c>
      <c r="AE13" s="21">
        <f t="shared" si="8"/>
        <v>-49205.978241828954</v>
      </c>
      <c r="AF13" s="21">
        <f t="shared" si="9"/>
        <v>88818.522705233379</v>
      </c>
      <c r="AG13" s="21">
        <f t="shared" si="10"/>
        <v>332154.66578110616</v>
      </c>
      <c r="AI13" s="25">
        <f t="shared" si="11"/>
        <v>2.2199673549795802E-2</v>
      </c>
      <c r="AJ13" s="25">
        <f t="shared" si="12"/>
        <v>1.9335307048460482E-2</v>
      </c>
      <c r="AN13" s="13"/>
    </row>
    <row r="14" spans="1:40" ht="15" customHeight="1" x14ac:dyDescent="0.2">
      <c r="A14" s="7">
        <f t="shared" si="0"/>
        <v>14</v>
      </c>
      <c r="B14" s="34" t="s">
        <v>28</v>
      </c>
      <c r="C14" s="16">
        <v>1148240</v>
      </c>
      <c r="D14" s="16">
        <v>465755004</v>
      </c>
      <c r="E14" s="16">
        <v>29714401</v>
      </c>
      <c r="F14" s="16">
        <v>-2151496</v>
      </c>
      <c r="G14" s="16">
        <v>4583414</v>
      </c>
      <c r="H14" s="16">
        <v>32146319</v>
      </c>
      <c r="I14" s="17"/>
      <c r="J14" s="20"/>
      <c r="K14" s="16"/>
      <c r="L14" s="16"/>
      <c r="M14" s="16"/>
      <c r="N14" s="16"/>
      <c r="O14" s="16"/>
      <c r="P14" s="16"/>
      <c r="Q14" s="12"/>
      <c r="R14" s="16">
        <f t="shared" si="13"/>
        <v>1148240</v>
      </c>
      <c r="S14" s="16">
        <f t="shared" si="13"/>
        <v>465755004</v>
      </c>
      <c r="T14" s="18">
        <f t="shared" si="1"/>
        <v>4.2450901449461821E-2</v>
      </c>
      <c r="U14" s="18">
        <f t="shared" si="1"/>
        <v>3.8688526105455923E-2</v>
      </c>
      <c r="V14" s="12"/>
      <c r="W14" s="10">
        <f t="shared" si="2"/>
        <v>177865.88100112905</v>
      </c>
      <c r="X14" s="10">
        <f t="shared" si="3"/>
        <v>365282.33331795665</v>
      </c>
      <c r="Y14" s="53">
        <v>0</v>
      </c>
      <c r="Z14" s="21">
        <f t="shared" si="4"/>
        <v>164904.87519715531</v>
      </c>
      <c r="AA14" s="21">
        <f t="shared" si="5"/>
        <v>708053.08951624099</v>
      </c>
      <c r="AB14" s="12"/>
      <c r="AC14" s="10">
        <f t="shared" si="6"/>
        <v>177865.88100112905</v>
      </c>
      <c r="AD14" s="10">
        <f t="shared" si="7"/>
        <v>365282.33331795665</v>
      </c>
      <c r="AE14" s="21">
        <f t="shared" si="8"/>
        <v>-91358.260121620231</v>
      </c>
      <c r="AF14" s="21">
        <f t="shared" si="9"/>
        <v>164904.87519715531</v>
      </c>
      <c r="AG14" s="21">
        <f t="shared" si="10"/>
        <v>616694.82939462073</v>
      </c>
      <c r="AI14" s="25">
        <f t="shared" si="11"/>
        <v>2.2025946097164063E-2</v>
      </c>
      <c r="AJ14" s="25">
        <f t="shared" si="12"/>
        <v>1.9183995200029613E-2</v>
      </c>
      <c r="AN14" s="13"/>
    </row>
    <row r="15" spans="1:40" ht="15" customHeight="1" x14ac:dyDescent="0.2">
      <c r="A15" s="7">
        <f t="shared" si="0"/>
        <v>15</v>
      </c>
      <c r="B15" s="34" t="s">
        <v>29</v>
      </c>
      <c r="C15" s="16">
        <v>2112617</v>
      </c>
      <c r="D15" s="16">
        <v>871147701</v>
      </c>
      <c r="E15" s="16">
        <v>55723074</v>
      </c>
      <c r="F15" s="16">
        <v>-4031713</v>
      </c>
      <c r="G15" s="16">
        <v>8587016</v>
      </c>
      <c r="H15" s="16">
        <v>60278377</v>
      </c>
      <c r="I15" s="17"/>
      <c r="J15" s="20"/>
      <c r="K15" s="16"/>
      <c r="L15" s="16"/>
      <c r="M15" s="16"/>
      <c r="N15" s="16"/>
      <c r="O15" s="16"/>
      <c r="P15" s="16"/>
      <c r="Q15" s="12"/>
      <c r="R15" s="16">
        <f t="shared" si="13"/>
        <v>2112617</v>
      </c>
      <c r="S15" s="16">
        <f t="shared" si="13"/>
        <v>871147701</v>
      </c>
      <c r="T15" s="18">
        <f t="shared" si="1"/>
        <v>7.8104312745991847E-2</v>
      </c>
      <c r="U15" s="18">
        <f t="shared" si="1"/>
        <v>7.2362981143293106E-2</v>
      </c>
      <c r="V15" s="12"/>
      <c r="W15" s="10">
        <f t="shared" si="2"/>
        <v>327250.82206068613</v>
      </c>
      <c r="X15" s="10">
        <f t="shared" si="3"/>
        <v>688653.06333552254</v>
      </c>
      <c r="Y15" s="53">
        <v>0</v>
      </c>
      <c r="Z15" s="21">
        <f t="shared" si="4"/>
        <v>308437.9162391001</v>
      </c>
      <c r="AA15" s="21">
        <f t="shared" si="5"/>
        <v>1324341.8016353087</v>
      </c>
      <c r="AB15" s="12"/>
      <c r="AC15" s="10">
        <f t="shared" si="6"/>
        <v>327250.82206068613</v>
      </c>
      <c r="AD15" s="10">
        <f t="shared" si="7"/>
        <v>688653.06333552254</v>
      </c>
      <c r="AE15" s="21">
        <f t="shared" si="8"/>
        <v>-170876.39979990304</v>
      </c>
      <c r="AF15" s="21">
        <f t="shared" si="9"/>
        <v>308437.9162391001</v>
      </c>
      <c r="AG15" s="21">
        <f t="shared" si="10"/>
        <v>1153465.4018354057</v>
      </c>
      <c r="AI15" s="25">
        <f t="shared" si="11"/>
        <v>2.1970428992063085E-2</v>
      </c>
      <c r="AJ15" s="25">
        <f t="shared" si="12"/>
        <v>1.9135641323511511E-2</v>
      </c>
      <c r="AN15" s="13"/>
    </row>
    <row r="16" spans="1:40" ht="15" customHeight="1" x14ac:dyDescent="0.2">
      <c r="A16" s="7">
        <f t="shared" si="0"/>
        <v>16</v>
      </c>
      <c r="B16" s="34" t="s">
        <v>30</v>
      </c>
      <c r="C16" s="16">
        <v>569067</v>
      </c>
      <c r="D16" s="16">
        <v>247024092</v>
      </c>
      <c r="E16" s="16">
        <v>15726729</v>
      </c>
      <c r="F16" s="16">
        <v>-1145696</v>
      </c>
      <c r="G16" s="16">
        <v>2422607</v>
      </c>
      <c r="H16" s="16">
        <v>17003640</v>
      </c>
      <c r="I16" s="17"/>
      <c r="J16" s="20"/>
      <c r="K16" s="16"/>
      <c r="L16" s="16"/>
      <c r="M16" s="16"/>
      <c r="N16" s="16"/>
      <c r="O16" s="16"/>
      <c r="P16" s="16"/>
      <c r="Q16" s="12"/>
      <c r="R16" s="16">
        <f t="shared" si="13"/>
        <v>569067</v>
      </c>
      <c r="S16" s="16">
        <f t="shared" si="13"/>
        <v>247024092</v>
      </c>
      <c r="T16" s="18">
        <f t="shared" si="1"/>
        <v>2.103863925236962E-2</v>
      </c>
      <c r="U16" s="18">
        <f t="shared" si="1"/>
        <v>2.0519367371130907E-2</v>
      </c>
      <c r="V16" s="12"/>
      <c r="W16" s="10">
        <f t="shared" si="2"/>
        <v>88150.215376288514</v>
      </c>
      <c r="X16" s="10">
        <f t="shared" si="3"/>
        <v>199921.18119767838</v>
      </c>
      <c r="Y16" s="53">
        <v>0</v>
      </c>
      <c r="Z16" s="21">
        <f t="shared" si="4"/>
        <v>87461.168880862111</v>
      </c>
      <c r="AA16" s="21">
        <f t="shared" si="5"/>
        <v>375532.56545482902</v>
      </c>
      <c r="AB16" s="12"/>
      <c r="AC16" s="10">
        <f t="shared" si="6"/>
        <v>88150.215376288514</v>
      </c>
      <c r="AD16" s="10">
        <f t="shared" si="7"/>
        <v>199921.18119767838</v>
      </c>
      <c r="AE16" s="21">
        <f t="shared" si="8"/>
        <v>-48453.996327311703</v>
      </c>
      <c r="AF16" s="21">
        <f t="shared" si="9"/>
        <v>87461.168880862111</v>
      </c>
      <c r="AG16" s="21">
        <f t="shared" si="10"/>
        <v>327078.56912751729</v>
      </c>
      <c r="AI16" s="25">
        <f t="shared" si="11"/>
        <v>2.2085422030508117E-2</v>
      </c>
      <c r="AJ16" s="25">
        <f t="shared" si="12"/>
        <v>1.9235797107414489E-2</v>
      </c>
      <c r="AN16" s="13"/>
    </row>
    <row r="17" spans="1:40" ht="15" customHeight="1" x14ac:dyDescent="0.2">
      <c r="A17" s="7">
        <f t="shared" si="0"/>
        <v>17</v>
      </c>
      <c r="B17" s="34" t="s">
        <v>31</v>
      </c>
      <c r="C17" s="16">
        <v>1761640</v>
      </c>
      <c r="D17" s="16">
        <v>760403789</v>
      </c>
      <c r="E17" s="16">
        <v>46861376</v>
      </c>
      <c r="F17" s="16">
        <v>-3567998</v>
      </c>
      <c r="G17" s="16">
        <v>7214992</v>
      </c>
      <c r="H17" s="16">
        <v>50508370</v>
      </c>
      <c r="I17" s="17"/>
      <c r="J17" s="20"/>
      <c r="K17" s="16"/>
      <c r="L17" s="16"/>
      <c r="M17" s="16"/>
      <c r="N17" s="16"/>
      <c r="O17" s="16"/>
      <c r="P17" s="16"/>
      <c r="Q17" s="12"/>
      <c r="R17" s="16">
        <f t="shared" si="13"/>
        <v>1761640</v>
      </c>
      <c r="S17" s="16">
        <f t="shared" si="13"/>
        <v>760403789</v>
      </c>
      <c r="T17" s="18">
        <f t="shared" si="1"/>
        <v>6.5128549806164143E-2</v>
      </c>
      <c r="U17" s="18">
        <f t="shared" si="1"/>
        <v>6.3163898592089193E-2</v>
      </c>
      <c r="V17" s="12"/>
      <c r="W17" s="10">
        <f t="shared" si="2"/>
        <v>272883.41340384324</v>
      </c>
      <c r="X17" s="10">
        <f t="shared" si="3"/>
        <v>613874.55292992643</v>
      </c>
      <c r="Y17" s="53">
        <v>0</v>
      </c>
      <c r="Z17" s="21">
        <f t="shared" si="4"/>
        <v>269228.00796035893</v>
      </c>
      <c r="AA17" s="21">
        <f t="shared" si="5"/>
        <v>1155985.9742941286</v>
      </c>
      <c r="AB17" s="12"/>
      <c r="AC17" s="10">
        <f t="shared" si="6"/>
        <v>272883.41340384324</v>
      </c>
      <c r="AD17" s="10">
        <f t="shared" si="7"/>
        <v>613874.55292992643</v>
      </c>
      <c r="AE17" s="21">
        <f t="shared" si="8"/>
        <v>-149153.88252689096</v>
      </c>
      <c r="AF17" s="21">
        <f t="shared" si="9"/>
        <v>269228.00796035893</v>
      </c>
      <c r="AG17" s="21">
        <f t="shared" si="10"/>
        <v>1006832.0917672378</v>
      </c>
      <c r="AI17" s="25">
        <f t="shared" si="11"/>
        <v>2.2887018018877436E-2</v>
      </c>
      <c r="AJ17" s="25">
        <f t="shared" si="12"/>
        <v>1.9933965237192128E-2</v>
      </c>
      <c r="AN17" s="13"/>
    </row>
    <row r="18" spans="1:40" ht="15" customHeight="1" x14ac:dyDescent="0.2">
      <c r="A18" s="7">
        <f t="shared" si="0"/>
        <v>18</v>
      </c>
      <c r="B18" s="34" t="s">
        <v>32</v>
      </c>
      <c r="C18" s="16">
        <v>4486688</v>
      </c>
      <c r="D18" s="16">
        <v>2284294624</v>
      </c>
      <c r="E18" s="16">
        <v>119652391</v>
      </c>
      <c r="F18" s="16">
        <v>-10857755</v>
      </c>
      <c r="G18" s="16">
        <v>18250930</v>
      </c>
      <c r="H18" s="16">
        <v>127045566</v>
      </c>
      <c r="I18" s="17"/>
      <c r="J18" s="20"/>
      <c r="K18" s="16"/>
      <c r="L18" s="16"/>
      <c r="M18" s="16"/>
      <c r="N18" s="16"/>
      <c r="O18" s="16"/>
      <c r="P18" s="16"/>
      <c r="Q18" s="12"/>
      <c r="R18" s="16">
        <f t="shared" si="13"/>
        <v>4486688</v>
      </c>
      <c r="S18" s="16">
        <f t="shared" si="13"/>
        <v>2284294624</v>
      </c>
      <c r="T18" s="18">
        <f t="shared" si="1"/>
        <v>0.16587468658336493</v>
      </c>
      <c r="U18" s="18">
        <f t="shared" si="1"/>
        <v>0.18974781040286282</v>
      </c>
      <c r="V18" s="12"/>
      <c r="W18" s="10">
        <f t="shared" si="2"/>
        <v>695001.66680937237</v>
      </c>
      <c r="X18" s="10">
        <f t="shared" si="3"/>
        <v>1968867.8254103765</v>
      </c>
      <c r="Y18" s="53">
        <v>0</v>
      </c>
      <c r="Z18" s="21">
        <f t="shared" si="4"/>
        <v>808775.67959367053</v>
      </c>
      <c r="AA18" s="21">
        <f t="shared" si="5"/>
        <v>3472645.1718134196</v>
      </c>
      <c r="AB18" s="12"/>
      <c r="AC18" s="10">
        <f t="shared" si="6"/>
        <v>695001.66680937237</v>
      </c>
      <c r="AD18" s="10">
        <f t="shared" si="7"/>
        <v>1968867.8254103765</v>
      </c>
      <c r="AE18" s="21">
        <f t="shared" si="8"/>
        <v>-448066.43119568215</v>
      </c>
      <c r="AF18" s="21">
        <f t="shared" si="9"/>
        <v>808775.67959367065</v>
      </c>
      <c r="AG18" s="21">
        <f t="shared" si="10"/>
        <v>3024578.7406177376</v>
      </c>
      <c r="AI18" s="25">
        <f t="shared" si="11"/>
        <v>2.7333855727113054E-2</v>
      </c>
      <c r="AJ18" s="25">
        <f t="shared" si="12"/>
        <v>2.3807038969134411E-2</v>
      </c>
      <c r="AN18" s="13"/>
    </row>
    <row r="19" spans="1:40" ht="15" customHeight="1" x14ac:dyDescent="0.2">
      <c r="A19" s="7">
        <f t="shared" si="0"/>
        <v>19</v>
      </c>
      <c r="B19" s="34" t="s">
        <v>33</v>
      </c>
      <c r="C19" s="16">
        <v>2604971</v>
      </c>
      <c r="D19" s="16">
        <v>1184476084</v>
      </c>
      <c r="E19" s="16">
        <v>73598088</v>
      </c>
      <c r="F19" s="16">
        <v>-5590559</v>
      </c>
      <c r="G19" s="16">
        <v>11365957</v>
      </c>
      <c r="H19" s="16">
        <v>79373486</v>
      </c>
      <c r="I19" s="17"/>
      <c r="J19" s="20"/>
      <c r="K19" s="16"/>
      <c r="L19" s="16"/>
      <c r="M19" s="16"/>
      <c r="N19" s="16"/>
      <c r="O19" s="16"/>
      <c r="P19" s="16"/>
      <c r="Q19" s="12"/>
      <c r="R19" s="16">
        <f t="shared" si="13"/>
        <v>2604971</v>
      </c>
      <c r="S19" s="16">
        <f t="shared" si="13"/>
        <v>1184476084</v>
      </c>
      <c r="T19" s="18">
        <f t="shared" si="1"/>
        <v>9.6306841078264135E-2</v>
      </c>
      <c r="U19" s="18">
        <f t="shared" si="1"/>
        <v>9.8389997967949255E-2</v>
      </c>
      <c r="V19" s="12"/>
      <c r="W19" s="10">
        <f t="shared" si="2"/>
        <v>403517.95957064041</v>
      </c>
      <c r="X19" s="10">
        <f t="shared" si="3"/>
        <v>977779.21255434933</v>
      </c>
      <c r="Y19" s="53">
        <v>0</v>
      </c>
      <c r="Z19" s="21">
        <f t="shared" si="4"/>
        <v>419374.73377319897</v>
      </c>
      <c r="AA19" s="21">
        <f t="shared" si="5"/>
        <v>1800671.9058981887</v>
      </c>
      <c r="AB19" s="12"/>
      <c r="AC19" s="10">
        <f t="shared" si="6"/>
        <v>403517.95957064041</v>
      </c>
      <c r="AD19" s="10">
        <f t="shared" si="7"/>
        <v>977779.21255434933</v>
      </c>
      <c r="AE19" s="21">
        <f t="shared" si="8"/>
        <v>-232336.04204048464</v>
      </c>
      <c r="AF19" s="21">
        <f t="shared" si="9"/>
        <v>419374.73377319897</v>
      </c>
      <c r="AG19" s="21">
        <f t="shared" si="10"/>
        <v>1568335.863857704</v>
      </c>
      <c r="AI19" s="25">
        <f t="shared" si="11"/>
        <v>2.2686063024851759E-2</v>
      </c>
      <c r="AJ19" s="25">
        <f t="shared" si="12"/>
        <v>1.9758938946661659E-2</v>
      </c>
      <c r="AN19" s="13"/>
    </row>
    <row r="20" spans="1:40" ht="15" customHeight="1" x14ac:dyDescent="0.2">
      <c r="A20" s="7">
        <f t="shared" si="0"/>
        <v>20</v>
      </c>
      <c r="B20" s="34" t="s">
        <v>34</v>
      </c>
      <c r="C20" s="16">
        <v>1021546</v>
      </c>
      <c r="D20" s="16">
        <v>500695586</v>
      </c>
      <c r="E20" s="16">
        <v>30200720</v>
      </c>
      <c r="F20" s="16">
        <v>-2355752</v>
      </c>
      <c r="G20" s="16">
        <v>4634477</v>
      </c>
      <c r="H20" s="16">
        <v>32479445</v>
      </c>
      <c r="I20" s="17"/>
      <c r="J20" s="16"/>
      <c r="K20" s="16"/>
      <c r="L20" s="16"/>
      <c r="M20" s="16"/>
      <c r="N20" s="16"/>
      <c r="O20" s="16"/>
      <c r="P20" s="16"/>
      <c r="Q20" s="12"/>
      <c r="R20" s="16">
        <f t="shared" si="13"/>
        <v>1021546</v>
      </c>
      <c r="S20" s="16">
        <f t="shared" si="13"/>
        <v>500695586</v>
      </c>
      <c r="T20" s="18">
        <f t="shared" si="1"/>
        <v>3.7766972559823669E-2</v>
      </c>
      <c r="U20" s="18">
        <f t="shared" si="1"/>
        <v>4.1590909562933112E-2</v>
      </c>
      <c r="V20" s="12"/>
      <c r="W20" s="10">
        <f t="shared" si="2"/>
        <v>158240.59366785636</v>
      </c>
      <c r="X20" s="10">
        <f t="shared" si="3"/>
        <v>425654.18173502519</v>
      </c>
      <c r="Y20" s="53">
        <v>0</v>
      </c>
      <c r="Z20" s="21">
        <f t="shared" si="4"/>
        <v>177275.91203957636</v>
      </c>
      <c r="AA20" s="21">
        <f t="shared" si="5"/>
        <v>761170.68744245789</v>
      </c>
      <c r="AB20" s="12"/>
      <c r="AC20" s="10">
        <f t="shared" si="6"/>
        <v>158240.59366785636</v>
      </c>
      <c r="AD20" s="10">
        <f t="shared" si="7"/>
        <v>425654.18173502519</v>
      </c>
      <c r="AE20" s="21">
        <f t="shared" si="8"/>
        <v>-98211.8864954483</v>
      </c>
      <c r="AF20" s="21">
        <f t="shared" si="9"/>
        <v>177275.91203957639</v>
      </c>
      <c r="AG20" s="21">
        <f t="shared" si="10"/>
        <v>662958.80094700959</v>
      </c>
      <c r="AI20" s="25">
        <f t="shared" si="11"/>
        <v>2.3435458562868234E-2</v>
      </c>
      <c r="AJ20" s="25">
        <f t="shared" si="12"/>
        <v>2.0411641915279329E-2</v>
      </c>
      <c r="AN20" s="13"/>
    </row>
    <row r="21" spans="1:40" ht="15" customHeight="1" x14ac:dyDescent="0.2">
      <c r="A21" s="7">
        <f t="shared" si="0"/>
        <v>21</v>
      </c>
      <c r="B21" s="34" t="s">
        <v>35</v>
      </c>
      <c r="C21" s="16">
        <v>3122465</v>
      </c>
      <c r="D21" s="16">
        <v>1274648341</v>
      </c>
      <c r="E21" s="16">
        <v>81152946</v>
      </c>
      <c r="F21" s="16">
        <v>-5924121</v>
      </c>
      <c r="G21" s="16">
        <v>12517918</v>
      </c>
      <c r="H21" s="16">
        <v>87746743</v>
      </c>
      <c r="I21" s="17"/>
      <c r="J21" s="19">
        <f>58000*12</f>
        <v>696000</v>
      </c>
      <c r="K21" s="19">
        <v>508080000</v>
      </c>
      <c r="L21" s="16">
        <f>J21*'Input Data'!D14</f>
        <v>4189919.9999999995</v>
      </c>
      <c r="M21" s="16">
        <f>K21*('Input Data'!D15*'Input Data'!E15+'Input Data'!D16*'Input Data'!E16)</f>
        <v>23888079.809999999</v>
      </c>
      <c r="N21" s="16">
        <f>(K21/D21)*F21</f>
        <v>-2361378.6648940532</v>
      </c>
      <c r="O21" s="16">
        <f>(L21+M21+N21)*(G23/(E23+F23))</f>
        <v>4262371.6072218148</v>
      </c>
      <c r="P21" s="16">
        <f>SUM(L21:O21)</f>
        <v>29978992.752327763</v>
      </c>
      <c r="Q21" s="12"/>
      <c r="R21" s="22">
        <f>C21-J21</f>
        <v>2426465</v>
      </c>
      <c r="S21" s="22">
        <f>D21-K21</f>
        <v>766568341</v>
      </c>
      <c r="T21" s="18">
        <f t="shared" si="1"/>
        <v>8.9707401401769998E-2</v>
      </c>
      <c r="U21" s="18">
        <f t="shared" si="1"/>
        <v>6.367596486927822E-2</v>
      </c>
      <c r="V21" s="12"/>
      <c r="W21" s="10">
        <f t="shared" si="2"/>
        <v>375866.83528130408</v>
      </c>
      <c r="X21" s="10">
        <f t="shared" si="3"/>
        <v>518080.0294692762</v>
      </c>
      <c r="Y21" s="53">
        <v>0</v>
      </c>
      <c r="Z21" s="21">
        <f t="shared" si="4"/>
        <v>271410.62472126522</v>
      </c>
      <c r="AA21" s="21">
        <f t="shared" si="5"/>
        <v>1165357.4894718456</v>
      </c>
      <c r="AB21" s="12"/>
      <c r="AC21" s="10">
        <f t="shared" si="6"/>
        <v>375866.83528130408</v>
      </c>
      <c r="AD21" s="10">
        <f t="shared" si="7"/>
        <v>518080.0294692762</v>
      </c>
      <c r="AE21" s="21">
        <f t="shared" si="8"/>
        <v>-150363.06490885685</v>
      </c>
      <c r="AF21" s="21">
        <f t="shared" si="9"/>
        <v>271410.62472126522</v>
      </c>
      <c r="AG21" s="21">
        <f t="shared" si="10"/>
        <v>1014994.4245629886</v>
      </c>
      <c r="AI21" s="25">
        <f t="shared" si="11"/>
        <v>1.3280920175827444E-2</v>
      </c>
      <c r="AJ21" s="25">
        <f t="shared" si="12"/>
        <v>1.1567317371118704E-2</v>
      </c>
      <c r="AN21" s="13"/>
    </row>
    <row r="22" spans="1:40" ht="15" customHeight="1" x14ac:dyDescent="0.2">
      <c r="A22" s="7">
        <f t="shared" si="0"/>
        <v>22</v>
      </c>
      <c r="B22" s="34" t="s">
        <v>36</v>
      </c>
      <c r="C22" s="16">
        <v>1261567</v>
      </c>
      <c r="D22" s="16">
        <v>566968256</v>
      </c>
      <c r="E22" s="16">
        <v>32802228</v>
      </c>
      <c r="F22" s="16">
        <v>-2174385</v>
      </c>
      <c r="G22" s="16">
        <v>4857759</v>
      </c>
      <c r="H22" s="16">
        <v>35485602</v>
      </c>
      <c r="I22" s="17"/>
      <c r="J22" s="16"/>
      <c r="K22" s="16"/>
      <c r="L22" s="16"/>
      <c r="M22" s="16"/>
      <c r="N22" s="16"/>
      <c r="O22" s="16"/>
      <c r="P22" s="16"/>
      <c r="Q22" s="12"/>
      <c r="R22" s="16">
        <f t="shared" si="13"/>
        <v>1261567</v>
      </c>
      <c r="S22" s="16">
        <f t="shared" si="13"/>
        <v>566968256</v>
      </c>
      <c r="T22" s="18">
        <f t="shared" si="1"/>
        <v>4.6640646893413573E-2</v>
      </c>
      <c r="U22" s="18">
        <f t="shared" si="1"/>
        <v>4.7095932378261283E-2</v>
      </c>
      <c r="V22" s="12"/>
      <c r="W22" s="10">
        <f t="shared" si="2"/>
        <v>195420.57923165138</v>
      </c>
      <c r="X22" s="10">
        <f t="shared" si="3"/>
        <v>465759.21095264517</v>
      </c>
      <c r="Y22" s="53">
        <v>0</v>
      </c>
      <c r="Z22" s="21">
        <f t="shared" si="4"/>
        <v>200740.36498473946</v>
      </c>
      <c r="AA22" s="21">
        <f t="shared" si="5"/>
        <v>861920.15516903601</v>
      </c>
      <c r="AB22" s="12"/>
      <c r="AC22" s="10">
        <f t="shared" si="6"/>
        <v>195420.57923165138</v>
      </c>
      <c r="AD22" s="10">
        <f t="shared" si="7"/>
        <v>465759.21095264517</v>
      </c>
      <c r="AE22" s="21">
        <f t="shared" si="8"/>
        <v>-111211.32992131924</v>
      </c>
      <c r="AF22" s="21">
        <f t="shared" si="9"/>
        <v>200740.36498473946</v>
      </c>
      <c r="AG22" s="21">
        <f t="shared" si="10"/>
        <v>750708.82524771674</v>
      </c>
      <c r="AI22" s="25">
        <f t="shared" si="11"/>
        <v>2.4289292180221037E-2</v>
      </c>
      <c r="AJ22" s="25">
        <f t="shared" si="12"/>
        <v>2.1155307587784947E-2</v>
      </c>
      <c r="AN22" s="13"/>
    </row>
    <row r="23" spans="1:40" ht="15" customHeight="1" x14ac:dyDescent="0.2">
      <c r="A23" s="7">
        <f t="shared" si="0"/>
        <v>23</v>
      </c>
      <c r="B23" s="35" t="s">
        <v>21</v>
      </c>
      <c r="C23" s="15">
        <f>SUM(C7:C22)</f>
        <v>27744660</v>
      </c>
      <c r="D23" s="15">
        <f t="shared" ref="D23:H23" si="14">SUM(D7:D22)</f>
        <v>12546662259</v>
      </c>
      <c r="E23" s="15">
        <f t="shared" si="14"/>
        <v>750037454</v>
      </c>
      <c r="F23" s="15">
        <f t="shared" si="14"/>
        <v>-57598319</v>
      </c>
      <c r="G23" s="15">
        <f t="shared" si="14"/>
        <v>114767523</v>
      </c>
      <c r="H23" s="15">
        <f t="shared" si="14"/>
        <v>807206658</v>
      </c>
      <c r="I23" s="17"/>
      <c r="J23" s="15">
        <f>SUM(J7:J22)</f>
        <v>696000</v>
      </c>
      <c r="K23" s="15">
        <f t="shared" ref="K23:P23" si="15">SUM(K7:K22)</f>
        <v>508080000</v>
      </c>
      <c r="L23" s="15">
        <f t="shared" si="15"/>
        <v>4189919.9999999995</v>
      </c>
      <c r="M23" s="15">
        <f t="shared" si="15"/>
        <v>23888079.809999999</v>
      </c>
      <c r="N23" s="15">
        <f t="shared" si="15"/>
        <v>-2361378.6648940532</v>
      </c>
      <c r="O23" s="15">
        <f t="shared" si="15"/>
        <v>4262371.6072218148</v>
      </c>
      <c r="P23" s="15">
        <f t="shared" si="15"/>
        <v>29978992.752327763</v>
      </c>
      <c r="Q23" s="12"/>
      <c r="R23" s="23">
        <f>SUM(R7:R22)</f>
        <v>27048660</v>
      </c>
      <c r="S23" s="23">
        <f>SUM(S7:S22)</f>
        <v>12038582259</v>
      </c>
      <c r="T23" s="24">
        <f>SUM(T7:T22)</f>
        <v>1</v>
      </c>
      <c r="U23" s="24">
        <f>SUM(U7:U22)</f>
        <v>0.99999999999999989</v>
      </c>
      <c r="V23" s="12"/>
      <c r="W23" s="23">
        <f>SUM(W7:W22)</f>
        <v>4189919.9999999995</v>
      </c>
      <c r="X23" s="23">
        <f>SUM(X7:X22)</f>
        <v>9849079.9049999993</v>
      </c>
      <c r="Y23" s="54">
        <f>SUM(Y7:Y22)</f>
        <v>0</v>
      </c>
      <c r="Z23" s="23">
        <f>SUM(Z7:Z22)</f>
        <v>4262371.6072218148</v>
      </c>
      <c r="AA23" s="23">
        <f>SUM(AA7:AA22)</f>
        <v>18301371.512221813</v>
      </c>
      <c r="AB23" s="12"/>
      <c r="AC23" s="23">
        <f>SUM(AC7:AC22)</f>
        <v>4189919.9999999995</v>
      </c>
      <c r="AD23" s="23">
        <f>SUM(AD7:AD22)</f>
        <v>9849079.9049999993</v>
      </c>
      <c r="AE23" s="23">
        <f>SUM(AE7:AE22)</f>
        <v>-2361378.6648940532</v>
      </c>
      <c r="AF23" s="23">
        <f>SUM(AF7:AF22)</f>
        <v>4262371.6072218148</v>
      </c>
      <c r="AG23" s="23">
        <f>SUM(AG7:AG22)</f>
        <v>15939992.847327759</v>
      </c>
      <c r="AI23" s="26">
        <f t="shared" si="11"/>
        <v>2.2672473437677979E-2</v>
      </c>
      <c r="AJ23" s="26">
        <f t="shared" si="12"/>
        <v>1.9747102788797561E-2</v>
      </c>
      <c r="AN23" s="13"/>
    </row>
    <row r="24" spans="1:40" ht="15" customHeight="1" x14ac:dyDescent="0.2">
      <c r="E24" s="28"/>
      <c r="AA24" s="14"/>
      <c r="AG24" s="14"/>
    </row>
    <row r="25" spans="1:40" ht="15" customHeight="1" x14ac:dyDescent="0.2">
      <c r="L25" s="10" t="s">
        <v>49</v>
      </c>
      <c r="M25" s="16">
        <f>M23+L23</f>
        <v>28077999.809999999</v>
      </c>
      <c r="O25" s="10" t="s">
        <v>51</v>
      </c>
      <c r="P25" s="11">
        <f>P23</f>
        <v>29978992.752327763</v>
      </c>
      <c r="R25" s="13"/>
      <c r="S25" s="13"/>
      <c r="W25" s="12" t="s">
        <v>49</v>
      </c>
      <c r="X25" s="16">
        <f>X23+W23</f>
        <v>14038999.904999999</v>
      </c>
      <c r="AC25" s="12" t="s">
        <v>49</v>
      </c>
      <c r="AD25" s="16">
        <f>AD23+AC23</f>
        <v>14038999.904999999</v>
      </c>
    </row>
    <row r="26" spans="1:40" ht="15" customHeight="1" x14ac:dyDescent="0.2">
      <c r="R26" s="13"/>
      <c r="S26" s="13"/>
      <c r="W26" s="12" t="s">
        <v>50</v>
      </c>
      <c r="X26" s="14">
        <f>X25/M25</f>
        <v>0.5</v>
      </c>
      <c r="AC26" s="12" t="s">
        <v>50</v>
      </c>
      <c r="AD26" s="14">
        <f>AD25/M25</f>
        <v>0.5</v>
      </c>
    </row>
    <row r="29" spans="1:40" ht="27" customHeight="1" x14ac:dyDescent="0.2"/>
  </sheetData>
  <mergeCells count="6">
    <mergeCell ref="AI4:AJ4"/>
    <mergeCell ref="C4:H4"/>
    <mergeCell ref="J4:P4"/>
    <mergeCell ref="R4:U4"/>
    <mergeCell ref="W4:AA4"/>
    <mergeCell ref="AC4:AG4"/>
  </mergeCells>
  <printOptions horizontalCentered="1"/>
  <pageMargins left="0.75" right="0.75" top="1.25" bottom="0.75" header="0.8" footer="0.3"/>
  <pageSetup orientation="landscape" r:id="rId1"/>
  <headerFooter>
    <oddFooter>&amp;R&amp;"Arial,Bold"Exhibit JW-2
Page &amp;P of &amp;N</oddFooter>
  </headerFooter>
  <colBreaks count="3" manualBreakCount="3">
    <brk id="9" max="23" man="1"/>
    <brk id="17" max="23" man="1"/>
    <brk id="28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29"/>
  <sheetViews>
    <sheetView view="pageBreakPreview" zoomScaleNormal="100" zoomScaleSheetLayoutView="100" workbookViewId="0">
      <selection activeCell="AL7" sqref="AL7:AL25"/>
    </sheetView>
  </sheetViews>
  <sheetFormatPr defaultRowHeight="15" customHeight="1" x14ac:dyDescent="0.2"/>
  <cols>
    <col min="1" max="1" width="6.1640625" style="7" customWidth="1"/>
    <col min="2" max="2" width="30.33203125" style="9" bestFit="1" customWidth="1"/>
    <col min="3" max="3" width="11.1640625" style="11" hidden="1" customWidth="1"/>
    <col min="4" max="4" width="14.83203125" style="11" hidden="1" customWidth="1"/>
    <col min="5" max="5" width="12.1640625" style="11" hidden="1" customWidth="1"/>
    <col min="6" max="6" width="12" style="11" hidden="1" customWidth="1"/>
    <col min="7" max="8" width="12.1640625" style="11" hidden="1" customWidth="1"/>
    <col min="9" max="9" width="1.6640625" style="11" hidden="1" customWidth="1"/>
    <col min="10" max="10" width="8.6640625" style="11" hidden="1" customWidth="1"/>
    <col min="11" max="11" width="12.1640625" style="11" hidden="1" customWidth="1"/>
    <col min="12" max="12" width="10.1640625" style="11" hidden="1" customWidth="1"/>
    <col min="13" max="13" width="11.5" style="11" hidden="1" customWidth="1"/>
    <col min="14" max="14" width="11" style="11" hidden="1" customWidth="1"/>
    <col min="15" max="15" width="10.1640625" style="11" hidden="1" customWidth="1"/>
    <col min="16" max="16" width="11.5" style="11" hidden="1" customWidth="1"/>
    <col min="17" max="17" width="1.6640625" style="9" hidden="1" customWidth="1"/>
    <col min="18" max="18" width="11.1640625" style="9" hidden="1" customWidth="1"/>
    <col min="19" max="19" width="14.83203125" style="9" hidden="1" customWidth="1"/>
    <col min="20" max="20" width="6.33203125" style="9" hidden="1" customWidth="1"/>
    <col min="21" max="21" width="7.1640625" style="9" hidden="1" customWidth="1"/>
    <col min="22" max="22" width="1.83203125" style="9" hidden="1" customWidth="1"/>
    <col min="23" max="23" width="14" style="9" hidden="1" customWidth="1"/>
    <col min="24" max="24" width="11.5" style="9" hidden="1" customWidth="1"/>
    <col min="25" max="25" width="6.83203125" style="9" hidden="1" customWidth="1"/>
    <col min="26" max="26" width="10.1640625" style="9" hidden="1" customWidth="1"/>
    <col min="27" max="27" width="11.5" style="9" hidden="1" customWidth="1"/>
    <col min="28" max="28" width="1.83203125" style="9" hidden="1" customWidth="1"/>
    <col min="29" max="29" width="14" style="9" bestFit="1" customWidth="1"/>
    <col min="30" max="30" width="11.1640625" style="9" bestFit="1" customWidth="1"/>
    <col min="31" max="31" width="11" style="9" bestFit="1" customWidth="1"/>
    <col min="32" max="32" width="10.1640625" style="9" bestFit="1" customWidth="1"/>
    <col min="33" max="33" width="11.5" style="9" bestFit="1" customWidth="1"/>
    <col min="34" max="34" width="2" style="9" customWidth="1"/>
    <col min="35" max="35" width="8.6640625" style="9" hidden="1" customWidth="1"/>
    <col min="36" max="36" width="7.6640625" style="9" hidden="1" customWidth="1"/>
    <col min="37" max="37" width="9.33203125" style="9"/>
    <col min="38" max="38" width="10.5" style="9" bestFit="1" customWidth="1"/>
    <col min="39" max="16384" width="9.33203125" style="9"/>
  </cols>
  <sheetData>
    <row r="1" spans="1:39" ht="15" customHeight="1" x14ac:dyDescent="0.2">
      <c r="A1" s="7">
        <v>1</v>
      </c>
      <c r="B1" s="27" t="s">
        <v>37</v>
      </c>
    </row>
    <row r="2" spans="1:39" ht="15" customHeight="1" x14ac:dyDescent="0.2">
      <c r="A2" s="7">
        <f>A1+1</f>
        <v>2</v>
      </c>
      <c r="B2" s="27"/>
      <c r="E2" s="28"/>
      <c r="L2" s="29"/>
      <c r="M2" s="30"/>
      <c r="N2" s="30"/>
      <c r="O2" s="31"/>
    </row>
    <row r="3" spans="1:39" s="7" customFormat="1" ht="15" customHeight="1" x14ac:dyDescent="0.2">
      <c r="A3" s="7">
        <f t="shared" ref="A3:A23" si="0">A2+1</f>
        <v>3</v>
      </c>
      <c r="B3" s="8"/>
      <c r="C3" s="8"/>
      <c r="D3" s="8"/>
      <c r="E3" s="8"/>
      <c r="F3" s="8"/>
      <c r="G3" s="8"/>
      <c r="H3" s="8"/>
      <c r="I3" s="8"/>
      <c r="J3" s="11"/>
      <c r="K3" s="11"/>
      <c r="L3" s="11"/>
      <c r="M3" s="30"/>
      <c r="N3" s="11"/>
      <c r="O3" s="11"/>
      <c r="P3" s="11"/>
      <c r="Q3" s="9"/>
      <c r="R3" s="9"/>
      <c r="S3" s="9"/>
      <c r="T3" s="32"/>
    </row>
    <row r="4" spans="1:39" ht="15" customHeight="1" x14ac:dyDescent="0.2">
      <c r="A4" s="7">
        <f t="shared" si="0"/>
        <v>4</v>
      </c>
      <c r="B4" s="6"/>
      <c r="C4" s="57" t="s">
        <v>20</v>
      </c>
      <c r="D4" s="58"/>
      <c r="E4" s="58"/>
      <c r="F4" s="58"/>
      <c r="G4" s="58"/>
      <c r="H4" s="59"/>
      <c r="I4" s="8"/>
      <c r="J4" s="60" t="s">
        <v>5</v>
      </c>
      <c r="K4" s="61"/>
      <c r="L4" s="61"/>
      <c r="M4" s="61"/>
      <c r="N4" s="61"/>
      <c r="O4" s="61"/>
      <c r="P4" s="62"/>
      <c r="R4" s="63" t="s">
        <v>48</v>
      </c>
      <c r="S4" s="64"/>
      <c r="T4" s="64"/>
      <c r="U4" s="65"/>
      <c r="W4" s="66" t="s">
        <v>52</v>
      </c>
      <c r="X4" s="67"/>
      <c r="Y4" s="67"/>
      <c r="Z4" s="67"/>
      <c r="AA4" s="68"/>
      <c r="AC4" s="69" t="s">
        <v>53</v>
      </c>
      <c r="AD4" s="70"/>
      <c r="AE4" s="70"/>
      <c r="AF4" s="70"/>
      <c r="AG4" s="71"/>
      <c r="AI4" s="55" t="s">
        <v>47</v>
      </c>
      <c r="AJ4" s="56"/>
      <c r="AK4" s="7"/>
      <c r="AL4" s="7"/>
      <c r="AM4" s="7"/>
    </row>
    <row r="5" spans="1:39" ht="15" customHeight="1" x14ac:dyDescent="0.2">
      <c r="A5" s="7">
        <f t="shared" si="0"/>
        <v>5</v>
      </c>
      <c r="AK5" s="7"/>
      <c r="AL5" s="7"/>
      <c r="AM5" s="7"/>
    </row>
    <row r="6" spans="1:39" ht="22.5" x14ac:dyDescent="0.2">
      <c r="A6" s="7">
        <f t="shared" si="0"/>
        <v>6</v>
      </c>
      <c r="B6" s="2" t="s">
        <v>44</v>
      </c>
      <c r="C6" s="3" t="s">
        <v>1</v>
      </c>
      <c r="D6" s="3" t="s">
        <v>2</v>
      </c>
      <c r="E6" s="4" t="s">
        <v>38</v>
      </c>
      <c r="F6" s="5" t="s">
        <v>39</v>
      </c>
      <c r="G6" s="5" t="s">
        <v>40</v>
      </c>
      <c r="H6" s="5" t="s">
        <v>41</v>
      </c>
      <c r="I6" s="8"/>
      <c r="J6" s="3" t="s">
        <v>1</v>
      </c>
      <c r="K6" s="3" t="s">
        <v>2</v>
      </c>
      <c r="L6" s="3" t="s">
        <v>43</v>
      </c>
      <c r="M6" s="3" t="s">
        <v>42</v>
      </c>
      <c r="N6" s="4" t="s">
        <v>39</v>
      </c>
      <c r="O6" s="4" t="s">
        <v>40</v>
      </c>
      <c r="P6" s="4" t="s">
        <v>41</v>
      </c>
      <c r="R6" s="3" t="s">
        <v>1</v>
      </c>
      <c r="S6" s="3" t="s">
        <v>2</v>
      </c>
      <c r="T6" s="3" t="s">
        <v>3</v>
      </c>
      <c r="U6" s="3" t="s">
        <v>4</v>
      </c>
      <c r="W6" s="3" t="s">
        <v>43</v>
      </c>
      <c r="X6" s="3" t="s">
        <v>42</v>
      </c>
      <c r="Y6" s="4" t="s">
        <v>39</v>
      </c>
      <c r="Z6" s="4" t="s">
        <v>40</v>
      </c>
      <c r="AA6" s="4" t="s">
        <v>41</v>
      </c>
      <c r="AC6" s="3" t="s">
        <v>43</v>
      </c>
      <c r="AD6" s="3" t="s">
        <v>42</v>
      </c>
      <c r="AE6" s="4" t="s">
        <v>39</v>
      </c>
      <c r="AF6" s="4" t="s">
        <v>40</v>
      </c>
      <c r="AG6" s="4" t="s">
        <v>41</v>
      </c>
      <c r="AI6" s="4" t="s">
        <v>46</v>
      </c>
      <c r="AJ6" s="4" t="s">
        <v>45</v>
      </c>
    </row>
    <row r="7" spans="1:39" ht="15" customHeight="1" x14ac:dyDescent="0.2">
      <c r="A7" s="7">
        <f t="shared" si="0"/>
        <v>7</v>
      </c>
      <c r="B7" s="33" t="s">
        <v>22</v>
      </c>
      <c r="C7" s="15">
        <v>531265</v>
      </c>
      <c r="D7" s="15">
        <v>220559577</v>
      </c>
      <c r="E7" s="16">
        <v>14160279</v>
      </c>
      <c r="F7" s="15">
        <v>-1022466</v>
      </c>
      <c r="G7" s="15">
        <v>2180784</v>
      </c>
      <c r="H7" s="15">
        <v>15318597</v>
      </c>
      <c r="I7" s="17"/>
      <c r="J7" s="20"/>
      <c r="K7" s="16"/>
      <c r="L7" s="16"/>
      <c r="M7" s="16"/>
      <c r="N7" s="16"/>
      <c r="O7" s="16"/>
      <c r="P7" s="16"/>
      <c r="Q7" s="12"/>
      <c r="R7" s="15">
        <f>C7</f>
        <v>531265</v>
      </c>
      <c r="S7" s="15">
        <f>D7</f>
        <v>220559577</v>
      </c>
      <c r="T7" s="18">
        <f>R7/R$23</f>
        <v>1.9641083883637857E-2</v>
      </c>
      <c r="U7" s="18">
        <f>S7/S$23</f>
        <v>1.832105909606677E-2</v>
      </c>
      <c r="V7" s="12"/>
      <c r="W7" s="10">
        <f>L$23*T7</f>
        <v>82294.570185731922</v>
      </c>
      <c r="X7" s="10">
        <f>U7*(0.5*(L$23+M$23))-W7</f>
        <v>174914.77672344883</v>
      </c>
      <c r="Y7" s="53">
        <v>0</v>
      </c>
      <c r="Z7" s="21">
        <f>O$23*(SUM(W7:Y7)/SUM(W$23:Y$23))</f>
        <v>78091.162105307973</v>
      </c>
      <c r="AA7" s="21">
        <f>SUM(W7:Z7)</f>
        <v>335300.50901448872</v>
      </c>
      <c r="AB7" s="12"/>
      <c r="AC7" s="10">
        <f>W7</f>
        <v>82294.570185731922</v>
      </c>
      <c r="AD7" s="10">
        <f>U7*(0.5*(L$23+M$23))-AC7</f>
        <v>174914.77672344883</v>
      </c>
      <c r="AE7" s="21">
        <f>N$23*U7</f>
        <v>-43262.958067715197</v>
      </c>
      <c r="AF7" s="21">
        <f>O$23*(SUM(AC7:AE7)/SUM(AC$23:AE$23))</f>
        <v>78091.162105307973</v>
      </c>
      <c r="AG7" s="21">
        <f>SUM(AC7:AF7)</f>
        <v>292037.5509467735</v>
      </c>
      <c r="AI7" s="25">
        <f>AA7/H7</f>
        <v>2.1888460739223618E-2</v>
      </c>
      <c r="AJ7" s="25">
        <f>AG7/H7</f>
        <v>1.9064249222482548E-2</v>
      </c>
      <c r="AL7" s="13"/>
      <c r="AM7" s="36"/>
    </row>
    <row r="8" spans="1:39" ht="15" customHeight="1" x14ac:dyDescent="0.2">
      <c r="A8" s="7">
        <f t="shared" si="0"/>
        <v>8</v>
      </c>
      <c r="B8" s="34" t="s">
        <v>0</v>
      </c>
      <c r="C8" s="16">
        <v>3041601</v>
      </c>
      <c r="D8" s="16">
        <v>1337802640</v>
      </c>
      <c r="E8" s="16">
        <v>82660655</v>
      </c>
      <c r="F8" s="16">
        <v>-6270906</v>
      </c>
      <c r="G8" s="16">
        <v>12704137</v>
      </c>
      <c r="H8" s="16">
        <v>89093886</v>
      </c>
      <c r="I8" s="17"/>
      <c r="J8" s="20"/>
      <c r="K8" s="16"/>
      <c r="L8" s="16"/>
      <c r="M8" s="16"/>
      <c r="N8" s="16"/>
      <c r="O8" s="16"/>
      <c r="P8" s="16"/>
      <c r="Q8" s="12"/>
      <c r="R8" s="16">
        <f>C8</f>
        <v>3041601</v>
      </c>
      <c r="S8" s="16">
        <f>D8</f>
        <v>1337802640</v>
      </c>
      <c r="T8" s="18">
        <f t="shared" ref="T8:U22" si="1">R8/R$23</f>
        <v>0.11244923038701363</v>
      </c>
      <c r="U8" s="18">
        <f t="shared" si="1"/>
        <v>0.11112626148314629</v>
      </c>
      <c r="V8" s="12"/>
      <c r="W8" s="10">
        <f t="shared" ref="W8:W22" si="2">L$23*T8</f>
        <v>471153.2793831561</v>
      </c>
      <c r="X8" s="10">
        <f t="shared" ref="X8:X22" si="3">U8*(0.5*(L$23+M$23))-W8</f>
        <v>1088948.2950217398</v>
      </c>
      <c r="Y8" s="53">
        <v>0</v>
      </c>
      <c r="Z8" s="21">
        <f t="shared" ref="Z8:Z22" si="4">O$23*(SUM(W8:Y8)/SUM(W$23:Y$23))</f>
        <v>473661.42176246992</v>
      </c>
      <c r="AA8" s="21">
        <f t="shared" ref="AA8:AA22" si="5">SUM(W8:Z8)</f>
        <v>2033762.9961673657</v>
      </c>
      <c r="AB8" s="12"/>
      <c r="AC8" s="10">
        <f t="shared" ref="AC8:AC22" si="6">W8</f>
        <v>471153.2793831561</v>
      </c>
      <c r="AD8" s="10">
        <f t="shared" ref="AD8:AD22" si="7">U8*(0.5*(L$23+M$23))-AC8</f>
        <v>1088948.2950217398</v>
      </c>
      <c r="AE8" s="21">
        <f t="shared" ref="AE8:AE22" si="8">N$23*U8</f>
        <v>-262411.18297573942</v>
      </c>
      <c r="AF8" s="21">
        <f t="shared" ref="AF8:AF22" si="9">O$23*(SUM(AC8:AE8)/SUM(AC$23:AE$23))</f>
        <v>473661.42176246992</v>
      </c>
      <c r="AG8" s="21">
        <f t="shared" ref="AG8:AG22" si="10">SUM(AC8:AF8)</f>
        <v>1771351.8131916262</v>
      </c>
      <c r="AI8" s="25">
        <f t="shared" ref="AI8:AI23" si="11">AA8/H8</f>
        <v>2.2827189243573524E-2</v>
      </c>
      <c r="AJ8" s="25">
        <f t="shared" ref="AJ8:AJ23" si="12">AG8/H8</f>
        <v>1.9881856014133521E-2</v>
      </c>
      <c r="AL8" s="13"/>
    </row>
    <row r="9" spans="1:39" ht="15" customHeight="1" x14ac:dyDescent="0.2">
      <c r="A9" s="7">
        <f t="shared" si="0"/>
        <v>9</v>
      </c>
      <c r="B9" s="34" t="s">
        <v>23</v>
      </c>
      <c r="C9" s="16">
        <v>1032472</v>
      </c>
      <c r="D9" s="16">
        <v>427893092</v>
      </c>
      <c r="E9" s="16">
        <v>27708197</v>
      </c>
      <c r="F9" s="16">
        <v>-1984300</v>
      </c>
      <c r="G9" s="16">
        <v>4279023</v>
      </c>
      <c r="H9" s="16">
        <v>30002920</v>
      </c>
      <c r="I9" s="17"/>
      <c r="J9" s="20"/>
      <c r="K9" s="16"/>
      <c r="L9" s="16"/>
      <c r="M9" s="16"/>
      <c r="N9" s="16"/>
      <c r="O9" s="16"/>
      <c r="P9" s="16"/>
      <c r="Q9" s="12"/>
      <c r="R9" s="16">
        <f t="shared" ref="R9:S22" si="13">C9</f>
        <v>1032472</v>
      </c>
      <c r="S9" s="16">
        <f t="shared" si="13"/>
        <v>427893092</v>
      </c>
      <c r="T9" s="18">
        <f t="shared" si="1"/>
        <v>3.8170911239225898E-2</v>
      </c>
      <c r="U9" s="18">
        <f t="shared" si="1"/>
        <v>3.5543478691613263E-2</v>
      </c>
      <c r="V9" s="12"/>
      <c r="W9" s="10">
        <f t="shared" si="2"/>
        <v>159933.06441945737</v>
      </c>
      <c r="X9" s="10">
        <f t="shared" si="3"/>
        <v>339061.82955547073</v>
      </c>
      <c r="Y9" s="53">
        <v>0</v>
      </c>
      <c r="Z9" s="21">
        <f t="shared" si="4"/>
        <v>151499.51439702595</v>
      </c>
      <c r="AA9" s="21">
        <f t="shared" si="5"/>
        <v>650494.40837195399</v>
      </c>
      <c r="AB9" s="12"/>
      <c r="AC9" s="10">
        <f t="shared" si="6"/>
        <v>159933.06441945737</v>
      </c>
      <c r="AD9" s="10">
        <f t="shared" si="7"/>
        <v>339061.82955547073</v>
      </c>
      <c r="AE9" s="21">
        <f t="shared" si="8"/>
        <v>-83931.612258491965</v>
      </c>
      <c r="AF9" s="21">
        <f t="shared" si="9"/>
        <v>151499.51439702595</v>
      </c>
      <c r="AG9" s="21">
        <f t="shared" si="10"/>
        <v>566562.79611346207</v>
      </c>
      <c r="AI9" s="25">
        <f t="shared" si="11"/>
        <v>2.168103665816374E-2</v>
      </c>
      <c r="AJ9" s="25">
        <f t="shared" si="12"/>
        <v>1.8883588534498046E-2</v>
      </c>
      <c r="AL9" s="13"/>
    </row>
    <row r="10" spans="1:39" ht="15" customHeight="1" x14ac:dyDescent="0.2">
      <c r="A10" s="7">
        <f t="shared" si="0"/>
        <v>10</v>
      </c>
      <c r="B10" s="34" t="s">
        <v>24</v>
      </c>
      <c r="C10" s="16">
        <v>1020706</v>
      </c>
      <c r="D10" s="16">
        <v>436068508</v>
      </c>
      <c r="E10" s="16">
        <v>27832656</v>
      </c>
      <c r="F10" s="16">
        <v>-2024789</v>
      </c>
      <c r="G10" s="16">
        <v>4284008</v>
      </c>
      <c r="H10" s="16">
        <v>30091875</v>
      </c>
      <c r="I10" s="17"/>
      <c r="J10" s="20"/>
      <c r="K10" s="16"/>
      <c r="L10" s="16"/>
      <c r="M10" s="16"/>
      <c r="N10" s="16"/>
      <c r="O10" s="16"/>
      <c r="P10" s="16"/>
      <c r="Q10" s="12"/>
      <c r="R10" s="16">
        <f t="shared" si="13"/>
        <v>1020706</v>
      </c>
      <c r="S10" s="16">
        <f t="shared" si="13"/>
        <v>436068508</v>
      </c>
      <c r="T10" s="18">
        <f t="shared" si="1"/>
        <v>3.7735917416981103E-2</v>
      </c>
      <c r="U10" s="18">
        <f t="shared" si="1"/>
        <v>3.6222579919989895E-2</v>
      </c>
      <c r="V10" s="12"/>
      <c r="W10" s="10">
        <f t="shared" si="2"/>
        <v>158110.47510375746</v>
      </c>
      <c r="X10" s="10">
        <f t="shared" si="3"/>
        <v>350418.32095183554</v>
      </c>
      <c r="Y10" s="53">
        <v>0</v>
      </c>
      <c r="Z10" s="21">
        <f t="shared" si="4"/>
        <v>154394.09619128797</v>
      </c>
      <c r="AA10" s="21">
        <f t="shared" si="5"/>
        <v>662922.89224688103</v>
      </c>
      <c r="AB10" s="12"/>
      <c r="AC10" s="10">
        <f t="shared" si="6"/>
        <v>158110.47510375746</v>
      </c>
      <c r="AD10" s="10">
        <f t="shared" si="7"/>
        <v>350418.32095183554</v>
      </c>
      <c r="AE10" s="21">
        <f t="shared" si="8"/>
        <v>-85535.227410483873</v>
      </c>
      <c r="AF10" s="21">
        <f t="shared" si="9"/>
        <v>154394.09619128797</v>
      </c>
      <c r="AG10" s="21">
        <f t="shared" si="10"/>
        <v>577387.66483639716</v>
      </c>
      <c r="AI10" s="25">
        <f t="shared" si="11"/>
        <v>2.2029962979936646E-2</v>
      </c>
      <c r="AJ10" s="25">
        <f t="shared" si="12"/>
        <v>1.9187493794799997E-2</v>
      </c>
      <c r="AL10" s="13"/>
    </row>
    <row r="11" spans="1:39" ht="15" customHeight="1" x14ac:dyDescent="0.2">
      <c r="A11" s="7">
        <f t="shared" si="0"/>
        <v>11</v>
      </c>
      <c r="B11" s="34" t="s">
        <v>25</v>
      </c>
      <c r="C11" s="16">
        <v>1118923</v>
      </c>
      <c r="D11" s="16">
        <v>505322872</v>
      </c>
      <c r="E11" s="16">
        <v>31455115</v>
      </c>
      <c r="F11" s="16">
        <v>-2376441</v>
      </c>
      <c r="G11" s="16">
        <v>4865184</v>
      </c>
      <c r="H11" s="16">
        <v>33943858</v>
      </c>
      <c r="I11" s="17"/>
      <c r="J11" s="20"/>
      <c r="K11" s="16"/>
      <c r="L11" s="16"/>
      <c r="M11" s="16"/>
      <c r="N11" s="16"/>
      <c r="O11" s="16"/>
      <c r="P11" s="16"/>
      <c r="Q11" s="12"/>
      <c r="R11" s="16">
        <f t="shared" si="13"/>
        <v>1118923</v>
      </c>
      <c r="S11" s="16">
        <f t="shared" si="13"/>
        <v>505322872</v>
      </c>
      <c r="T11" s="18">
        <f t="shared" si="1"/>
        <v>4.1367039993848123E-2</v>
      </c>
      <c r="U11" s="18">
        <f t="shared" si="1"/>
        <v>4.1975280903382331E-2</v>
      </c>
      <c r="V11" s="12"/>
      <c r="W11" s="10">
        <f t="shared" si="2"/>
        <v>173324.58821102412</v>
      </c>
      <c r="X11" s="10">
        <f t="shared" si="3"/>
        <v>415966.37640390865</v>
      </c>
      <c r="Y11" s="53">
        <v>0</v>
      </c>
      <c r="Z11" s="21">
        <f t="shared" si="4"/>
        <v>178914.24552773687</v>
      </c>
      <c r="AA11" s="21">
        <f t="shared" si="5"/>
        <v>768205.21014266962</v>
      </c>
      <c r="AB11" s="12"/>
      <c r="AC11" s="10">
        <f t="shared" si="6"/>
        <v>173324.58821102412</v>
      </c>
      <c r="AD11" s="10">
        <f t="shared" si="7"/>
        <v>415966.37640390865</v>
      </c>
      <c r="AE11" s="21">
        <f t="shared" si="8"/>
        <v>-99119.53277818182</v>
      </c>
      <c r="AF11" s="21">
        <f t="shared" si="9"/>
        <v>178914.24552773687</v>
      </c>
      <c r="AG11" s="21">
        <f t="shared" si="10"/>
        <v>669085.67736448778</v>
      </c>
      <c r="AI11" s="25">
        <f t="shared" si="11"/>
        <v>2.2631641051016345E-2</v>
      </c>
      <c r="AJ11" s="25">
        <f t="shared" si="12"/>
        <v>1.9711538899452378E-2</v>
      </c>
      <c r="AL11" s="13"/>
    </row>
    <row r="12" spans="1:39" ht="15" customHeight="1" x14ac:dyDescent="0.2">
      <c r="A12" s="7">
        <f t="shared" si="0"/>
        <v>12</v>
      </c>
      <c r="B12" s="34" t="s">
        <v>26</v>
      </c>
      <c r="C12" s="16">
        <f>1958835+381852</f>
        <v>2340687</v>
      </c>
      <c r="D12" s="16">
        <f>1003315863+209428447</f>
        <v>1212744310</v>
      </c>
      <c r="E12" s="16">
        <f>54092089+10797849</f>
        <v>64889938</v>
      </c>
      <c r="F12" s="16">
        <f>-3938220-1011691</f>
        <v>-4949911</v>
      </c>
      <c r="G12" s="16">
        <f>7907535+1661752</f>
        <v>9569287</v>
      </c>
      <c r="H12" s="16">
        <f>58061404+11447910</f>
        <v>69509314</v>
      </c>
      <c r="I12" s="17"/>
      <c r="J12" s="20"/>
      <c r="K12" s="16"/>
      <c r="L12" s="16"/>
      <c r="M12" s="16"/>
      <c r="N12" s="16"/>
      <c r="O12" s="16"/>
      <c r="P12" s="16"/>
      <c r="Q12" s="12"/>
      <c r="R12" s="16">
        <f t="shared" si="13"/>
        <v>2340687</v>
      </c>
      <c r="S12" s="16">
        <f t="shared" si="13"/>
        <v>1212744310</v>
      </c>
      <c r="T12" s="18">
        <f t="shared" si="1"/>
        <v>8.6536153731829962E-2</v>
      </c>
      <c r="U12" s="18">
        <f t="shared" si="1"/>
        <v>0.10073813376931132</v>
      </c>
      <c r="V12" s="12"/>
      <c r="W12" s="10">
        <f t="shared" si="2"/>
        <v>362579.56124406896</v>
      </c>
      <c r="X12" s="10">
        <f t="shared" si="3"/>
        <v>1051683.0891731698</v>
      </c>
      <c r="Y12" s="53">
        <v>0</v>
      </c>
      <c r="Z12" s="21">
        <f t="shared" si="4"/>
        <v>429383.36114282563</v>
      </c>
      <c r="AA12" s="21">
        <f t="shared" si="5"/>
        <v>1843646.0115600643</v>
      </c>
      <c r="AB12" s="12"/>
      <c r="AC12" s="10">
        <f t="shared" si="6"/>
        <v>362579.56124406896</v>
      </c>
      <c r="AD12" s="10">
        <f t="shared" si="7"/>
        <v>1051683.0891731698</v>
      </c>
      <c r="AE12" s="21">
        <f t="shared" si="8"/>
        <v>-237880.87982409491</v>
      </c>
      <c r="AF12" s="21">
        <f t="shared" si="9"/>
        <v>429383.36114282557</v>
      </c>
      <c r="AG12" s="21">
        <f t="shared" si="10"/>
        <v>1605765.1317359693</v>
      </c>
      <c r="AI12" s="25">
        <f t="shared" si="11"/>
        <v>2.6523726180926837E-2</v>
      </c>
      <c r="AJ12" s="25">
        <f t="shared" si="12"/>
        <v>2.3101438344449339E-2</v>
      </c>
      <c r="AL12" s="13"/>
    </row>
    <row r="13" spans="1:39" ht="15" customHeight="1" x14ac:dyDescent="0.2">
      <c r="A13" s="7">
        <f t="shared" si="0"/>
        <v>13</v>
      </c>
      <c r="B13" s="34" t="s">
        <v>27</v>
      </c>
      <c r="C13" s="16">
        <v>570205</v>
      </c>
      <c r="D13" s="16">
        <v>250857783</v>
      </c>
      <c r="E13" s="16">
        <v>15898661</v>
      </c>
      <c r="F13" s="16">
        <v>-1170031</v>
      </c>
      <c r="G13" s="16">
        <v>2450030</v>
      </c>
      <c r="H13" s="16">
        <v>17178660</v>
      </c>
      <c r="I13" s="17"/>
      <c r="J13" s="20"/>
      <c r="K13" s="16"/>
      <c r="L13" s="16"/>
      <c r="M13" s="16"/>
      <c r="N13" s="16"/>
      <c r="O13" s="16"/>
      <c r="P13" s="16"/>
      <c r="Q13" s="12"/>
      <c r="R13" s="16">
        <f t="shared" si="13"/>
        <v>570205</v>
      </c>
      <c r="S13" s="16">
        <f t="shared" si="13"/>
        <v>250857783</v>
      </c>
      <c r="T13" s="18">
        <f t="shared" si="1"/>
        <v>2.1080711576839665E-2</v>
      </c>
      <c r="U13" s="18">
        <f t="shared" si="1"/>
        <v>2.0837817743236304E-2</v>
      </c>
      <c r="V13" s="12"/>
      <c r="W13" s="10">
        <f t="shared" si="2"/>
        <v>88326.495050032041</v>
      </c>
      <c r="X13" s="10">
        <f t="shared" si="3"/>
        <v>204215.62626766972</v>
      </c>
      <c r="Y13" s="53">
        <v>0</v>
      </c>
      <c r="Z13" s="21">
        <f t="shared" si="4"/>
        <v>88818.522705233379</v>
      </c>
      <c r="AA13" s="21">
        <f t="shared" si="5"/>
        <v>381360.64402293513</v>
      </c>
      <c r="AB13" s="12"/>
      <c r="AC13" s="10">
        <f t="shared" si="6"/>
        <v>88326.495050032041</v>
      </c>
      <c r="AD13" s="10">
        <f t="shared" si="7"/>
        <v>204215.62626766972</v>
      </c>
      <c r="AE13" s="21">
        <f t="shared" si="8"/>
        <v>-49205.978241828954</v>
      </c>
      <c r="AF13" s="21">
        <f t="shared" si="9"/>
        <v>88818.522705233379</v>
      </c>
      <c r="AG13" s="21">
        <f t="shared" si="10"/>
        <v>332154.66578110616</v>
      </c>
      <c r="AI13" s="25">
        <f t="shared" si="11"/>
        <v>2.2199673549795802E-2</v>
      </c>
      <c r="AJ13" s="25">
        <f t="shared" si="12"/>
        <v>1.9335307048460482E-2</v>
      </c>
      <c r="AL13" s="13"/>
    </row>
    <row r="14" spans="1:39" ht="15" customHeight="1" x14ac:dyDescent="0.2">
      <c r="A14" s="7">
        <f t="shared" si="0"/>
        <v>14</v>
      </c>
      <c r="B14" s="34" t="s">
        <v>28</v>
      </c>
      <c r="C14" s="16">
        <v>1148240</v>
      </c>
      <c r="D14" s="16">
        <v>465755004</v>
      </c>
      <c r="E14" s="16">
        <v>29714401</v>
      </c>
      <c r="F14" s="16">
        <v>-2151496</v>
      </c>
      <c r="G14" s="16">
        <v>4583414</v>
      </c>
      <c r="H14" s="16">
        <v>32146319</v>
      </c>
      <c r="I14" s="17"/>
      <c r="J14" s="20"/>
      <c r="K14" s="16"/>
      <c r="L14" s="16"/>
      <c r="M14" s="16"/>
      <c r="N14" s="16"/>
      <c r="O14" s="16"/>
      <c r="P14" s="16"/>
      <c r="Q14" s="12"/>
      <c r="R14" s="16">
        <f t="shared" si="13"/>
        <v>1148240</v>
      </c>
      <c r="S14" s="16">
        <f t="shared" si="13"/>
        <v>465755004</v>
      </c>
      <c r="T14" s="18">
        <f t="shared" si="1"/>
        <v>4.2450901449461821E-2</v>
      </c>
      <c r="U14" s="18">
        <f t="shared" si="1"/>
        <v>3.8688526105455923E-2</v>
      </c>
      <c r="V14" s="12"/>
      <c r="W14" s="10">
        <f t="shared" si="2"/>
        <v>177865.88100112905</v>
      </c>
      <c r="X14" s="10">
        <f t="shared" si="3"/>
        <v>365282.33331795665</v>
      </c>
      <c r="Y14" s="53">
        <v>0</v>
      </c>
      <c r="Z14" s="21">
        <f t="shared" si="4"/>
        <v>164904.87519715531</v>
      </c>
      <c r="AA14" s="21">
        <f t="shared" si="5"/>
        <v>708053.08951624099</v>
      </c>
      <c r="AB14" s="12"/>
      <c r="AC14" s="10">
        <f t="shared" si="6"/>
        <v>177865.88100112905</v>
      </c>
      <c r="AD14" s="10">
        <f t="shared" si="7"/>
        <v>365282.33331795665</v>
      </c>
      <c r="AE14" s="21">
        <f t="shared" si="8"/>
        <v>-91358.260121620231</v>
      </c>
      <c r="AF14" s="21">
        <f t="shared" si="9"/>
        <v>164904.87519715531</v>
      </c>
      <c r="AG14" s="21">
        <f t="shared" si="10"/>
        <v>616694.82939462073</v>
      </c>
      <c r="AI14" s="25">
        <f t="shared" si="11"/>
        <v>2.2025946097164063E-2</v>
      </c>
      <c r="AJ14" s="25">
        <f t="shared" si="12"/>
        <v>1.9183995200029613E-2</v>
      </c>
      <c r="AL14" s="13"/>
    </row>
    <row r="15" spans="1:39" ht="15" customHeight="1" x14ac:dyDescent="0.2">
      <c r="A15" s="7">
        <f t="shared" si="0"/>
        <v>15</v>
      </c>
      <c r="B15" s="34" t="s">
        <v>29</v>
      </c>
      <c r="C15" s="16">
        <v>2112617</v>
      </c>
      <c r="D15" s="16">
        <v>871147701</v>
      </c>
      <c r="E15" s="16">
        <v>55723074</v>
      </c>
      <c r="F15" s="16">
        <v>-4031713</v>
      </c>
      <c r="G15" s="16">
        <v>8587016</v>
      </c>
      <c r="H15" s="16">
        <v>60278377</v>
      </c>
      <c r="I15" s="17"/>
      <c r="J15" s="20"/>
      <c r="K15" s="16"/>
      <c r="L15" s="16"/>
      <c r="M15" s="16"/>
      <c r="N15" s="16"/>
      <c r="O15" s="16"/>
      <c r="P15" s="16"/>
      <c r="Q15" s="12"/>
      <c r="R15" s="16">
        <f t="shared" si="13"/>
        <v>2112617</v>
      </c>
      <c r="S15" s="16">
        <f t="shared" si="13"/>
        <v>871147701</v>
      </c>
      <c r="T15" s="18">
        <f t="shared" si="1"/>
        <v>7.8104312745991847E-2</v>
      </c>
      <c r="U15" s="18">
        <f t="shared" si="1"/>
        <v>7.2362981143293106E-2</v>
      </c>
      <c r="V15" s="12"/>
      <c r="W15" s="10">
        <f t="shared" si="2"/>
        <v>327250.82206068613</v>
      </c>
      <c r="X15" s="10">
        <f t="shared" si="3"/>
        <v>688653.06333552254</v>
      </c>
      <c r="Y15" s="53">
        <v>0</v>
      </c>
      <c r="Z15" s="21">
        <f t="shared" si="4"/>
        <v>308437.9162391001</v>
      </c>
      <c r="AA15" s="21">
        <f t="shared" si="5"/>
        <v>1324341.8016353087</v>
      </c>
      <c r="AB15" s="12"/>
      <c r="AC15" s="10">
        <f t="shared" si="6"/>
        <v>327250.82206068613</v>
      </c>
      <c r="AD15" s="10">
        <f t="shared" si="7"/>
        <v>688653.06333552254</v>
      </c>
      <c r="AE15" s="21">
        <f t="shared" si="8"/>
        <v>-170876.39979990304</v>
      </c>
      <c r="AF15" s="21">
        <f t="shared" si="9"/>
        <v>308437.9162391001</v>
      </c>
      <c r="AG15" s="21">
        <f t="shared" si="10"/>
        <v>1153465.4018354057</v>
      </c>
      <c r="AI15" s="25">
        <f t="shared" si="11"/>
        <v>2.1970428992063085E-2</v>
      </c>
      <c r="AJ15" s="25">
        <f t="shared" si="12"/>
        <v>1.9135641323511511E-2</v>
      </c>
      <c r="AL15" s="13"/>
    </row>
    <row r="16" spans="1:39" ht="15" customHeight="1" x14ac:dyDescent="0.2">
      <c r="A16" s="7">
        <f t="shared" si="0"/>
        <v>16</v>
      </c>
      <c r="B16" s="34" t="s">
        <v>30</v>
      </c>
      <c r="C16" s="16">
        <v>569067</v>
      </c>
      <c r="D16" s="16">
        <v>247024092</v>
      </c>
      <c r="E16" s="16">
        <v>15726729</v>
      </c>
      <c r="F16" s="16">
        <v>-1145696</v>
      </c>
      <c r="G16" s="16">
        <v>2422607</v>
      </c>
      <c r="H16" s="16">
        <v>17003640</v>
      </c>
      <c r="I16" s="17"/>
      <c r="J16" s="20"/>
      <c r="K16" s="16"/>
      <c r="L16" s="16"/>
      <c r="M16" s="16"/>
      <c r="N16" s="16"/>
      <c r="O16" s="16"/>
      <c r="P16" s="16"/>
      <c r="Q16" s="12"/>
      <c r="R16" s="16">
        <f t="shared" si="13"/>
        <v>569067</v>
      </c>
      <c r="S16" s="16">
        <f t="shared" si="13"/>
        <v>247024092</v>
      </c>
      <c r="T16" s="18">
        <f t="shared" si="1"/>
        <v>2.103863925236962E-2</v>
      </c>
      <c r="U16" s="18">
        <f t="shared" si="1"/>
        <v>2.0519367371130907E-2</v>
      </c>
      <c r="V16" s="12"/>
      <c r="W16" s="10">
        <f t="shared" si="2"/>
        <v>88150.215376288514</v>
      </c>
      <c r="X16" s="10">
        <f t="shared" si="3"/>
        <v>199921.18119767838</v>
      </c>
      <c r="Y16" s="53">
        <v>0</v>
      </c>
      <c r="Z16" s="21">
        <f t="shared" si="4"/>
        <v>87461.168880862111</v>
      </c>
      <c r="AA16" s="21">
        <f t="shared" si="5"/>
        <v>375532.56545482902</v>
      </c>
      <c r="AB16" s="12"/>
      <c r="AC16" s="10">
        <f t="shared" si="6"/>
        <v>88150.215376288514</v>
      </c>
      <c r="AD16" s="10">
        <f t="shared" si="7"/>
        <v>199921.18119767838</v>
      </c>
      <c r="AE16" s="21">
        <f t="shared" si="8"/>
        <v>-48453.996327311703</v>
      </c>
      <c r="AF16" s="21">
        <f t="shared" si="9"/>
        <v>87461.168880862111</v>
      </c>
      <c r="AG16" s="21">
        <f t="shared" si="10"/>
        <v>327078.56912751729</v>
      </c>
      <c r="AI16" s="25">
        <f t="shared" si="11"/>
        <v>2.2085422030508117E-2</v>
      </c>
      <c r="AJ16" s="25">
        <f t="shared" si="12"/>
        <v>1.9235797107414489E-2</v>
      </c>
      <c r="AL16" s="13"/>
    </row>
    <row r="17" spans="1:38" ht="15" customHeight="1" x14ac:dyDescent="0.2">
      <c r="A17" s="7">
        <f t="shared" si="0"/>
        <v>17</v>
      </c>
      <c r="B17" s="34" t="s">
        <v>31</v>
      </c>
      <c r="C17" s="16">
        <v>1761640</v>
      </c>
      <c r="D17" s="16">
        <v>760403789</v>
      </c>
      <c r="E17" s="16">
        <v>46861376</v>
      </c>
      <c r="F17" s="16">
        <v>-3567998</v>
      </c>
      <c r="G17" s="16">
        <v>7214992</v>
      </c>
      <c r="H17" s="16">
        <v>50508370</v>
      </c>
      <c r="I17" s="17"/>
      <c r="J17" s="20"/>
      <c r="K17" s="16"/>
      <c r="L17" s="16"/>
      <c r="M17" s="16"/>
      <c r="N17" s="16"/>
      <c r="O17" s="16"/>
      <c r="P17" s="16"/>
      <c r="Q17" s="12"/>
      <c r="R17" s="16">
        <f t="shared" si="13"/>
        <v>1761640</v>
      </c>
      <c r="S17" s="16">
        <f t="shared" si="13"/>
        <v>760403789</v>
      </c>
      <c r="T17" s="18">
        <f t="shared" si="1"/>
        <v>6.5128549806164143E-2</v>
      </c>
      <c r="U17" s="18">
        <f t="shared" si="1"/>
        <v>6.3163898592089193E-2</v>
      </c>
      <c r="V17" s="12"/>
      <c r="W17" s="10">
        <f t="shared" si="2"/>
        <v>272883.41340384324</v>
      </c>
      <c r="X17" s="10">
        <f t="shared" si="3"/>
        <v>613874.55292992643</v>
      </c>
      <c r="Y17" s="53">
        <v>0</v>
      </c>
      <c r="Z17" s="21">
        <f t="shared" si="4"/>
        <v>269228.00796035893</v>
      </c>
      <c r="AA17" s="21">
        <f t="shared" si="5"/>
        <v>1155985.9742941286</v>
      </c>
      <c r="AB17" s="12"/>
      <c r="AC17" s="10">
        <f t="shared" si="6"/>
        <v>272883.41340384324</v>
      </c>
      <c r="AD17" s="10">
        <f t="shared" si="7"/>
        <v>613874.55292992643</v>
      </c>
      <c r="AE17" s="21">
        <f t="shared" si="8"/>
        <v>-149153.88252689096</v>
      </c>
      <c r="AF17" s="21">
        <f t="shared" si="9"/>
        <v>269228.00796035893</v>
      </c>
      <c r="AG17" s="21">
        <f t="shared" si="10"/>
        <v>1006832.0917672378</v>
      </c>
      <c r="AI17" s="25">
        <f t="shared" si="11"/>
        <v>2.2887018018877436E-2</v>
      </c>
      <c r="AJ17" s="25">
        <f t="shared" si="12"/>
        <v>1.9933965237192128E-2</v>
      </c>
      <c r="AL17" s="13"/>
    </row>
    <row r="18" spans="1:38" ht="15" customHeight="1" x14ac:dyDescent="0.2">
      <c r="A18" s="7">
        <f t="shared" si="0"/>
        <v>18</v>
      </c>
      <c r="B18" s="34" t="s">
        <v>32</v>
      </c>
      <c r="C18" s="16">
        <v>4486688</v>
      </c>
      <c r="D18" s="16">
        <v>2284294624</v>
      </c>
      <c r="E18" s="16">
        <v>119652391</v>
      </c>
      <c r="F18" s="16">
        <v>-10857755</v>
      </c>
      <c r="G18" s="16">
        <v>18250930</v>
      </c>
      <c r="H18" s="16">
        <v>127045566</v>
      </c>
      <c r="I18" s="17"/>
      <c r="J18" s="20"/>
      <c r="K18" s="16"/>
      <c r="L18" s="16"/>
      <c r="M18" s="16"/>
      <c r="N18" s="16"/>
      <c r="O18" s="16"/>
      <c r="P18" s="16"/>
      <c r="Q18" s="12"/>
      <c r="R18" s="16">
        <f t="shared" si="13"/>
        <v>4486688</v>
      </c>
      <c r="S18" s="16">
        <f t="shared" si="13"/>
        <v>2284294624</v>
      </c>
      <c r="T18" s="18">
        <f t="shared" si="1"/>
        <v>0.16587468658336493</v>
      </c>
      <c r="U18" s="18">
        <f t="shared" si="1"/>
        <v>0.18974781040286282</v>
      </c>
      <c r="V18" s="12"/>
      <c r="W18" s="10">
        <f t="shared" si="2"/>
        <v>695001.66680937237</v>
      </c>
      <c r="X18" s="10">
        <f t="shared" si="3"/>
        <v>1968867.8254103765</v>
      </c>
      <c r="Y18" s="53">
        <v>0</v>
      </c>
      <c r="Z18" s="21">
        <f t="shared" si="4"/>
        <v>808775.67959367053</v>
      </c>
      <c r="AA18" s="21">
        <f t="shared" si="5"/>
        <v>3472645.1718134196</v>
      </c>
      <c r="AB18" s="12"/>
      <c r="AC18" s="10">
        <f t="shared" si="6"/>
        <v>695001.66680937237</v>
      </c>
      <c r="AD18" s="10">
        <f t="shared" si="7"/>
        <v>1968867.8254103765</v>
      </c>
      <c r="AE18" s="21">
        <f t="shared" si="8"/>
        <v>-448066.43119568215</v>
      </c>
      <c r="AF18" s="21">
        <f t="shared" si="9"/>
        <v>808775.67959367065</v>
      </c>
      <c r="AG18" s="21">
        <f t="shared" si="10"/>
        <v>3024578.7406177376</v>
      </c>
      <c r="AI18" s="25">
        <f t="shared" si="11"/>
        <v>2.7333855727113054E-2</v>
      </c>
      <c r="AJ18" s="25">
        <f t="shared" si="12"/>
        <v>2.3807038969134411E-2</v>
      </c>
      <c r="AL18" s="13"/>
    </row>
    <row r="19" spans="1:38" ht="15" customHeight="1" x14ac:dyDescent="0.2">
      <c r="A19" s="7">
        <f t="shared" si="0"/>
        <v>19</v>
      </c>
      <c r="B19" s="34" t="s">
        <v>33</v>
      </c>
      <c r="C19" s="16">
        <v>2604971</v>
      </c>
      <c r="D19" s="16">
        <v>1184476084</v>
      </c>
      <c r="E19" s="16">
        <v>73598088</v>
      </c>
      <c r="F19" s="16">
        <v>-5590559</v>
      </c>
      <c r="G19" s="16">
        <v>11365957</v>
      </c>
      <c r="H19" s="16">
        <v>79373486</v>
      </c>
      <c r="I19" s="17"/>
      <c r="J19" s="20"/>
      <c r="K19" s="16"/>
      <c r="L19" s="16"/>
      <c r="M19" s="16"/>
      <c r="N19" s="16"/>
      <c r="O19" s="16"/>
      <c r="P19" s="16"/>
      <c r="Q19" s="12"/>
      <c r="R19" s="16">
        <f t="shared" si="13"/>
        <v>2604971</v>
      </c>
      <c r="S19" s="16">
        <f t="shared" si="13"/>
        <v>1184476084</v>
      </c>
      <c r="T19" s="18">
        <f t="shared" si="1"/>
        <v>9.6306841078264135E-2</v>
      </c>
      <c r="U19" s="18">
        <f t="shared" si="1"/>
        <v>9.8389997967949255E-2</v>
      </c>
      <c r="V19" s="12"/>
      <c r="W19" s="10">
        <f t="shared" si="2"/>
        <v>403517.95957064041</v>
      </c>
      <c r="X19" s="10">
        <f t="shared" si="3"/>
        <v>977779.21255434933</v>
      </c>
      <c r="Y19" s="53">
        <v>0</v>
      </c>
      <c r="Z19" s="21">
        <f t="shared" si="4"/>
        <v>419374.73377319897</v>
      </c>
      <c r="AA19" s="21">
        <f t="shared" si="5"/>
        <v>1800671.9058981887</v>
      </c>
      <c r="AB19" s="12"/>
      <c r="AC19" s="10">
        <f t="shared" si="6"/>
        <v>403517.95957064041</v>
      </c>
      <c r="AD19" s="10">
        <f t="shared" si="7"/>
        <v>977779.21255434933</v>
      </c>
      <c r="AE19" s="21">
        <f t="shared" si="8"/>
        <v>-232336.04204048464</v>
      </c>
      <c r="AF19" s="21">
        <f t="shared" si="9"/>
        <v>419374.73377319897</v>
      </c>
      <c r="AG19" s="21">
        <f t="shared" si="10"/>
        <v>1568335.863857704</v>
      </c>
      <c r="AI19" s="25">
        <f t="shared" si="11"/>
        <v>2.2686063024851759E-2</v>
      </c>
      <c r="AJ19" s="25">
        <f t="shared" si="12"/>
        <v>1.9758938946661659E-2</v>
      </c>
      <c r="AL19" s="13"/>
    </row>
    <row r="20" spans="1:38" ht="15" customHeight="1" x14ac:dyDescent="0.2">
      <c r="A20" s="7">
        <f t="shared" si="0"/>
        <v>20</v>
      </c>
      <c r="B20" s="34" t="s">
        <v>34</v>
      </c>
      <c r="C20" s="16">
        <v>1021546</v>
      </c>
      <c r="D20" s="16">
        <v>500695586</v>
      </c>
      <c r="E20" s="16">
        <v>30200720</v>
      </c>
      <c r="F20" s="16">
        <v>-2355752</v>
      </c>
      <c r="G20" s="16">
        <v>4634477</v>
      </c>
      <c r="H20" s="16">
        <v>32479445</v>
      </c>
      <c r="I20" s="17"/>
      <c r="J20" s="16"/>
      <c r="K20" s="16"/>
      <c r="L20" s="16"/>
      <c r="M20" s="16"/>
      <c r="N20" s="16"/>
      <c r="O20" s="16"/>
      <c r="P20" s="16"/>
      <c r="Q20" s="12"/>
      <c r="R20" s="16">
        <f t="shared" si="13"/>
        <v>1021546</v>
      </c>
      <c r="S20" s="16">
        <f t="shared" si="13"/>
        <v>500695586</v>
      </c>
      <c r="T20" s="18">
        <f t="shared" si="1"/>
        <v>3.7766972559823669E-2</v>
      </c>
      <c r="U20" s="18">
        <f t="shared" si="1"/>
        <v>4.1590909562933112E-2</v>
      </c>
      <c r="V20" s="12"/>
      <c r="W20" s="10">
        <f t="shared" si="2"/>
        <v>158240.59366785636</v>
      </c>
      <c r="X20" s="10">
        <f t="shared" si="3"/>
        <v>425654.18173502519</v>
      </c>
      <c r="Y20" s="53">
        <v>0</v>
      </c>
      <c r="Z20" s="21">
        <f t="shared" si="4"/>
        <v>177275.91203957636</v>
      </c>
      <c r="AA20" s="21">
        <f t="shared" si="5"/>
        <v>761170.68744245789</v>
      </c>
      <c r="AB20" s="12"/>
      <c r="AC20" s="10">
        <f t="shared" si="6"/>
        <v>158240.59366785636</v>
      </c>
      <c r="AD20" s="10">
        <f t="shared" si="7"/>
        <v>425654.18173502519</v>
      </c>
      <c r="AE20" s="21">
        <f t="shared" si="8"/>
        <v>-98211.8864954483</v>
      </c>
      <c r="AF20" s="21">
        <f t="shared" si="9"/>
        <v>177275.91203957639</v>
      </c>
      <c r="AG20" s="21">
        <f t="shared" si="10"/>
        <v>662958.80094700959</v>
      </c>
      <c r="AI20" s="25">
        <f t="shared" si="11"/>
        <v>2.3435458562868234E-2</v>
      </c>
      <c r="AJ20" s="25">
        <f t="shared" si="12"/>
        <v>2.0411641915279329E-2</v>
      </c>
      <c r="AL20" s="13"/>
    </row>
    <row r="21" spans="1:38" ht="15" customHeight="1" x14ac:dyDescent="0.2">
      <c r="A21" s="7">
        <f t="shared" si="0"/>
        <v>21</v>
      </c>
      <c r="B21" s="34" t="s">
        <v>35</v>
      </c>
      <c r="C21" s="16">
        <v>3122465</v>
      </c>
      <c r="D21" s="16">
        <v>1274648341</v>
      </c>
      <c r="E21" s="16">
        <v>81152946</v>
      </c>
      <c r="F21" s="16">
        <v>-5924121</v>
      </c>
      <c r="G21" s="16">
        <v>12517918</v>
      </c>
      <c r="H21" s="16">
        <v>87746743</v>
      </c>
      <c r="I21" s="17"/>
      <c r="J21" s="19">
        <f>58000*12</f>
        <v>696000</v>
      </c>
      <c r="K21" s="19">
        <v>508080000</v>
      </c>
      <c r="L21" s="16">
        <f>J21*'Input Data'!D14</f>
        <v>4189919.9999999995</v>
      </c>
      <c r="M21" s="16">
        <f>K21*('Input Data'!D15*'Input Data'!E15+'Input Data'!D16*'Input Data'!E16)</f>
        <v>23888079.809999999</v>
      </c>
      <c r="N21" s="16">
        <f>(K21/D21)*F21</f>
        <v>-2361378.6648940532</v>
      </c>
      <c r="O21" s="16">
        <f>(L21+M21+N21)*(G23/(E23+F23))</f>
        <v>4262371.6072218148</v>
      </c>
      <c r="P21" s="16">
        <f>SUM(L21:O21)</f>
        <v>29978992.752327763</v>
      </c>
      <c r="Q21" s="12"/>
      <c r="R21" s="22">
        <f>C21-J21</f>
        <v>2426465</v>
      </c>
      <c r="S21" s="22">
        <f>D21-K21</f>
        <v>766568341</v>
      </c>
      <c r="T21" s="18">
        <f t="shared" si="1"/>
        <v>8.9707401401769998E-2</v>
      </c>
      <c r="U21" s="18">
        <f t="shared" si="1"/>
        <v>6.367596486927822E-2</v>
      </c>
      <c r="V21" s="12"/>
      <c r="W21" s="10">
        <f t="shared" si="2"/>
        <v>375866.83528130408</v>
      </c>
      <c r="X21" s="10">
        <f t="shared" si="3"/>
        <v>518080.0294692762</v>
      </c>
      <c r="Y21" s="53">
        <v>0</v>
      </c>
      <c r="Z21" s="21">
        <f t="shared" si="4"/>
        <v>271410.62472126522</v>
      </c>
      <c r="AA21" s="21">
        <f t="shared" si="5"/>
        <v>1165357.4894718456</v>
      </c>
      <c r="AB21" s="12"/>
      <c r="AC21" s="10">
        <f t="shared" si="6"/>
        <v>375866.83528130408</v>
      </c>
      <c r="AD21" s="10">
        <f t="shared" si="7"/>
        <v>518080.0294692762</v>
      </c>
      <c r="AE21" s="21">
        <f t="shared" si="8"/>
        <v>-150363.06490885685</v>
      </c>
      <c r="AF21" s="21">
        <f t="shared" si="9"/>
        <v>271410.62472126522</v>
      </c>
      <c r="AG21" s="21">
        <f t="shared" si="10"/>
        <v>1014994.4245629886</v>
      </c>
      <c r="AI21" s="25">
        <f t="shared" si="11"/>
        <v>1.3280920175827444E-2</v>
      </c>
      <c r="AJ21" s="25">
        <f t="shared" si="12"/>
        <v>1.1567317371118704E-2</v>
      </c>
      <c r="AL21" s="13"/>
    </row>
    <row r="22" spans="1:38" ht="15" customHeight="1" x14ac:dyDescent="0.2">
      <c r="A22" s="7">
        <f t="shared" si="0"/>
        <v>22</v>
      </c>
      <c r="B22" s="34" t="s">
        <v>36</v>
      </c>
      <c r="C22" s="16">
        <v>1261567</v>
      </c>
      <c r="D22" s="16">
        <v>566968256</v>
      </c>
      <c r="E22" s="16">
        <v>32802228</v>
      </c>
      <c r="F22" s="16">
        <v>-2174385</v>
      </c>
      <c r="G22" s="16">
        <v>4857759</v>
      </c>
      <c r="H22" s="16">
        <v>35485602</v>
      </c>
      <c r="I22" s="17"/>
      <c r="J22" s="16"/>
      <c r="K22" s="16"/>
      <c r="L22" s="16"/>
      <c r="M22" s="16"/>
      <c r="N22" s="16"/>
      <c r="O22" s="16"/>
      <c r="P22" s="16"/>
      <c r="Q22" s="12"/>
      <c r="R22" s="16">
        <f t="shared" si="13"/>
        <v>1261567</v>
      </c>
      <c r="S22" s="16">
        <f t="shared" si="13"/>
        <v>566968256</v>
      </c>
      <c r="T22" s="18">
        <f t="shared" si="1"/>
        <v>4.6640646893413573E-2</v>
      </c>
      <c r="U22" s="18">
        <f t="shared" si="1"/>
        <v>4.7095932378261283E-2</v>
      </c>
      <c r="V22" s="12"/>
      <c r="W22" s="10">
        <f t="shared" si="2"/>
        <v>195420.57923165138</v>
      </c>
      <c r="X22" s="10">
        <f t="shared" si="3"/>
        <v>465759.21095264517</v>
      </c>
      <c r="Y22" s="53">
        <v>0</v>
      </c>
      <c r="Z22" s="21">
        <f t="shared" si="4"/>
        <v>200740.36498473946</v>
      </c>
      <c r="AA22" s="21">
        <f t="shared" si="5"/>
        <v>861920.15516903601</v>
      </c>
      <c r="AB22" s="12"/>
      <c r="AC22" s="10">
        <f t="shared" si="6"/>
        <v>195420.57923165138</v>
      </c>
      <c r="AD22" s="10">
        <f t="shared" si="7"/>
        <v>465759.21095264517</v>
      </c>
      <c r="AE22" s="21">
        <f t="shared" si="8"/>
        <v>-111211.32992131924</v>
      </c>
      <c r="AF22" s="21">
        <f t="shared" si="9"/>
        <v>200740.36498473946</v>
      </c>
      <c r="AG22" s="21">
        <f t="shared" si="10"/>
        <v>750708.82524771674</v>
      </c>
      <c r="AI22" s="25">
        <f t="shared" si="11"/>
        <v>2.4289292180221037E-2</v>
      </c>
      <c r="AJ22" s="25">
        <f t="shared" si="12"/>
        <v>2.1155307587784947E-2</v>
      </c>
      <c r="AL22" s="13"/>
    </row>
    <row r="23" spans="1:38" ht="15" customHeight="1" x14ac:dyDescent="0.2">
      <c r="A23" s="7">
        <f t="shared" si="0"/>
        <v>23</v>
      </c>
      <c r="B23" s="35" t="s">
        <v>21</v>
      </c>
      <c r="C23" s="15">
        <f>SUM(C7:C22)</f>
        <v>27744660</v>
      </c>
      <c r="D23" s="15">
        <f t="shared" ref="D23:H23" si="14">SUM(D7:D22)</f>
        <v>12546662259</v>
      </c>
      <c r="E23" s="15">
        <f t="shared" si="14"/>
        <v>750037454</v>
      </c>
      <c r="F23" s="15">
        <f t="shared" si="14"/>
        <v>-57598319</v>
      </c>
      <c r="G23" s="15">
        <f t="shared" si="14"/>
        <v>114767523</v>
      </c>
      <c r="H23" s="15">
        <f t="shared" si="14"/>
        <v>807206658</v>
      </c>
      <c r="I23" s="17"/>
      <c r="J23" s="15">
        <f>SUM(J7:J22)</f>
        <v>696000</v>
      </c>
      <c r="K23" s="15">
        <f t="shared" ref="K23:P23" si="15">SUM(K7:K22)</f>
        <v>508080000</v>
      </c>
      <c r="L23" s="15">
        <f t="shared" si="15"/>
        <v>4189919.9999999995</v>
      </c>
      <c r="M23" s="15">
        <f t="shared" si="15"/>
        <v>23888079.809999999</v>
      </c>
      <c r="N23" s="15">
        <f t="shared" si="15"/>
        <v>-2361378.6648940532</v>
      </c>
      <c r="O23" s="15">
        <f t="shared" si="15"/>
        <v>4262371.6072218148</v>
      </c>
      <c r="P23" s="15">
        <f t="shared" si="15"/>
        <v>29978992.752327763</v>
      </c>
      <c r="Q23" s="12"/>
      <c r="R23" s="23">
        <f>SUM(R7:R22)</f>
        <v>27048660</v>
      </c>
      <c r="S23" s="23">
        <f>SUM(S7:S22)</f>
        <v>12038582259</v>
      </c>
      <c r="T23" s="24">
        <f>SUM(T7:T22)</f>
        <v>1</v>
      </c>
      <c r="U23" s="24">
        <f>SUM(U7:U22)</f>
        <v>0.99999999999999989</v>
      </c>
      <c r="V23" s="12"/>
      <c r="W23" s="23">
        <f>SUM(W7:W22)</f>
        <v>4189919.9999999995</v>
      </c>
      <c r="X23" s="23">
        <f>SUM(X7:X22)</f>
        <v>9849079.9049999993</v>
      </c>
      <c r="Y23" s="54">
        <f>SUM(Y7:Y22)</f>
        <v>0</v>
      </c>
      <c r="Z23" s="23">
        <f>SUM(Z7:Z22)</f>
        <v>4262371.6072218148</v>
      </c>
      <c r="AA23" s="23">
        <f>SUM(AA7:AA22)</f>
        <v>18301371.512221813</v>
      </c>
      <c r="AB23" s="12"/>
      <c r="AC23" s="23">
        <f>SUM(AC7:AC22)</f>
        <v>4189919.9999999995</v>
      </c>
      <c r="AD23" s="23">
        <f>SUM(AD7:AD22)</f>
        <v>9849079.9049999993</v>
      </c>
      <c r="AE23" s="23">
        <f>SUM(AE7:AE22)</f>
        <v>-2361378.6648940532</v>
      </c>
      <c r="AF23" s="23">
        <f>SUM(AF7:AF22)</f>
        <v>4262371.6072218148</v>
      </c>
      <c r="AG23" s="23">
        <f>SUM(AG7:AG22)</f>
        <v>15939992.847327759</v>
      </c>
      <c r="AI23" s="26">
        <f t="shared" si="11"/>
        <v>2.2672473437677979E-2</v>
      </c>
      <c r="AJ23" s="26">
        <f t="shared" si="12"/>
        <v>1.9747102788797561E-2</v>
      </c>
      <c r="AL23" s="13"/>
    </row>
    <row r="24" spans="1:38" ht="15" customHeight="1" x14ac:dyDescent="0.2">
      <c r="E24" s="28"/>
      <c r="AA24" s="14"/>
      <c r="AG24" s="14"/>
      <c r="AL24" s="13"/>
    </row>
    <row r="25" spans="1:38" ht="15" customHeight="1" x14ac:dyDescent="0.2">
      <c r="L25" s="10" t="s">
        <v>49</v>
      </c>
      <c r="M25" s="16">
        <f>M23+L23</f>
        <v>28077999.809999999</v>
      </c>
      <c r="O25" s="10" t="s">
        <v>51</v>
      </c>
      <c r="P25" s="11">
        <f>P23</f>
        <v>29978992.752327763</v>
      </c>
      <c r="R25" s="13"/>
      <c r="S25" s="13"/>
      <c r="W25" s="12" t="s">
        <v>49</v>
      </c>
      <c r="X25" s="16">
        <f>X23+W23</f>
        <v>14038999.904999999</v>
      </c>
      <c r="AC25" s="12" t="s">
        <v>49</v>
      </c>
      <c r="AD25" s="16">
        <f>AD23+AC23</f>
        <v>14038999.904999999</v>
      </c>
      <c r="AL25" s="13"/>
    </row>
    <row r="26" spans="1:38" ht="15" customHeight="1" x14ac:dyDescent="0.2">
      <c r="R26" s="13"/>
      <c r="S26" s="13"/>
      <c r="W26" s="12" t="s">
        <v>50</v>
      </c>
      <c r="X26" s="14">
        <f>X25/M25</f>
        <v>0.5</v>
      </c>
      <c r="AC26" s="12" t="s">
        <v>50</v>
      </c>
      <c r="AD26" s="14">
        <f>AD25/M25</f>
        <v>0.5</v>
      </c>
    </row>
    <row r="29" spans="1:38" ht="27" customHeight="1" x14ac:dyDescent="0.2"/>
  </sheetData>
  <mergeCells count="6">
    <mergeCell ref="AI4:AJ4"/>
    <mergeCell ref="C4:H4"/>
    <mergeCell ref="J4:P4"/>
    <mergeCell ref="R4:U4"/>
    <mergeCell ref="W4:AA4"/>
    <mergeCell ref="AC4:AG4"/>
  </mergeCells>
  <printOptions horizontalCentered="1"/>
  <pageMargins left="0.75" right="0.75" top="1.25" bottom="0.75" header="0.8" footer="0.3"/>
  <pageSetup orientation="landscape" r:id="rId1"/>
  <headerFooter>
    <oddFooter>&amp;R&amp;"Arial,Bold"Exhibit JW-2
Page &amp;P of &amp;N</oddFooter>
  </headerFooter>
  <colBreaks count="3" manualBreakCount="3">
    <brk id="9" max="23" man="1"/>
    <brk id="17" max="23" man="1"/>
    <brk id="33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Cost Shift</vt:lpstr>
      <vt:lpstr>Input Data</vt:lpstr>
      <vt:lpstr>Table2</vt:lpstr>
      <vt:lpstr>Table3</vt:lpstr>
      <vt:lpstr>'Cost Shift'!Print_Area</vt:lpstr>
      <vt:lpstr>'Input Data'!Print_Area</vt:lpstr>
      <vt:lpstr>Table2!Print_Area</vt:lpstr>
      <vt:lpstr>Table3!Print_Area</vt:lpstr>
      <vt:lpstr>'Cost Shift'!Print_Titles</vt:lpstr>
      <vt:lpstr>Table2!Print_Titles</vt:lpstr>
      <vt:lpstr>Table3!Print_Titles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DataWindow</dc:title>
  <dc:creator>John Wolfram</dc:creator>
  <cp:lastModifiedBy>John Wolfram</cp:lastModifiedBy>
  <cp:lastPrinted>2018-05-22T21:11:33Z</cp:lastPrinted>
  <dcterms:created xsi:type="dcterms:W3CDTF">2018-02-22T09:00:20Z</dcterms:created>
  <dcterms:modified xsi:type="dcterms:W3CDTF">2018-05-22T21:11:49Z</dcterms:modified>
</cp:coreProperties>
</file>