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ricing\Share\000 - PSC Cases\PSC Case 2018-00050 - South KY\DR to EKPC dated 04-18-18\So KY DR to EKPC dated 04-18-18\"/>
    </mc:Choice>
  </mc:AlternateContent>
  <bookViews>
    <workbookView xWindow="0" yWindow="0" windowWidth="28800" windowHeight="12900" tabRatio="633" firstSheet="2" activeTab="7"/>
  </bookViews>
  <sheets>
    <sheet name="Billing Impact" sheetId="1" r:id="rId1"/>
    <sheet name="Calculation on 58MW" sheetId="2" r:id="rId2"/>
    <sheet name="FAC Recalc" sheetId="4" r:id="rId3"/>
    <sheet name="Demand-Energy Alloc - Before" sheetId="5" r:id="rId4"/>
    <sheet name="Demand-Energy Alloc - After" sheetId="6" r:id="rId5"/>
    <sheet name="Surcharge - Members - Before" sheetId="3" r:id="rId6"/>
    <sheet name="Surcharge - Members - After" sheetId="7" r:id="rId7"/>
    <sheet name="Summary" sheetId="8"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4" i="8" l="1"/>
  <c r="O133" i="8"/>
  <c r="O131" i="8"/>
  <c r="O130" i="8"/>
  <c r="O128" i="8"/>
  <c r="O126" i="8"/>
  <c r="O124" i="8"/>
  <c r="O122" i="8"/>
  <c r="O120" i="8"/>
  <c r="O118" i="8"/>
  <c r="O116" i="8"/>
  <c r="O114" i="8"/>
  <c r="O112" i="8"/>
  <c r="O110" i="8"/>
  <c r="O108" i="8"/>
  <c r="O106" i="8"/>
  <c r="O104" i="8"/>
  <c r="O102" i="8"/>
  <c r="O100" i="8"/>
  <c r="O98" i="8"/>
  <c r="N134" i="8"/>
  <c r="N133" i="8"/>
  <c r="N131" i="8"/>
  <c r="N130" i="8"/>
  <c r="N128" i="8"/>
  <c r="N126" i="8"/>
  <c r="N124" i="8"/>
  <c r="N122" i="8"/>
  <c r="N120" i="8"/>
  <c r="N118" i="8"/>
  <c r="N116" i="8"/>
  <c r="N114" i="8"/>
  <c r="N112" i="8"/>
  <c r="N110" i="8"/>
  <c r="N108" i="8"/>
  <c r="N106" i="8"/>
  <c r="N104" i="8"/>
  <c r="N102" i="8"/>
  <c r="N100" i="8"/>
  <c r="N98" i="8"/>
  <c r="M134" i="8"/>
  <c r="M133" i="8"/>
  <c r="M131" i="8"/>
  <c r="M130" i="8"/>
  <c r="M128" i="8"/>
  <c r="M126" i="8"/>
  <c r="M124" i="8"/>
  <c r="M122" i="8"/>
  <c r="M120" i="8"/>
  <c r="M118" i="8"/>
  <c r="M116" i="8"/>
  <c r="M114" i="8"/>
  <c r="M112" i="8"/>
  <c r="M110" i="8"/>
  <c r="M108" i="8"/>
  <c r="M106" i="8"/>
  <c r="M104" i="8"/>
  <c r="M102" i="8"/>
  <c r="M100" i="8"/>
  <c r="M98" i="8"/>
  <c r="K134" i="8"/>
  <c r="K133" i="8"/>
  <c r="K131" i="8"/>
  <c r="K130" i="8"/>
  <c r="K128" i="8"/>
  <c r="K126" i="8"/>
  <c r="K124" i="8"/>
  <c r="K122" i="8"/>
  <c r="K120" i="8"/>
  <c r="K118" i="8"/>
  <c r="K116" i="8"/>
  <c r="K114" i="8"/>
  <c r="K112" i="8"/>
  <c r="K110" i="8"/>
  <c r="K108" i="8"/>
  <c r="K106" i="8"/>
  <c r="K104" i="8"/>
  <c r="K102" i="8"/>
  <c r="K100" i="8"/>
  <c r="K98" i="8"/>
  <c r="J134" i="8"/>
  <c r="J133" i="8"/>
  <c r="J131" i="8"/>
  <c r="J130" i="8"/>
  <c r="J128" i="8"/>
  <c r="J126" i="8"/>
  <c r="J124" i="8"/>
  <c r="J122" i="8"/>
  <c r="J120" i="8"/>
  <c r="J118" i="8"/>
  <c r="J116" i="8"/>
  <c r="J114" i="8"/>
  <c r="J112" i="8"/>
  <c r="J110" i="8"/>
  <c r="J108" i="8"/>
  <c r="J106" i="8"/>
  <c r="J104" i="8"/>
  <c r="J102" i="8"/>
  <c r="J100" i="8"/>
  <c r="J98" i="8"/>
  <c r="I134" i="8"/>
  <c r="I133" i="8"/>
  <c r="I131" i="8"/>
  <c r="I130" i="8"/>
  <c r="I128" i="8"/>
  <c r="I126" i="8"/>
  <c r="I124" i="8"/>
  <c r="I122" i="8"/>
  <c r="I120" i="8"/>
  <c r="I118" i="8"/>
  <c r="I116" i="8"/>
  <c r="I114" i="8"/>
  <c r="I112" i="8"/>
  <c r="I110" i="8"/>
  <c r="I108" i="8"/>
  <c r="I106" i="8"/>
  <c r="I104" i="8"/>
  <c r="I102" i="8"/>
  <c r="I100" i="8"/>
  <c r="I98" i="8"/>
  <c r="G134" i="8"/>
  <c r="G133" i="8"/>
  <c r="G131" i="8"/>
  <c r="G130" i="8"/>
  <c r="G128" i="8"/>
  <c r="G126" i="8"/>
  <c r="G124" i="8"/>
  <c r="G122" i="8"/>
  <c r="G120" i="8"/>
  <c r="G118" i="8"/>
  <c r="G116" i="8"/>
  <c r="G114" i="8"/>
  <c r="G112" i="8"/>
  <c r="G110" i="8"/>
  <c r="G108" i="8"/>
  <c r="G106" i="8"/>
  <c r="G104" i="8"/>
  <c r="G102" i="8"/>
  <c r="G100" i="8"/>
  <c r="G98" i="8"/>
  <c r="F134" i="8"/>
  <c r="F133" i="8"/>
  <c r="F131" i="8"/>
  <c r="F130" i="8"/>
  <c r="F128" i="8"/>
  <c r="F126" i="8"/>
  <c r="F124" i="8"/>
  <c r="F122" i="8"/>
  <c r="F120" i="8"/>
  <c r="F118" i="8"/>
  <c r="F116" i="8"/>
  <c r="F114" i="8"/>
  <c r="F112" i="8"/>
  <c r="F110" i="8"/>
  <c r="F108" i="8"/>
  <c r="F106" i="8"/>
  <c r="F104" i="8"/>
  <c r="F102" i="8"/>
  <c r="F100" i="8"/>
  <c r="F98" i="8"/>
  <c r="E134" i="8"/>
  <c r="E133" i="8"/>
  <c r="E131" i="8"/>
  <c r="E130" i="8"/>
  <c r="E128" i="8"/>
  <c r="E126" i="8"/>
  <c r="E124" i="8"/>
  <c r="E122" i="8"/>
  <c r="E120" i="8"/>
  <c r="E118" i="8"/>
  <c r="E116" i="8"/>
  <c r="E114" i="8"/>
  <c r="E112" i="8"/>
  <c r="E110" i="8"/>
  <c r="E108" i="8"/>
  <c r="E106" i="8"/>
  <c r="E104" i="8"/>
  <c r="E102" i="8"/>
  <c r="E100" i="8"/>
  <c r="E98" i="8"/>
  <c r="D134" i="8"/>
  <c r="D133" i="8"/>
  <c r="D131" i="8"/>
  <c r="D130" i="8"/>
  <c r="D128" i="8"/>
  <c r="D126" i="8"/>
  <c r="D124" i="8"/>
  <c r="D122" i="8"/>
  <c r="D120" i="8"/>
  <c r="D118" i="8"/>
  <c r="D116" i="8"/>
  <c r="D114" i="8"/>
  <c r="D112" i="8"/>
  <c r="D110" i="8"/>
  <c r="D108" i="8"/>
  <c r="D106" i="8"/>
  <c r="D104" i="8"/>
  <c r="D102" i="8"/>
  <c r="D100" i="8"/>
  <c r="D98" i="8"/>
  <c r="C134" i="8"/>
  <c r="C133" i="8"/>
  <c r="C131" i="8"/>
  <c r="C130" i="8"/>
  <c r="C128" i="8"/>
  <c r="C126" i="8"/>
  <c r="C124" i="8"/>
  <c r="C122" i="8"/>
  <c r="C120" i="8"/>
  <c r="C118" i="8"/>
  <c r="C116" i="8"/>
  <c r="C114" i="8"/>
  <c r="C112" i="8"/>
  <c r="C110" i="8"/>
  <c r="C108" i="8"/>
  <c r="C106" i="8"/>
  <c r="C104" i="8"/>
  <c r="C102" i="8"/>
  <c r="C100" i="8"/>
  <c r="C98" i="8"/>
  <c r="A98" i="8"/>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93" i="8"/>
  <c r="A94" i="8"/>
  <c r="A95" i="8" s="1"/>
  <c r="A96" i="8" s="1"/>
  <c r="A97" i="8" s="1"/>
  <c r="C118" i="6" l="1"/>
  <c r="C109" i="6"/>
  <c r="C100" i="6"/>
  <c r="C91" i="6"/>
  <c r="C82" i="6"/>
  <c r="C73" i="6"/>
  <c r="C63" i="6"/>
  <c r="C54" i="6"/>
  <c r="C45" i="6"/>
  <c r="C36" i="6"/>
  <c r="C27" i="6"/>
  <c r="X114" i="6"/>
  <c r="X118" i="6" s="1"/>
  <c r="X112" i="6"/>
  <c r="X103" i="6"/>
  <c r="X105" i="6" s="1"/>
  <c r="X109" i="6" s="1"/>
  <c r="X94" i="6"/>
  <c r="X96" i="6" s="1"/>
  <c r="X100" i="6" s="1"/>
  <c r="X85" i="6"/>
  <c r="X87" i="6" s="1"/>
  <c r="X91" i="6" s="1"/>
  <c r="X76" i="6"/>
  <c r="X78" i="6" s="1"/>
  <c r="X82" i="6" s="1"/>
  <c r="X67" i="6"/>
  <c r="X69" i="6" s="1"/>
  <c r="X73" i="6" s="1"/>
  <c r="X57" i="6"/>
  <c r="X59" i="6" s="1"/>
  <c r="X63" i="6" s="1"/>
  <c r="X48" i="6"/>
  <c r="X50" i="6" s="1"/>
  <c r="X54" i="6" s="1"/>
  <c r="X41" i="6"/>
  <c r="X45" i="6" s="1"/>
  <c r="X39" i="6"/>
  <c r="X30" i="6"/>
  <c r="X32" i="6" s="1"/>
  <c r="X36" i="6" s="1"/>
  <c r="X21" i="6"/>
  <c r="X23" i="6" s="1"/>
  <c r="X27" i="6" s="1"/>
  <c r="C18" i="6"/>
  <c r="C18" i="5"/>
  <c r="X12" i="6"/>
  <c r="X14" i="6" s="1"/>
  <c r="X18" i="6" s="1"/>
  <c r="C118" i="5"/>
  <c r="V112" i="5"/>
  <c r="V114" i="5" s="1"/>
  <c r="V118" i="5" s="1"/>
  <c r="C109" i="5"/>
  <c r="V103" i="5"/>
  <c r="V105" i="5" s="1"/>
  <c r="V109" i="5" s="1"/>
  <c r="C100" i="5"/>
  <c r="V94" i="5"/>
  <c r="C91" i="5"/>
  <c r="V85" i="5"/>
  <c r="V87" i="5" s="1"/>
  <c r="V91" i="5" s="1"/>
  <c r="C82" i="5"/>
  <c r="V76" i="5"/>
  <c r="V78" i="5" s="1"/>
  <c r="V82" i="5" s="1"/>
  <c r="C73" i="5"/>
  <c r="V67" i="5"/>
  <c r="V69" i="5" s="1"/>
  <c r="V73" i="5" s="1"/>
  <c r="C63" i="5"/>
  <c r="V57" i="5"/>
  <c r="V59" i="5" s="1"/>
  <c r="V63" i="5" s="1"/>
  <c r="C54" i="5"/>
  <c r="V48" i="5"/>
  <c r="V50" i="5" s="1"/>
  <c r="V54" i="5" s="1"/>
  <c r="C45" i="5"/>
  <c r="V39" i="5"/>
  <c r="V41" i="5" s="1"/>
  <c r="V45" i="5" s="1"/>
  <c r="C36" i="5"/>
  <c r="V30" i="5"/>
  <c r="V32" i="5" s="1"/>
  <c r="V36" i="5" s="1"/>
  <c r="C27" i="5"/>
  <c r="V21" i="5"/>
  <c r="V96" i="5"/>
  <c r="V100" i="5" s="1"/>
  <c r="V23" i="5"/>
  <c r="V27" i="5" s="1"/>
  <c r="V12" i="5"/>
  <c r="V14" i="5"/>
  <c r="V18" i="5" s="1"/>
  <c r="E169" i="7" l="1"/>
  <c r="E144" i="3"/>
  <c r="F33" i="4" l="1"/>
  <c r="F31" i="4"/>
  <c r="F29" i="4"/>
  <c r="F27" i="4"/>
  <c r="F25" i="4"/>
  <c r="F23" i="4"/>
  <c r="F21" i="4"/>
  <c r="F19" i="4"/>
  <c r="F17" i="4"/>
  <c r="F15" i="4"/>
  <c r="F13" i="4"/>
  <c r="F11" i="4"/>
  <c r="N82" i="8" l="1"/>
  <c r="O82" i="8" s="1"/>
  <c r="N80" i="8"/>
  <c r="O80" i="8" s="1"/>
  <c r="N78" i="8"/>
  <c r="N76" i="8"/>
  <c r="N74" i="8"/>
  <c r="N72" i="8"/>
  <c r="N70" i="8"/>
  <c r="N68" i="8"/>
  <c r="N66" i="8"/>
  <c r="N64" i="8"/>
  <c r="N62" i="8"/>
  <c r="N60" i="8"/>
  <c r="O60" i="8" s="1"/>
  <c r="N58" i="8"/>
  <c r="N56" i="8"/>
  <c r="O56" i="8" s="1"/>
  <c r="N54" i="8"/>
  <c r="M82" i="8"/>
  <c r="M80" i="8"/>
  <c r="M78" i="8"/>
  <c r="O78" i="8" s="1"/>
  <c r="M76" i="8"/>
  <c r="O76" i="8" s="1"/>
  <c r="M74" i="8"/>
  <c r="M72" i="8"/>
  <c r="M70" i="8"/>
  <c r="M68" i="8"/>
  <c r="O68" i="8" s="1"/>
  <c r="M66" i="8"/>
  <c r="M64" i="8"/>
  <c r="M62" i="8"/>
  <c r="M60" i="8"/>
  <c r="M58" i="8"/>
  <c r="M56" i="8"/>
  <c r="M54" i="8"/>
  <c r="O74" i="8"/>
  <c r="O72" i="8"/>
  <c r="O70" i="8"/>
  <c r="O66" i="8"/>
  <c r="O62" i="8"/>
  <c r="O58" i="8"/>
  <c r="O54" i="8"/>
  <c r="AG163" i="7"/>
  <c r="AE163" i="7"/>
  <c r="AE160" i="7"/>
  <c r="AC163" i="7"/>
  <c r="AC160" i="7"/>
  <c r="AA163" i="7"/>
  <c r="AA160" i="7"/>
  <c r="Y163" i="7"/>
  <c r="Y160" i="7"/>
  <c r="W163" i="7"/>
  <c r="W160" i="7"/>
  <c r="U163" i="7"/>
  <c r="U160" i="7"/>
  <c r="S163" i="7"/>
  <c r="S160" i="7"/>
  <c r="Q163" i="7"/>
  <c r="Q160" i="7"/>
  <c r="O163" i="7"/>
  <c r="O160" i="7"/>
  <c r="M163" i="7"/>
  <c r="M160" i="7"/>
  <c r="K163" i="7"/>
  <c r="K160" i="7"/>
  <c r="I163" i="7"/>
  <c r="I160" i="7"/>
  <c r="G163" i="7"/>
  <c r="G160" i="7"/>
  <c r="E163" i="7"/>
  <c r="E160" i="7"/>
  <c r="C163" i="7"/>
  <c r="C160" i="7"/>
  <c r="A159" i="7"/>
  <c r="A160" i="7" s="1"/>
  <c r="A161" i="7" s="1"/>
  <c r="A162" i="7" s="1"/>
  <c r="A163" i="7" s="1"/>
  <c r="A164" i="7" s="1"/>
  <c r="A55" i="8"/>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G139" i="3"/>
  <c r="N38" i="8"/>
  <c r="O38" i="8" s="1"/>
  <c r="N36" i="8"/>
  <c r="N34" i="8"/>
  <c r="N32" i="8"/>
  <c r="N30" i="8"/>
  <c r="N28" i="8"/>
  <c r="N26" i="8"/>
  <c r="N24" i="8"/>
  <c r="N22" i="8"/>
  <c r="N20" i="8"/>
  <c r="O20" i="8" s="1"/>
  <c r="N18" i="8"/>
  <c r="N16" i="8"/>
  <c r="N14" i="8"/>
  <c r="N12" i="8"/>
  <c r="O12" i="8" s="1"/>
  <c r="M38" i="8"/>
  <c r="M36" i="8"/>
  <c r="O36" i="8" s="1"/>
  <c r="M34" i="8"/>
  <c r="O34" i="8" s="1"/>
  <c r="M32" i="8"/>
  <c r="M30" i="8"/>
  <c r="O30" i="8" s="1"/>
  <c r="M28" i="8"/>
  <c r="M26" i="8"/>
  <c r="M24" i="8"/>
  <c r="M22" i="8"/>
  <c r="M20" i="8"/>
  <c r="M18" i="8"/>
  <c r="O18" i="8" s="1"/>
  <c r="M16" i="8"/>
  <c r="M14" i="8"/>
  <c r="M12" i="8"/>
  <c r="O28" i="8"/>
  <c r="O26" i="8"/>
  <c r="O24" i="8"/>
  <c r="O22" i="8"/>
  <c r="AE139" i="3"/>
  <c r="AC139" i="3"/>
  <c r="AA139" i="3"/>
  <c r="Y139" i="3"/>
  <c r="W139" i="3"/>
  <c r="U139" i="3"/>
  <c r="S139" i="3"/>
  <c r="Q139" i="3"/>
  <c r="O139" i="3"/>
  <c r="M139" i="3"/>
  <c r="K139" i="3"/>
  <c r="I139" i="3"/>
  <c r="G139" i="3"/>
  <c r="E139" i="3"/>
  <c r="C139" i="3"/>
  <c r="A138" i="3"/>
  <c r="A139" i="3" s="1"/>
  <c r="A140" i="3" s="1"/>
  <c r="A141" i="3" s="1"/>
  <c r="A142" i="3" s="1"/>
  <c r="O10" i="8"/>
  <c r="N10" i="8"/>
  <c r="M10" i="8"/>
  <c r="AE136" i="3"/>
  <c r="AC136" i="3"/>
  <c r="AA136" i="3"/>
  <c r="Y136" i="3"/>
  <c r="W136" i="3"/>
  <c r="U136" i="3"/>
  <c r="S136" i="3"/>
  <c r="Q136" i="3"/>
  <c r="O136" i="3"/>
  <c r="M136" i="3"/>
  <c r="K136" i="3"/>
  <c r="I136" i="3"/>
  <c r="G136" i="3"/>
  <c r="E136" i="3"/>
  <c r="C136" i="3"/>
  <c r="E45" i="8"/>
  <c r="A3" i="8"/>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2" i="8"/>
  <c r="N84" i="8" l="1"/>
  <c r="M84" i="8"/>
  <c r="O64" i="8"/>
  <c r="O32" i="8"/>
  <c r="O16" i="8"/>
  <c r="O14" i="8"/>
  <c r="N40" i="8"/>
  <c r="M40" i="8"/>
  <c r="O84" i="8" l="1"/>
  <c r="O40" i="8"/>
  <c r="C150" i="7" l="1"/>
  <c r="E150" i="7" s="1"/>
  <c r="G150" i="7" s="1"/>
  <c r="I150" i="7" s="1"/>
  <c r="AE145" i="7"/>
  <c r="AC145" i="7"/>
  <c r="Y145" i="7"/>
  <c r="W145" i="7"/>
  <c r="U145" i="7"/>
  <c r="S145" i="7"/>
  <c r="Q145" i="7"/>
  <c r="O145" i="7"/>
  <c r="K145" i="7"/>
  <c r="I145" i="7"/>
  <c r="G145" i="7"/>
  <c r="E145" i="7"/>
  <c r="C145" i="7"/>
  <c r="AA144" i="7"/>
  <c r="M144" i="7"/>
  <c r="M145" i="7" s="1"/>
  <c r="AA143" i="7"/>
  <c r="AA145" i="7" s="1"/>
  <c r="M143" i="7"/>
  <c r="C138" i="7"/>
  <c r="E138" i="7" s="1"/>
  <c r="G138" i="7" s="1"/>
  <c r="I138" i="7" s="1"/>
  <c r="K138" i="7" s="1"/>
  <c r="M138" i="7" s="1"/>
  <c r="O138" i="7" s="1"/>
  <c r="AE133" i="7"/>
  <c r="AC133" i="7"/>
  <c r="Y133" i="7"/>
  <c r="W133" i="7"/>
  <c r="U133" i="7"/>
  <c r="S133" i="7"/>
  <c r="Q133" i="7"/>
  <c r="O133" i="7"/>
  <c r="K133" i="7"/>
  <c r="I133" i="7"/>
  <c r="G133" i="7"/>
  <c r="E133" i="7"/>
  <c r="C133" i="7"/>
  <c r="AA132" i="7"/>
  <c r="M132" i="7"/>
  <c r="M133" i="7" s="1"/>
  <c r="AA131" i="7"/>
  <c r="AA133" i="7" s="1"/>
  <c r="M131" i="7"/>
  <c r="C126" i="7"/>
  <c r="E126" i="7" s="1"/>
  <c r="G126" i="7" s="1"/>
  <c r="I126" i="7" s="1"/>
  <c r="K126" i="7" s="1"/>
  <c r="M126" i="7" s="1"/>
  <c r="O126" i="7" s="1"/>
  <c r="Q126" i="7" s="1"/>
  <c r="AE121" i="7"/>
  <c r="AC121" i="7"/>
  <c r="AA121" i="7"/>
  <c r="Y121" i="7"/>
  <c r="W121" i="7"/>
  <c r="U121" i="7"/>
  <c r="S121" i="7"/>
  <c r="Q121" i="7"/>
  <c r="O121" i="7"/>
  <c r="K121" i="7"/>
  <c r="I121" i="7"/>
  <c r="G121" i="7"/>
  <c r="E121" i="7"/>
  <c r="C121" i="7"/>
  <c r="AA120" i="7"/>
  <c r="M120" i="7"/>
  <c r="AA119" i="7"/>
  <c r="M119" i="7"/>
  <c r="M121" i="7" s="1"/>
  <c r="C114" i="7"/>
  <c r="E114" i="7" s="1"/>
  <c r="G114" i="7" s="1"/>
  <c r="I114" i="7" s="1"/>
  <c r="K114" i="7" s="1"/>
  <c r="M114" i="7" s="1"/>
  <c r="O114" i="7" s="1"/>
  <c r="Q114" i="7" s="1"/>
  <c r="S114" i="7" s="1"/>
  <c r="U114" i="7" s="1"/>
  <c r="W114" i="7" s="1"/>
  <c r="Y114" i="7" s="1"/>
  <c r="AE109" i="7"/>
  <c r="AC109" i="7"/>
  <c r="Y109" i="7"/>
  <c r="W109" i="7"/>
  <c r="U109" i="7"/>
  <c r="S109" i="7"/>
  <c r="Q109" i="7"/>
  <c r="O109" i="7"/>
  <c r="K109" i="7"/>
  <c r="I109" i="7"/>
  <c r="G109" i="7"/>
  <c r="E109" i="7"/>
  <c r="C109" i="7"/>
  <c r="AA108" i="7"/>
  <c r="M108" i="7"/>
  <c r="AA107" i="7"/>
  <c r="M107" i="7"/>
  <c r="M109" i="7" s="1"/>
  <c r="C102" i="7"/>
  <c r="E102" i="7" s="1"/>
  <c r="G102" i="7" s="1"/>
  <c r="I102" i="7" s="1"/>
  <c r="AE97" i="7"/>
  <c r="AC97" i="7"/>
  <c r="Y97" i="7"/>
  <c r="W97" i="7"/>
  <c r="U97" i="7"/>
  <c r="S97" i="7"/>
  <c r="Q97" i="7"/>
  <c r="O97" i="7"/>
  <c r="M97" i="7"/>
  <c r="K97" i="7"/>
  <c r="I97" i="7"/>
  <c r="G97" i="7"/>
  <c r="E97" i="7"/>
  <c r="C97" i="7"/>
  <c r="AA96" i="7"/>
  <c r="M96" i="7"/>
  <c r="AA95" i="7"/>
  <c r="AA97" i="7" s="1"/>
  <c r="M95" i="7"/>
  <c r="C90" i="7"/>
  <c r="E90" i="7" s="1"/>
  <c r="G90" i="7" s="1"/>
  <c r="I90" i="7" s="1"/>
  <c r="K90" i="7" s="1"/>
  <c r="M90" i="7" s="1"/>
  <c r="O90" i="7" s="1"/>
  <c r="Q90" i="7" s="1"/>
  <c r="S90" i="7" s="1"/>
  <c r="U90" i="7" s="1"/>
  <c r="W90" i="7" s="1"/>
  <c r="Y90" i="7" s="1"/>
  <c r="AA90" i="7" s="1"/>
  <c r="AC90" i="7" s="1"/>
  <c r="AE85" i="7"/>
  <c r="AC85" i="7"/>
  <c r="Y85" i="7"/>
  <c r="W85" i="7"/>
  <c r="U85" i="7"/>
  <c r="S85" i="7"/>
  <c r="Q85" i="7"/>
  <c r="O85" i="7"/>
  <c r="K85" i="7"/>
  <c r="I85" i="7"/>
  <c r="G85" i="7"/>
  <c r="E85" i="7"/>
  <c r="C85" i="7"/>
  <c r="AA84" i="7"/>
  <c r="AA85" i="7" s="1"/>
  <c r="M84" i="7"/>
  <c r="AA83" i="7"/>
  <c r="M83" i="7"/>
  <c r="M85" i="7" s="1"/>
  <c r="C78" i="7"/>
  <c r="AE73" i="7"/>
  <c r="AC73" i="7"/>
  <c r="AA73" i="7"/>
  <c r="Y73" i="7"/>
  <c r="W73" i="7"/>
  <c r="U73" i="7"/>
  <c r="S73" i="7"/>
  <c r="Q73" i="7"/>
  <c r="O73" i="7"/>
  <c r="K73" i="7"/>
  <c r="I73" i="7"/>
  <c r="G73" i="7"/>
  <c r="E73" i="7"/>
  <c r="C73" i="7"/>
  <c r="AA72" i="7"/>
  <c r="M72" i="7"/>
  <c r="AA71" i="7"/>
  <c r="M71" i="7"/>
  <c r="M73" i="7" s="1"/>
  <c r="C66" i="7"/>
  <c r="E66" i="7" s="1"/>
  <c r="G66" i="7" s="1"/>
  <c r="AE61" i="7"/>
  <c r="AC61" i="7"/>
  <c r="Y61" i="7"/>
  <c r="W61" i="7"/>
  <c r="U61" i="7"/>
  <c r="S61" i="7"/>
  <c r="Q61" i="7"/>
  <c r="O61" i="7"/>
  <c r="K61" i="7"/>
  <c r="I61" i="7"/>
  <c r="G61" i="7"/>
  <c r="E61" i="7"/>
  <c r="C61" i="7"/>
  <c r="AA60" i="7"/>
  <c r="M60" i="7"/>
  <c r="AA59" i="7"/>
  <c r="AA61" i="7" s="1"/>
  <c r="M59" i="7"/>
  <c r="M61" i="7" s="1"/>
  <c r="C54" i="7"/>
  <c r="E54" i="7" s="1"/>
  <c r="G54" i="7" s="1"/>
  <c r="I54" i="7" s="1"/>
  <c r="AE49" i="7"/>
  <c r="AC49" i="7"/>
  <c r="Y49" i="7"/>
  <c r="W49" i="7"/>
  <c r="U49" i="7"/>
  <c r="S49" i="7"/>
  <c r="Q49" i="7"/>
  <c r="O49" i="7"/>
  <c r="K49" i="7"/>
  <c r="I49" i="7"/>
  <c r="G49" i="7"/>
  <c r="E49" i="7"/>
  <c r="C49" i="7"/>
  <c r="AA48" i="7"/>
  <c r="M48" i="7"/>
  <c r="M49" i="7" s="1"/>
  <c r="AA47" i="7"/>
  <c r="M47" i="7"/>
  <c r="C42" i="7"/>
  <c r="E42" i="7" s="1"/>
  <c r="G42" i="7" s="1"/>
  <c r="AE37" i="7"/>
  <c r="AC37" i="7"/>
  <c r="Y37" i="7"/>
  <c r="W37" i="7"/>
  <c r="U37" i="7"/>
  <c r="S37" i="7"/>
  <c r="Q37" i="7"/>
  <c r="O37" i="7"/>
  <c r="K37" i="7"/>
  <c r="I37" i="7"/>
  <c r="G37" i="7"/>
  <c r="E37" i="7"/>
  <c r="C37" i="7"/>
  <c r="AA36" i="7"/>
  <c r="M36" i="7"/>
  <c r="M37" i="7" s="1"/>
  <c r="AA35" i="7"/>
  <c r="M35" i="7"/>
  <c r="C30" i="7"/>
  <c r="E30" i="7" s="1"/>
  <c r="G30" i="7" s="1"/>
  <c r="I30" i="7" s="1"/>
  <c r="K30" i="7" s="1"/>
  <c r="AE25" i="7"/>
  <c r="AC25" i="7"/>
  <c r="Y25" i="7"/>
  <c r="W25" i="7"/>
  <c r="U25" i="7"/>
  <c r="S25" i="7"/>
  <c r="Q25" i="7"/>
  <c r="O25" i="7"/>
  <c r="K25" i="7"/>
  <c r="I25" i="7"/>
  <c r="G25" i="7"/>
  <c r="E25" i="7"/>
  <c r="C25" i="7"/>
  <c r="AA24" i="7"/>
  <c r="AA25" i="7" s="1"/>
  <c r="M24" i="7"/>
  <c r="AA23" i="7"/>
  <c r="M23" i="7"/>
  <c r="M25" i="7" s="1"/>
  <c r="C18" i="7"/>
  <c r="AE13" i="7"/>
  <c r="AC13" i="7"/>
  <c r="AA13" i="7"/>
  <c r="Y13" i="7"/>
  <c r="W13" i="7"/>
  <c r="U13" i="7"/>
  <c r="S13" i="7"/>
  <c r="Q13" i="7"/>
  <c r="O13" i="7"/>
  <c r="K13" i="7"/>
  <c r="I13" i="7"/>
  <c r="G13" i="7"/>
  <c r="E13" i="7"/>
  <c r="C13" i="7"/>
  <c r="AA12" i="7"/>
  <c r="M12" i="7"/>
  <c r="AA11" i="7"/>
  <c r="M11" i="7"/>
  <c r="M13" i="7" s="1"/>
  <c r="A3" i="7"/>
  <c r="A4" i="7" s="1"/>
  <c r="A5" i="7" s="1"/>
  <c r="A6" i="7" s="1"/>
  <c r="A7" i="7" s="1"/>
  <c r="A8" i="7" s="1"/>
  <c r="A9" i="7" s="1"/>
  <c r="A10" i="7" s="1"/>
  <c r="A11" i="7" s="1"/>
  <c r="A12" i="7" s="1"/>
  <c r="A13" i="7" s="1"/>
  <c r="A2" i="7"/>
  <c r="T12" i="6"/>
  <c r="U12" i="6"/>
  <c r="O13" i="6" s="1"/>
  <c r="P114" i="6"/>
  <c r="S114" i="6" s="1"/>
  <c r="S112" i="6"/>
  <c r="P112" i="6"/>
  <c r="S105" i="6"/>
  <c r="P105" i="6"/>
  <c r="P103" i="6"/>
  <c r="S96" i="6"/>
  <c r="P96" i="6"/>
  <c r="P94" i="6"/>
  <c r="P87" i="6"/>
  <c r="S87" i="6" s="1"/>
  <c r="P85" i="6"/>
  <c r="P78" i="6"/>
  <c r="S78" i="6" s="1"/>
  <c r="P76" i="6"/>
  <c r="S76" i="6" s="1"/>
  <c r="P69" i="6"/>
  <c r="S67" i="6"/>
  <c r="P67" i="6"/>
  <c r="S59" i="6"/>
  <c r="P59" i="6"/>
  <c r="S57" i="6"/>
  <c r="P57" i="6"/>
  <c r="P50" i="6"/>
  <c r="P48" i="6"/>
  <c r="S48" i="6" s="1"/>
  <c r="S41" i="6"/>
  <c r="P41" i="6"/>
  <c r="P39" i="6"/>
  <c r="S39" i="6" s="1"/>
  <c r="P32" i="6"/>
  <c r="P30" i="6"/>
  <c r="S30" i="6" s="1"/>
  <c r="S23" i="6"/>
  <c r="P23" i="6"/>
  <c r="P21" i="6"/>
  <c r="S21" i="6" s="1"/>
  <c r="S14" i="6"/>
  <c r="P14" i="6"/>
  <c r="P12" i="6"/>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2" i="6"/>
  <c r="A3" i="6" s="1"/>
  <c r="A4" i="6" s="1"/>
  <c r="A5" i="6" s="1"/>
  <c r="A6" i="6" s="1"/>
  <c r="P114" i="5"/>
  <c r="P112" i="5"/>
  <c r="P105" i="5"/>
  <c r="S105" i="5" s="1"/>
  <c r="K106" i="5" s="1"/>
  <c r="P103" i="5"/>
  <c r="P96" i="5"/>
  <c r="P94" i="5"/>
  <c r="P87" i="5"/>
  <c r="S87" i="5" s="1"/>
  <c r="K88" i="5" s="1"/>
  <c r="P85" i="5"/>
  <c r="S85" i="5" s="1"/>
  <c r="L86" i="5" s="1"/>
  <c r="P78" i="5"/>
  <c r="P76" i="5"/>
  <c r="P69" i="5"/>
  <c r="P67" i="5"/>
  <c r="S59" i="5"/>
  <c r="P59" i="5"/>
  <c r="P57" i="5"/>
  <c r="P50" i="5"/>
  <c r="P48" i="5"/>
  <c r="P41" i="5"/>
  <c r="P39" i="5"/>
  <c r="S39" i="5" s="1"/>
  <c r="K40" i="5" s="1"/>
  <c r="P32" i="5"/>
  <c r="P30" i="5"/>
  <c r="P23" i="5"/>
  <c r="S23" i="5" s="1"/>
  <c r="R24" i="5" s="1"/>
  <c r="P21" i="5"/>
  <c r="S21" i="5" s="1"/>
  <c r="K22" i="5" s="1"/>
  <c r="S41" i="5"/>
  <c r="K42" i="5" s="1"/>
  <c r="S114" i="5"/>
  <c r="K115" i="5" s="1"/>
  <c r="S112" i="5"/>
  <c r="K113" i="5" s="1"/>
  <c r="S103" i="5"/>
  <c r="L104" i="5" s="1"/>
  <c r="S96" i="5"/>
  <c r="K97" i="5" s="1"/>
  <c r="S94" i="5"/>
  <c r="D95" i="5" s="1"/>
  <c r="S78" i="5"/>
  <c r="P79" i="5" s="1"/>
  <c r="S76" i="5"/>
  <c r="Q77" i="5" s="1"/>
  <c r="S69" i="5"/>
  <c r="R70" i="5" s="1"/>
  <c r="S67" i="5"/>
  <c r="L68" i="5" s="1"/>
  <c r="R60" i="5"/>
  <c r="S57" i="5"/>
  <c r="K58" i="5" s="1"/>
  <c r="S50" i="5"/>
  <c r="P51" i="5" s="1"/>
  <c r="S48" i="5"/>
  <c r="Q49" i="5" s="1"/>
  <c r="S32" i="5"/>
  <c r="R33" i="5" s="1"/>
  <c r="S30" i="5"/>
  <c r="K31" i="5" s="1"/>
  <c r="P14" i="5"/>
  <c r="P12" i="5"/>
  <c r="J13" i="6" l="1"/>
  <c r="P13" i="6"/>
  <c r="Q13" i="6"/>
  <c r="D13" i="6"/>
  <c r="R13" i="6"/>
  <c r="H13" i="6"/>
  <c r="T13" i="6"/>
  <c r="I13" i="6"/>
  <c r="A14" i="7"/>
  <c r="A15" i="7" s="1"/>
  <c r="A16" i="7" s="1"/>
  <c r="A17" i="7" s="1"/>
  <c r="A18" i="7" s="1"/>
  <c r="A19" i="7" s="1"/>
  <c r="A20" i="7" s="1"/>
  <c r="A21" i="7" s="1"/>
  <c r="A22" i="7" s="1"/>
  <c r="A23" i="7" s="1"/>
  <c r="A24" i="7" s="1"/>
  <c r="A25" i="7" s="1"/>
  <c r="I42" i="7"/>
  <c r="K42" i="7" s="1"/>
  <c r="M42" i="7" s="1"/>
  <c r="O42" i="7" s="1"/>
  <c r="Q42" i="7" s="1"/>
  <c r="I66" i="7"/>
  <c r="K66" i="7" s="1"/>
  <c r="M66" i="7" s="1"/>
  <c r="O66" i="7" s="1"/>
  <c r="Q66" i="7" s="1"/>
  <c r="S66" i="7" s="1"/>
  <c r="U66" i="7" s="1"/>
  <c r="K54" i="7"/>
  <c r="M54" i="7" s="1"/>
  <c r="O54" i="7" s="1"/>
  <c r="Q54" i="7" s="1"/>
  <c r="S54" i="7" s="1"/>
  <c r="U54" i="7" s="1"/>
  <c r="W54" i="7" s="1"/>
  <c r="Y54" i="7" s="1"/>
  <c r="K102" i="7"/>
  <c r="E18" i="7"/>
  <c r="AA114" i="7"/>
  <c r="AC114" i="7" s="1"/>
  <c r="AE114" i="7" s="1"/>
  <c r="Q138" i="7"/>
  <c r="K150" i="7"/>
  <c r="M150" i="7" s="1"/>
  <c r="O150" i="7" s="1"/>
  <c r="Q150" i="7" s="1"/>
  <c r="S150" i="7" s="1"/>
  <c r="S126" i="7"/>
  <c r="U126" i="7" s="1"/>
  <c r="M30" i="7"/>
  <c r="O30" i="7" s="1"/>
  <c r="Q30" i="7" s="1"/>
  <c r="AE90" i="7"/>
  <c r="AA49" i="7"/>
  <c r="AA109" i="7"/>
  <c r="AA37" i="7"/>
  <c r="E78" i="7"/>
  <c r="G78" i="7" s="1"/>
  <c r="E13" i="6"/>
  <c r="F13" i="6"/>
  <c r="N13" i="6"/>
  <c r="K13" i="6"/>
  <c r="L13" i="6"/>
  <c r="M13" i="6"/>
  <c r="G13" i="6"/>
  <c r="S32" i="6"/>
  <c r="S85" i="6"/>
  <c r="S12" i="6"/>
  <c r="S50" i="6"/>
  <c r="S69" i="6"/>
  <c r="S94" i="6"/>
  <c r="S103" i="6"/>
  <c r="I113" i="5"/>
  <c r="L113" i="5"/>
  <c r="M113" i="5"/>
  <c r="D113" i="5"/>
  <c r="N113" i="5"/>
  <c r="E113" i="5"/>
  <c r="O113" i="5"/>
  <c r="F113" i="5"/>
  <c r="P113" i="5"/>
  <c r="G113" i="5"/>
  <c r="Q113" i="5"/>
  <c r="H113" i="5"/>
  <c r="R106" i="5"/>
  <c r="H106" i="5"/>
  <c r="I106" i="5"/>
  <c r="G106" i="5"/>
  <c r="J106" i="5"/>
  <c r="O106" i="5"/>
  <c r="L106" i="5"/>
  <c r="P106" i="5"/>
  <c r="D106" i="5"/>
  <c r="Q106" i="5"/>
  <c r="H104" i="5"/>
  <c r="I104" i="5"/>
  <c r="J104" i="5"/>
  <c r="P104" i="5"/>
  <c r="Q104" i="5"/>
  <c r="R104" i="5"/>
  <c r="R97" i="5"/>
  <c r="J97" i="5"/>
  <c r="P97" i="5"/>
  <c r="Q97" i="5"/>
  <c r="H97" i="5"/>
  <c r="I97" i="5"/>
  <c r="R95" i="5"/>
  <c r="I95" i="5"/>
  <c r="J95" i="5"/>
  <c r="Q95" i="5"/>
  <c r="N88" i="5"/>
  <c r="L88" i="5"/>
  <c r="M88" i="5"/>
  <c r="D88" i="5"/>
  <c r="E88" i="5"/>
  <c r="P88" i="5"/>
  <c r="F88" i="5"/>
  <c r="Q88" i="5"/>
  <c r="H88" i="5"/>
  <c r="R88" i="5"/>
  <c r="I88" i="5"/>
  <c r="J88" i="5"/>
  <c r="E86" i="5"/>
  <c r="F86" i="5"/>
  <c r="J86" i="5"/>
  <c r="M86" i="5"/>
  <c r="N86" i="5"/>
  <c r="I86" i="5"/>
  <c r="Q86" i="5"/>
  <c r="R86" i="5"/>
  <c r="I79" i="5"/>
  <c r="J79" i="5"/>
  <c r="Q79" i="5"/>
  <c r="R79" i="5"/>
  <c r="J77" i="5"/>
  <c r="R77" i="5"/>
  <c r="O70" i="5"/>
  <c r="I70" i="5"/>
  <c r="P70" i="5"/>
  <c r="Q70" i="5"/>
  <c r="H70" i="5"/>
  <c r="G70" i="5"/>
  <c r="I68" i="5"/>
  <c r="J68" i="5"/>
  <c r="H68" i="5"/>
  <c r="P68" i="5"/>
  <c r="Q68" i="5"/>
  <c r="R68" i="5"/>
  <c r="E58" i="5"/>
  <c r="L58" i="5"/>
  <c r="N58" i="5"/>
  <c r="D58" i="5"/>
  <c r="F58" i="5"/>
  <c r="M58" i="5"/>
  <c r="I51" i="5"/>
  <c r="Q51" i="5"/>
  <c r="R51" i="5"/>
  <c r="J51" i="5"/>
  <c r="J49" i="5"/>
  <c r="R49" i="5"/>
  <c r="M42" i="5"/>
  <c r="O42" i="5"/>
  <c r="L42" i="5"/>
  <c r="G42" i="5"/>
  <c r="H42" i="5"/>
  <c r="D42" i="5"/>
  <c r="E42" i="5"/>
  <c r="P42" i="5"/>
  <c r="J40" i="5"/>
  <c r="P40" i="5"/>
  <c r="Q40" i="5"/>
  <c r="R40" i="5"/>
  <c r="G40" i="5"/>
  <c r="H40" i="5"/>
  <c r="I40" i="5"/>
  <c r="L40" i="5"/>
  <c r="D40" i="5"/>
  <c r="M40" i="5"/>
  <c r="E40" i="5"/>
  <c r="N40" i="5"/>
  <c r="F40" i="5"/>
  <c r="O40" i="5"/>
  <c r="N31" i="5"/>
  <c r="D31" i="5"/>
  <c r="E31" i="5"/>
  <c r="F31" i="5"/>
  <c r="L31" i="5"/>
  <c r="M31" i="5"/>
  <c r="D22" i="5"/>
  <c r="L22" i="5"/>
  <c r="F42" i="5"/>
  <c r="N42" i="5"/>
  <c r="I42" i="5"/>
  <c r="Q42" i="5"/>
  <c r="J42" i="5"/>
  <c r="R42" i="5"/>
  <c r="E115" i="5"/>
  <c r="M115" i="5"/>
  <c r="F115" i="5"/>
  <c r="N115" i="5"/>
  <c r="G115" i="5"/>
  <c r="H115" i="5"/>
  <c r="P115" i="5"/>
  <c r="J113" i="5"/>
  <c r="R113" i="5"/>
  <c r="I115" i="5"/>
  <c r="Q115" i="5"/>
  <c r="D115" i="5"/>
  <c r="L115" i="5"/>
  <c r="O115" i="5"/>
  <c r="J115" i="5"/>
  <c r="R115" i="5"/>
  <c r="E104" i="5"/>
  <c r="M104" i="5"/>
  <c r="F104" i="5"/>
  <c r="N104" i="5"/>
  <c r="E106" i="5"/>
  <c r="M106" i="5"/>
  <c r="G104" i="5"/>
  <c r="O104" i="5"/>
  <c r="F106" i="5"/>
  <c r="N106" i="5"/>
  <c r="K104" i="5"/>
  <c r="D104" i="5"/>
  <c r="L95" i="5"/>
  <c r="E95" i="5"/>
  <c r="M95" i="5"/>
  <c r="D97" i="5"/>
  <c r="L97" i="5"/>
  <c r="F95" i="5"/>
  <c r="N95" i="5"/>
  <c r="E97" i="5"/>
  <c r="M97" i="5"/>
  <c r="G95" i="5"/>
  <c r="O95" i="5"/>
  <c r="F97" i="5"/>
  <c r="N97" i="5"/>
  <c r="H95" i="5"/>
  <c r="P95" i="5"/>
  <c r="G97" i="5"/>
  <c r="O97" i="5"/>
  <c r="K95" i="5"/>
  <c r="G86" i="5"/>
  <c r="O86" i="5"/>
  <c r="H86" i="5"/>
  <c r="P86" i="5"/>
  <c r="G88" i="5"/>
  <c r="O88" i="5"/>
  <c r="K86" i="5"/>
  <c r="D86" i="5"/>
  <c r="E77" i="5"/>
  <c r="L79" i="5"/>
  <c r="N77" i="5"/>
  <c r="M79" i="5"/>
  <c r="G77" i="5"/>
  <c r="F79" i="5"/>
  <c r="H77" i="5"/>
  <c r="P77" i="5"/>
  <c r="G79" i="5"/>
  <c r="O79" i="5"/>
  <c r="K77" i="5"/>
  <c r="D77" i="5"/>
  <c r="L77" i="5"/>
  <c r="K79" i="5"/>
  <c r="M77" i="5"/>
  <c r="D79" i="5"/>
  <c r="F77" i="5"/>
  <c r="E79" i="5"/>
  <c r="O77" i="5"/>
  <c r="N79" i="5"/>
  <c r="I77" i="5"/>
  <c r="H79" i="5"/>
  <c r="D68" i="5"/>
  <c r="K70" i="5"/>
  <c r="E68" i="5"/>
  <c r="M68" i="5"/>
  <c r="D70" i="5"/>
  <c r="L70" i="5"/>
  <c r="F68" i="5"/>
  <c r="N68" i="5"/>
  <c r="E70" i="5"/>
  <c r="M70" i="5"/>
  <c r="G68" i="5"/>
  <c r="O68" i="5"/>
  <c r="F70" i="5"/>
  <c r="N70" i="5"/>
  <c r="K68" i="5"/>
  <c r="J70" i="5"/>
  <c r="K60" i="5"/>
  <c r="M60" i="5"/>
  <c r="O58" i="5"/>
  <c r="H58" i="5"/>
  <c r="P58" i="5"/>
  <c r="G60" i="5"/>
  <c r="O60" i="5"/>
  <c r="E60" i="5"/>
  <c r="G58" i="5"/>
  <c r="F60" i="5"/>
  <c r="N60" i="5"/>
  <c r="I58" i="5"/>
  <c r="Q58" i="5"/>
  <c r="H60" i="5"/>
  <c r="P60" i="5"/>
  <c r="J58" i="5"/>
  <c r="R58" i="5"/>
  <c r="I60" i="5"/>
  <c r="Q60" i="5"/>
  <c r="D60" i="5"/>
  <c r="L60" i="5"/>
  <c r="J60" i="5"/>
  <c r="D49" i="5"/>
  <c r="L49" i="5"/>
  <c r="K51" i="5"/>
  <c r="M49" i="5"/>
  <c r="N49" i="5"/>
  <c r="M51" i="5"/>
  <c r="O49" i="5"/>
  <c r="K49" i="5"/>
  <c r="E49" i="5"/>
  <c r="D51" i="5"/>
  <c r="L51" i="5"/>
  <c r="F49" i="5"/>
  <c r="E51" i="5"/>
  <c r="G49" i="5"/>
  <c r="F51" i="5"/>
  <c r="N51" i="5"/>
  <c r="H49" i="5"/>
  <c r="P49" i="5"/>
  <c r="G51" i="5"/>
  <c r="O51" i="5"/>
  <c r="I49" i="5"/>
  <c r="H51" i="5"/>
  <c r="K33" i="5"/>
  <c r="D33" i="5"/>
  <c r="E33" i="5"/>
  <c r="M33" i="5"/>
  <c r="G31" i="5"/>
  <c r="O31" i="5"/>
  <c r="F33" i="5"/>
  <c r="N33" i="5"/>
  <c r="H31" i="5"/>
  <c r="P31" i="5"/>
  <c r="G33" i="5"/>
  <c r="O33" i="5"/>
  <c r="I31" i="5"/>
  <c r="Q31" i="5"/>
  <c r="H33" i="5"/>
  <c r="P33" i="5"/>
  <c r="J31" i="5"/>
  <c r="R31" i="5"/>
  <c r="I33" i="5"/>
  <c r="Q33" i="5"/>
  <c r="L33" i="5"/>
  <c r="J33" i="5"/>
  <c r="K24" i="5"/>
  <c r="E22" i="5"/>
  <c r="M22" i="5"/>
  <c r="D24" i="5"/>
  <c r="L24" i="5"/>
  <c r="F22" i="5"/>
  <c r="N22" i="5"/>
  <c r="E24" i="5"/>
  <c r="M24" i="5"/>
  <c r="G22" i="5"/>
  <c r="O22" i="5"/>
  <c r="F24" i="5"/>
  <c r="N24" i="5"/>
  <c r="H22" i="5"/>
  <c r="P22" i="5"/>
  <c r="G24" i="5"/>
  <c r="O24" i="5"/>
  <c r="I22" i="5"/>
  <c r="Q22" i="5"/>
  <c r="H24" i="5"/>
  <c r="P24" i="5"/>
  <c r="J22" i="5"/>
  <c r="R22" i="5"/>
  <c r="I24" i="5"/>
  <c r="Q24" i="5"/>
  <c r="J24" i="5"/>
  <c r="S14" i="5"/>
  <c r="N15" i="5" s="1"/>
  <c r="S12" i="5"/>
  <c r="M13" i="5" s="1"/>
  <c r="A111" i="5"/>
  <c r="A112" i="5" s="1"/>
  <c r="A113" i="5" s="1"/>
  <c r="A114" i="5" s="1"/>
  <c r="A115" i="5" s="1"/>
  <c r="A116" i="5" s="1"/>
  <c r="A117" i="5" s="1"/>
  <c r="A118" i="5" s="1"/>
  <c r="A119" i="5" s="1"/>
  <c r="A120" i="5" s="1"/>
  <c r="A121" i="5" s="1"/>
  <c r="A122" i="5" s="1"/>
  <c r="A123" i="5" s="1"/>
  <c r="A124" i="5" s="1"/>
  <c r="A125" i="5" s="1"/>
  <c r="A51" i="5"/>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3" i="5"/>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2" i="5"/>
  <c r="AH141" i="4"/>
  <c r="AG141" i="4"/>
  <c r="AE141" i="4"/>
  <c r="AC141" i="4"/>
  <c r="AA141" i="4"/>
  <c r="Y141" i="4"/>
  <c r="W141" i="4"/>
  <c r="U141" i="4"/>
  <c r="S141" i="4"/>
  <c r="Q141" i="4"/>
  <c r="O141" i="4"/>
  <c r="M141" i="4"/>
  <c r="K141" i="4"/>
  <c r="I141" i="4"/>
  <c r="G141" i="4"/>
  <c r="E141" i="4"/>
  <c r="C141" i="4"/>
  <c r="A143" i="4"/>
  <c r="AH132" i="4"/>
  <c r="AA133" i="4"/>
  <c r="AA132" i="4"/>
  <c r="Y133" i="4"/>
  <c r="Y132" i="4"/>
  <c r="M133" i="4"/>
  <c r="M132" i="4"/>
  <c r="AH124" i="4"/>
  <c r="AA125" i="4"/>
  <c r="AA124" i="4"/>
  <c r="Y125" i="4"/>
  <c r="Y124" i="4"/>
  <c r="M125" i="4"/>
  <c r="M124" i="4"/>
  <c r="AH116" i="4"/>
  <c r="AA117" i="4"/>
  <c r="AA116" i="4"/>
  <c r="Y117" i="4"/>
  <c r="Y116" i="4"/>
  <c r="M117" i="4"/>
  <c r="M116" i="4"/>
  <c r="AH108" i="4"/>
  <c r="AA109" i="4"/>
  <c r="AA108" i="4"/>
  <c r="Y109" i="4"/>
  <c r="Y108" i="4"/>
  <c r="M109" i="4"/>
  <c r="M108" i="4"/>
  <c r="F35" i="4"/>
  <c r="A39" i="4"/>
  <c r="A38" i="4"/>
  <c r="A37" i="4"/>
  <c r="E35" i="4"/>
  <c r="D35" i="4"/>
  <c r="A26" i="7" l="1"/>
  <c r="A27" i="7" s="1"/>
  <c r="A28" i="7" s="1"/>
  <c r="A29" i="7" s="1"/>
  <c r="A30" i="7" s="1"/>
  <c r="A31" i="7" s="1"/>
  <c r="A32" i="7" s="1"/>
  <c r="A33" i="7" s="1"/>
  <c r="A34" i="7" s="1"/>
  <c r="A35" i="7" s="1"/>
  <c r="A36" i="7" s="1"/>
  <c r="A37" i="7" s="1"/>
  <c r="G18" i="7"/>
  <c r="W66" i="7"/>
  <c r="Y66" i="7" s="1"/>
  <c r="M102" i="7"/>
  <c r="AA54" i="7"/>
  <c r="AC54" i="7" s="1"/>
  <c r="S30" i="7"/>
  <c r="S138" i="7"/>
  <c r="I78" i="7"/>
  <c r="W126" i="7"/>
  <c r="U150" i="7"/>
  <c r="S42" i="7"/>
  <c r="S113" i="5"/>
  <c r="S106" i="5"/>
  <c r="S95" i="5"/>
  <c r="S88" i="5"/>
  <c r="S58" i="5"/>
  <c r="S42" i="5"/>
  <c r="S40" i="5"/>
  <c r="S31" i="5"/>
  <c r="S22" i="5"/>
  <c r="S115" i="5"/>
  <c r="S104" i="5"/>
  <c r="S97" i="5"/>
  <c r="S86" i="5"/>
  <c r="S79" i="5"/>
  <c r="S77" i="5"/>
  <c r="S70" i="5"/>
  <c r="S68" i="5"/>
  <c r="S60" i="5"/>
  <c r="S51" i="5"/>
  <c r="S49" i="5"/>
  <c r="S33" i="5"/>
  <c r="H15" i="5"/>
  <c r="J15" i="5"/>
  <c r="K15" i="5"/>
  <c r="L15" i="5"/>
  <c r="M15" i="5"/>
  <c r="D15" i="5"/>
  <c r="O15" i="5"/>
  <c r="E15" i="5"/>
  <c r="P15" i="5"/>
  <c r="G15" i="5"/>
  <c r="R15" i="5"/>
  <c r="F13" i="5"/>
  <c r="N13" i="5"/>
  <c r="O13" i="5"/>
  <c r="H13" i="5"/>
  <c r="J13" i="5"/>
  <c r="L13" i="5"/>
  <c r="G13" i="5"/>
  <c r="P13" i="5"/>
  <c r="D13" i="5"/>
  <c r="I13" i="5"/>
  <c r="Q13" i="5"/>
  <c r="R13" i="5"/>
  <c r="K13" i="5"/>
  <c r="E13" i="5"/>
  <c r="S24" i="5"/>
  <c r="I15" i="5"/>
  <c r="Q15" i="5"/>
  <c r="F15" i="5"/>
  <c r="AH100" i="4"/>
  <c r="AA101" i="4"/>
  <c r="AA100" i="4"/>
  <c r="Y101" i="4"/>
  <c r="Y100" i="4"/>
  <c r="M101" i="4"/>
  <c r="M100" i="4"/>
  <c r="AH92" i="4"/>
  <c r="AA93" i="4"/>
  <c r="AA92" i="4"/>
  <c r="Y93" i="4"/>
  <c r="Y92" i="4"/>
  <c r="M93" i="4"/>
  <c r="M92" i="4"/>
  <c r="AH84" i="4"/>
  <c r="AA85" i="4"/>
  <c r="AA84" i="4"/>
  <c r="Y85" i="4"/>
  <c r="Y84" i="4"/>
  <c r="M85" i="4"/>
  <c r="M84" i="4"/>
  <c r="AH76" i="4"/>
  <c r="AA77" i="4"/>
  <c r="AA76" i="4"/>
  <c r="Y77" i="4"/>
  <c r="Y76" i="4"/>
  <c r="M77" i="4"/>
  <c r="M76" i="4"/>
  <c r="AH68" i="4"/>
  <c r="AA69" i="4"/>
  <c r="AA68" i="4"/>
  <c r="Y69" i="4"/>
  <c r="Y68" i="4"/>
  <c r="M69" i="4"/>
  <c r="M68" i="4"/>
  <c r="AG68" i="4" s="1"/>
  <c r="AH60" i="4"/>
  <c r="AA61" i="4"/>
  <c r="AA60" i="4"/>
  <c r="Y61" i="4"/>
  <c r="Y60" i="4"/>
  <c r="M61" i="4"/>
  <c r="M60" i="4"/>
  <c r="AG132" i="4"/>
  <c r="AG124" i="4"/>
  <c r="AG116" i="4"/>
  <c r="AG108" i="4"/>
  <c r="AG84" i="4"/>
  <c r="AG76" i="4"/>
  <c r="AH52" i="4"/>
  <c r="AA53" i="4"/>
  <c r="AA52" i="4"/>
  <c r="Y53" i="4"/>
  <c r="Y52" i="4"/>
  <c r="M53" i="4"/>
  <c r="M52" i="4"/>
  <c r="A38" i="7" l="1"/>
  <c r="A39" i="7" s="1"/>
  <c r="A40" i="7" s="1"/>
  <c r="A41" i="7" s="1"/>
  <c r="A42" i="7" s="1"/>
  <c r="A43" i="7" s="1"/>
  <c r="A44" i="7" s="1"/>
  <c r="A45" i="7" s="1"/>
  <c r="A46" i="7" s="1"/>
  <c r="A47" i="7" s="1"/>
  <c r="A48" i="7" s="1"/>
  <c r="A49" i="7" s="1"/>
  <c r="I18" i="7"/>
  <c r="O102" i="7"/>
  <c r="AE54" i="7"/>
  <c r="U42" i="7"/>
  <c r="AA66" i="7"/>
  <c r="K78" i="7"/>
  <c r="W150" i="7"/>
  <c r="U138" i="7"/>
  <c r="U30" i="7"/>
  <c r="Y126" i="7"/>
  <c r="S13" i="6"/>
  <c r="U13" i="6" s="1"/>
  <c r="S15" i="5"/>
  <c r="S13" i="5"/>
  <c r="AG100" i="4"/>
  <c r="AG92" i="4"/>
  <c r="AG60" i="4"/>
  <c r="AG52" i="4"/>
  <c r="AH44" i="4"/>
  <c r="AG44" i="4"/>
  <c r="AA45" i="4"/>
  <c r="AA44" i="4"/>
  <c r="Y45" i="4"/>
  <c r="Y44" i="4"/>
  <c r="Q45" i="4"/>
  <c r="M45" i="4"/>
  <c r="M44" i="4"/>
  <c r="A50" i="7" l="1"/>
  <c r="A51" i="7" s="1"/>
  <c r="A52" i="7" s="1"/>
  <c r="A53" i="7" s="1"/>
  <c r="A54" i="7" s="1"/>
  <c r="A55" i="7" s="1"/>
  <c r="A56" i="7" s="1"/>
  <c r="A57" i="7" s="1"/>
  <c r="A58" i="7" s="1"/>
  <c r="A59" i="7" s="1"/>
  <c r="A60" i="7" s="1"/>
  <c r="A61" i="7" s="1"/>
  <c r="K18" i="7"/>
  <c r="Q102" i="7"/>
  <c r="W42" i="7"/>
  <c r="W30" i="7"/>
  <c r="AA126" i="7"/>
  <c r="AC66" i="7"/>
  <c r="M78" i="7"/>
  <c r="W138" i="7"/>
  <c r="Y150" i="7"/>
  <c r="A4" i="1"/>
  <c r="A5" i="1" s="1"/>
  <c r="A4" i="2"/>
  <c r="A5" i="2" s="1"/>
  <c r="A2" i="4"/>
  <c r="A3" i="4" s="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62" i="7" l="1"/>
  <c r="A63" i="7" s="1"/>
  <c r="A64" i="7" s="1"/>
  <c r="A65" i="7" s="1"/>
  <c r="A66" i="7" s="1"/>
  <c r="A67" i="7" s="1"/>
  <c r="A68" i="7" s="1"/>
  <c r="A69" i="7" s="1"/>
  <c r="A70" i="7" s="1"/>
  <c r="A71" i="7" s="1"/>
  <c r="A72" i="7" s="1"/>
  <c r="A73" i="7" s="1"/>
  <c r="M18" i="7"/>
  <c r="S102" i="7"/>
  <c r="AE66" i="7"/>
  <c r="O78" i="7"/>
  <c r="Y42" i="7"/>
  <c r="AA150" i="7"/>
  <c r="AC126" i="7"/>
  <c r="Y138" i="7"/>
  <c r="Y30" i="7"/>
  <c r="D22" i="2"/>
  <c r="T21" i="6" s="1"/>
  <c r="U21" i="6" l="1"/>
  <c r="T22" i="6"/>
  <c r="A74" i="7"/>
  <c r="A75" i="7" s="1"/>
  <c r="A76" i="7" s="1"/>
  <c r="A77" i="7" s="1"/>
  <c r="A78" i="7" s="1"/>
  <c r="A79" i="7" s="1"/>
  <c r="A80" i="7" s="1"/>
  <c r="A81" i="7" s="1"/>
  <c r="A82" i="7" s="1"/>
  <c r="A83" i="7" s="1"/>
  <c r="A84" i="7" s="1"/>
  <c r="A85" i="7" s="1"/>
  <c r="U102" i="7"/>
  <c r="O18" i="7"/>
  <c r="AA42" i="7"/>
  <c r="AA30" i="7"/>
  <c r="AE126" i="7"/>
  <c r="Q78" i="7"/>
  <c r="AC150" i="7"/>
  <c r="AA138" i="7"/>
  <c r="AA122" i="3"/>
  <c r="AA121" i="3"/>
  <c r="AA123" i="3" s="1"/>
  <c r="M122" i="3"/>
  <c r="M121" i="3"/>
  <c r="M123" i="3" s="1"/>
  <c r="C126" i="3"/>
  <c r="AA112" i="3"/>
  <c r="AA111" i="3"/>
  <c r="AA113" i="3" s="1"/>
  <c r="M112" i="3"/>
  <c r="M111" i="3"/>
  <c r="C116" i="3"/>
  <c r="AA102" i="3"/>
  <c r="AA101" i="3"/>
  <c r="AA103" i="3" s="1"/>
  <c r="M102" i="3"/>
  <c r="M101" i="3"/>
  <c r="C106" i="3"/>
  <c r="AA92" i="3"/>
  <c r="AA93" i="3" s="1"/>
  <c r="AA91" i="3"/>
  <c r="M92" i="3"/>
  <c r="M91" i="3"/>
  <c r="C96" i="3"/>
  <c r="AA82" i="3"/>
  <c r="AA83" i="3" s="1"/>
  <c r="AA81" i="3"/>
  <c r="M82" i="3"/>
  <c r="M81" i="3"/>
  <c r="M83" i="3" s="1"/>
  <c r="C86" i="3"/>
  <c r="AA72" i="3"/>
  <c r="AA71" i="3"/>
  <c r="M72" i="3"/>
  <c r="M73" i="3" s="1"/>
  <c r="M71" i="3"/>
  <c r="C76" i="3"/>
  <c r="AA62" i="3"/>
  <c r="AA61" i="3"/>
  <c r="AA63" i="3" s="1"/>
  <c r="M62" i="3"/>
  <c r="M61" i="3"/>
  <c r="C66" i="3"/>
  <c r="AA52" i="3"/>
  <c r="AA51" i="3"/>
  <c r="M52" i="3"/>
  <c r="M51" i="3"/>
  <c r="M53" i="3" s="1"/>
  <c r="C56" i="3"/>
  <c r="AA42" i="3"/>
  <c r="AA41" i="3"/>
  <c r="M42" i="3"/>
  <c r="M41" i="3"/>
  <c r="M43" i="3" s="1"/>
  <c r="C46" i="3"/>
  <c r="AA32" i="3"/>
  <c r="AA31" i="3"/>
  <c r="M32" i="3"/>
  <c r="M31" i="3"/>
  <c r="C36" i="3"/>
  <c r="AA12" i="3"/>
  <c r="AA11" i="3"/>
  <c r="AA22" i="3"/>
  <c r="AA21" i="3"/>
  <c r="M22" i="3"/>
  <c r="M21" i="3"/>
  <c r="C26" i="3"/>
  <c r="AE123" i="3"/>
  <c r="AC123" i="3"/>
  <c r="Y123" i="3"/>
  <c r="W123" i="3"/>
  <c r="U123" i="3"/>
  <c r="S123" i="3"/>
  <c r="Q123" i="3"/>
  <c r="O123" i="3"/>
  <c r="K123" i="3"/>
  <c r="I123" i="3"/>
  <c r="G123" i="3"/>
  <c r="E123" i="3"/>
  <c r="C123" i="3"/>
  <c r="AE113" i="3"/>
  <c r="AC113" i="3"/>
  <c r="Y113" i="3"/>
  <c r="W113" i="3"/>
  <c r="U113" i="3"/>
  <c r="S113" i="3"/>
  <c r="Q113" i="3"/>
  <c r="O113" i="3"/>
  <c r="K113" i="3"/>
  <c r="I113" i="3"/>
  <c r="G113" i="3"/>
  <c r="E113" i="3"/>
  <c r="C113" i="3"/>
  <c r="AE103" i="3"/>
  <c r="AC103" i="3"/>
  <c r="Y103" i="3"/>
  <c r="W103" i="3"/>
  <c r="U103" i="3"/>
  <c r="S103" i="3"/>
  <c r="Q103" i="3"/>
  <c r="O103" i="3"/>
  <c r="M103" i="3"/>
  <c r="K103" i="3"/>
  <c r="I103" i="3"/>
  <c r="G103" i="3"/>
  <c r="E103" i="3"/>
  <c r="C103" i="3"/>
  <c r="AE93" i="3"/>
  <c r="AC93" i="3"/>
  <c r="Y93" i="3"/>
  <c r="W93" i="3"/>
  <c r="U93" i="3"/>
  <c r="S93" i="3"/>
  <c r="Q93" i="3"/>
  <c r="O93" i="3"/>
  <c r="K93" i="3"/>
  <c r="I93" i="3"/>
  <c r="G93" i="3"/>
  <c r="E93" i="3"/>
  <c r="C93" i="3"/>
  <c r="AE83" i="3"/>
  <c r="AC83" i="3"/>
  <c r="Y83" i="3"/>
  <c r="W83" i="3"/>
  <c r="U83" i="3"/>
  <c r="S83" i="3"/>
  <c r="Q83" i="3"/>
  <c r="O83" i="3"/>
  <c r="K83" i="3"/>
  <c r="I83" i="3"/>
  <c r="G83" i="3"/>
  <c r="E83" i="3"/>
  <c r="C83" i="3"/>
  <c r="AE73" i="3"/>
  <c r="AC73" i="3"/>
  <c r="Y73" i="3"/>
  <c r="W73" i="3"/>
  <c r="U73" i="3"/>
  <c r="S73" i="3"/>
  <c r="Q73" i="3"/>
  <c r="O73" i="3"/>
  <c r="K73" i="3"/>
  <c r="I73" i="3"/>
  <c r="G73" i="3"/>
  <c r="E73" i="3"/>
  <c r="C73" i="3"/>
  <c r="AE63" i="3"/>
  <c r="AC63" i="3"/>
  <c r="Y63" i="3"/>
  <c r="W63" i="3"/>
  <c r="U63" i="3"/>
  <c r="S63" i="3"/>
  <c r="Q63" i="3"/>
  <c r="O63" i="3"/>
  <c r="M63" i="3"/>
  <c r="K63" i="3"/>
  <c r="I63" i="3"/>
  <c r="G63" i="3"/>
  <c r="E63" i="3"/>
  <c r="C63" i="3"/>
  <c r="AE53" i="3"/>
  <c r="AC53" i="3"/>
  <c r="Y53" i="3"/>
  <c r="W53" i="3"/>
  <c r="U53" i="3"/>
  <c r="S53" i="3"/>
  <c r="Q53" i="3"/>
  <c r="O53" i="3"/>
  <c r="K53" i="3"/>
  <c r="I53" i="3"/>
  <c r="G53" i="3"/>
  <c r="E53" i="3"/>
  <c r="C53" i="3"/>
  <c r="AE43" i="3"/>
  <c r="AC43" i="3"/>
  <c r="Y43" i="3"/>
  <c r="W43" i="3"/>
  <c r="U43" i="3"/>
  <c r="S43" i="3"/>
  <c r="Q43" i="3"/>
  <c r="O43" i="3"/>
  <c r="K43" i="3"/>
  <c r="I43" i="3"/>
  <c r="G43" i="3"/>
  <c r="E43" i="3"/>
  <c r="C43" i="3"/>
  <c r="AE33" i="3"/>
  <c r="AC33" i="3"/>
  <c r="AA33" i="3"/>
  <c r="Y33" i="3"/>
  <c r="W33" i="3"/>
  <c r="U33" i="3"/>
  <c r="S33" i="3"/>
  <c r="Q33" i="3"/>
  <c r="O33" i="3"/>
  <c r="K33" i="3"/>
  <c r="I33" i="3"/>
  <c r="G33" i="3"/>
  <c r="E33" i="3"/>
  <c r="C33" i="3"/>
  <c r="AE23" i="3"/>
  <c r="AC23" i="3"/>
  <c r="AA23" i="3"/>
  <c r="Y23" i="3"/>
  <c r="W23" i="3"/>
  <c r="U23" i="3"/>
  <c r="S23" i="3"/>
  <c r="Q23" i="3"/>
  <c r="O23" i="3"/>
  <c r="K23" i="3"/>
  <c r="I23" i="3"/>
  <c r="G23" i="3"/>
  <c r="E23" i="3"/>
  <c r="C23" i="3"/>
  <c r="M12" i="3"/>
  <c r="M11" i="3"/>
  <c r="AE13" i="3"/>
  <c r="AC13" i="3"/>
  <c r="Y13" i="3"/>
  <c r="W13" i="3"/>
  <c r="U13" i="3"/>
  <c r="S13" i="3"/>
  <c r="Q13" i="3"/>
  <c r="O13" i="3"/>
  <c r="K13" i="3"/>
  <c r="I13" i="3"/>
  <c r="G13" i="3"/>
  <c r="E13" i="3"/>
  <c r="C16" i="3"/>
  <c r="C13" i="3"/>
  <c r="A2" i="3"/>
  <c r="A3" i="3" s="1"/>
  <c r="K22" i="6" l="1"/>
  <c r="N22" i="6"/>
  <c r="M22" i="6"/>
  <c r="P22" i="6"/>
  <c r="I22" i="6"/>
  <c r="E22" i="6"/>
  <c r="R22" i="6"/>
  <c r="L22" i="6"/>
  <c r="H22" i="6"/>
  <c r="Q22" i="6"/>
  <c r="J22" i="6"/>
  <c r="O22" i="6"/>
  <c r="D22" i="6"/>
  <c r="F22" i="6"/>
  <c r="G22" i="6"/>
  <c r="AA13" i="3"/>
  <c r="AA73" i="3"/>
  <c r="M93" i="3"/>
  <c r="M33" i="3"/>
  <c r="AA43" i="3"/>
  <c r="M113" i="3"/>
  <c r="M23" i="3"/>
  <c r="AA53" i="3"/>
  <c r="A86" i="7"/>
  <c r="A87" i="7" s="1"/>
  <c r="A88" i="7" s="1"/>
  <c r="A89" i="7" s="1"/>
  <c r="A90" i="7" s="1"/>
  <c r="A91" i="7" s="1"/>
  <c r="A92" i="7" s="1"/>
  <c r="A93" i="7" s="1"/>
  <c r="A94" i="7" s="1"/>
  <c r="A95" i="7" s="1"/>
  <c r="A96" i="7" s="1"/>
  <c r="A97" i="7" s="1"/>
  <c r="Q18" i="7"/>
  <c r="W102" i="7"/>
  <c r="E16" i="3"/>
  <c r="G16" i="3" s="1"/>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S78" i="7"/>
  <c r="AC138" i="7"/>
  <c r="AE150" i="7"/>
  <c r="AC30" i="7"/>
  <c r="AC42" i="7"/>
  <c r="E116" i="3"/>
  <c r="E106" i="3"/>
  <c r="E66" i="3"/>
  <c r="E126" i="3"/>
  <c r="E96" i="3"/>
  <c r="E86" i="3"/>
  <c r="E76" i="3"/>
  <c r="E56" i="3"/>
  <c r="E46" i="3"/>
  <c r="E36" i="3"/>
  <c r="E26" i="3"/>
  <c r="M13" i="3"/>
  <c r="C44" i="1"/>
  <c r="C77" i="1" s="1"/>
  <c r="C78" i="1" s="1"/>
  <c r="Q20" i="2"/>
  <c r="F44" i="1" s="1"/>
  <c r="F77" i="1" s="1"/>
  <c r="F78" i="1" s="1"/>
  <c r="M20" i="2"/>
  <c r="E20" i="2"/>
  <c r="N68" i="1"/>
  <c r="O35" i="1"/>
  <c r="N35" i="1"/>
  <c r="M35" i="1"/>
  <c r="L35" i="1"/>
  <c r="K35" i="1"/>
  <c r="J35" i="1"/>
  <c r="I35" i="1"/>
  <c r="H35" i="1"/>
  <c r="G35" i="1"/>
  <c r="F35" i="1"/>
  <c r="E35" i="1"/>
  <c r="D35" i="1"/>
  <c r="C35" i="1"/>
  <c r="O11" i="1"/>
  <c r="L11" i="1"/>
  <c r="J11" i="1"/>
  <c r="E11" i="1"/>
  <c r="I11" i="1" s="1"/>
  <c r="K11" i="1" s="1"/>
  <c r="M11" i="1" s="1"/>
  <c r="S22" i="6" l="1"/>
  <c r="U22" i="6" s="1"/>
  <c r="G20" i="2"/>
  <c r="O20" i="2" s="1"/>
  <c r="T14" i="6"/>
  <c r="G13" i="4"/>
  <c r="C17" i="6"/>
  <c r="C17" i="5"/>
  <c r="A98" i="7"/>
  <c r="A99" i="7" s="1"/>
  <c r="A100" i="7" s="1"/>
  <c r="A101" i="7" s="1"/>
  <c r="A102" i="7" s="1"/>
  <c r="A103" i="7" s="1"/>
  <c r="A104" i="7" s="1"/>
  <c r="A105" i="7" s="1"/>
  <c r="A106" i="7" s="1"/>
  <c r="A107" i="7" s="1"/>
  <c r="A108" i="7" s="1"/>
  <c r="A109" i="7" s="1"/>
  <c r="Y102" i="7"/>
  <c r="S18" i="7"/>
  <c r="G116" i="3"/>
  <c r="G26" i="3"/>
  <c r="G66" i="3"/>
  <c r="G56" i="3"/>
  <c r="G106" i="3"/>
  <c r="G76" i="3"/>
  <c r="G86" i="3"/>
  <c r="I16" i="3"/>
  <c r="G96" i="3"/>
  <c r="AE138" i="7"/>
  <c r="U78" i="7"/>
  <c r="AE42" i="7"/>
  <c r="AE30" i="7"/>
  <c r="A27" i="3"/>
  <c r="A28" i="3" s="1"/>
  <c r="A29" i="3" s="1"/>
  <c r="A30" i="3" s="1"/>
  <c r="A31" i="3" s="1"/>
  <c r="A32" i="3" s="1"/>
  <c r="D44" i="1"/>
  <c r="D77" i="1" s="1"/>
  <c r="D78" i="1" s="1"/>
  <c r="F20" i="2"/>
  <c r="N20" i="2" s="1"/>
  <c r="G126" i="3"/>
  <c r="G46" i="3"/>
  <c r="G36" i="3"/>
  <c r="C46" i="1"/>
  <c r="M22" i="2"/>
  <c r="J42" i="2"/>
  <c r="I42" i="2"/>
  <c r="J40" i="2"/>
  <c r="I40" i="2"/>
  <c r="J36" i="2"/>
  <c r="I36" i="2"/>
  <c r="J34" i="2"/>
  <c r="I34" i="2"/>
  <c r="J32" i="2"/>
  <c r="I32" i="2"/>
  <c r="J30" i="2"/>
  <c r="I30" i="2"/>
  <c r="J28" i="2"/>
  <c r="I28" i="2"/>
  <c r="J26" i="2"/>
  <c r="I26" i="2"/>
  <c r="J24" i="2"/>
  <c r="I24" i="2"/>
  <c r="H42" i="2"/>
  <c r="H40" i="2"/>
  <c r="H38" i="2"/>
  <c r="H36" i="2"/>
  <c r="H34" i="2"/>
  <c r="H32" i="2"/>
  <c r="H30" i="2"/>
  <c r="H28" i="2"/>
  <c r="H26" i="2"/>
  <c r="H24" i="2"/>
  <c r="E22" i="2"/>
  <c r="D24" i="2"/>
  <c r="T30" i="6" s="1"/>
  <c r="E14" i="2"/>
  <c r="E13" i="2"/>
  <c r="E11" i="2"/>
  <c r="E10" i="2"/>
  <c r="B1" i="2"/>
  <c r="A3" i="2"/>
  <c r="A6" i="2" s="1"/>
  <c r="A7" i="2" s="1"/>
  <c r="A8" i="2" s="1"/>
  <c r="A9" i="2" s="1"/>
  <c r="A10" i="2" s="1"/>
  <c r="A11" i="2" s="1"/>
  <c r="A12" i="2" s="1"/>
  <c r="A13" i="2" s="1"/>
  <c r="A14" i="2" s="1"/>
  <c r="A15" i="2" s="1"/>
  <c r="A16" i="2" s="1"/>
  <c r="A17" i="2" s="1"/>
  <c r="A18" i="2" s="1"/>
  <c r="A19" i="2" s="1"/>
  <c r="A2" i="2"/>
  <c r="E33" i="1"/>
  <c r="I33" i="1" s="1"/>
  <c r="K33" i="1" s="1"/>
  <c r="M33" i="1" s="1"/>
  <c r="E31" i="1"/>
  <c r="I31" i="1" s="1"/>
  <c r="E29" i="1"/>
  <c r="I29" i="1" s="1"/>
  <c r="E27" i="1"/>
  <c r="I27" i="1" s="1"/>
  <c r="E25" i="1"/>
  <c r="I25" i="1" s="1"/>
  <c r="K25" i="1" s="1"/>
  <c r="M25" i="1" s="1"/>
  <c r="E23" i="1"/>
  <c r="I23" i="1" s="1"/>
  <c r="K23" i="1" s="1"/>
  <c r="E21" i="1"/>
  <c r="I21" i="1" s="1"/>
  <c r="E19" i="1"/>
  <c r="I19" i="1" s="1"/>
  <c r="E17" i="1"/>
  <c r="I17" i="1" s="1"/>
  <c r="E15" i="1"/>
  <c r="I15" i="1" s="1"/>
  <c r="O33" i="1"/>
  <c r="L33" i="1"/>
  <c r="J33" i="1"/>
  <c r="O31" i="1"/>
  <c r="L31" i="1"/>
  <c r="J31" i="1"/>
  <c r="O29" i="1"/>
  <c r="L29" i="1"/>
  <c r="J29" i="1"/>
  <c r="O27" i="1"/>
  <c r="L27" i="1"/>
  <c r="J27" i="1"/>
  <c r="O25" i="1"/>
  <c r="L25" i="1"/>
  <c r="J25" i="1"/>
  <c r="O23" i="1"/>
  <c r="L23" i="1"/>
  <c r="J23" i="1"/>
  <c r="O21" i="1"/>
  <c r="L21" i="1"/>
  <c r="J21" i="1"/>
  <c r="O19" i="1"/>
  <c r="L19" i="1"/>
  <c r="J19" i="1"/>
  <c r="O17" i="1"/>
  <c r="L17" i="1"/>
  <c r="J17" i="1"/>
  <c r="O15" i="1"/>
  <c r="L15" i="1"/>
  <c r="J15" i="1"/>
  <c r="O13" i="1"/>
  <c r="M13" i="1"/>
  <c r="L13" i="1"/>
  <c r="K13" i="1"/>
  <c r="J13" i="1"/>
  <c r="I13" i="1"/>
  <c r="E13" i="1"/>
  <c r="A3" i="1"/>
  <c r="A6" i="1" s="1"/>
  <c r="A7" i="1" s="1"/>
  <c r="A8" i="1" s="1"/>
  <c r="A9" i="1" s="1"/>
  <c r="A10" i="1" s="1"/>
  <c r="A2" i="1"/>
  <c r="AK44" i="4" l="1"/>
  <c r="H13" i="4"/>
  <c r="J13" i="4" s="1"/>
  <c r="C54" i="4" s="1"/>
  <c r="T17" i="6"/>
  <c r="P17" i="6"/>
  <c r="Q17" i="6"/>
  <c r="K17" i="6"/>
  <c r="G17" i="6"/>
  <c r="H17" i="6"/>
  <c r="R17" i="6"/>
  <c r="I17" i="6"/>
  <c r="F17" i="6"/>
  <c r="L17" i="6"/>
  <c r="J17" i="6"/>
  <c r="N17" i="6"/>
  <c r="M17" i="6"/>
  <c r="E17" i="6"/>
  <c r="O17" i="6"/>
  <c r="D17" i="6"/>
  <c r="P20" i="2"/>
  <c r="R20" i="2" s="1"/>
  <c r="U14" i="6"/>
  <c r="T15" i="6"/>
  <c r="T18" i="6" s="1"/>
  <c r="C26" i="5"/>
  <c r="C26" i="6"/>
  <c r="G22" i="2"/>
  <c r="O22" i="2" s="1"/>
  <c r="T23" i="6"/>
  <c r="G15" i="4"/>
  <c r="U30" i="6"/>
  <c r="T31" i="6" s="1"/>
  <c r="M17" i="5"/>
  <c r="R17" i="5"/>
  <c r="Q17" i="5"/>
  <c r="O17" i="5"/>
  <c r="J17" i="5"/>
  <c r="G17" i="5"/>
  <c r="L17" i="5"/>
  <c r="H17" i="5"/>
  <c r="N17" i="5"/>
  <c r="K17" i="5"/>
  <c r="F17" i="5"/>
  <c r="I17" i="5"/>
  <c r="E17" i="5"/>
  <c r="D17" i="5"/>
  <c r="P17" i="5"/>
  <c r="B1" i="8"/>
  <c r="B1" i="7"/>
  <c r="A110" i="7"/>
  <c r="A111" i="7" s="1"/>
  <c r="A112" i="7" s="1"/>
  <c r="A113" i="7" s="1"/>
  <c r="A114" i="7" s="1"/>
  <c r="A115" i="7" s="1"/>
  <c r="A116" i="7" s="1"/>
  <c r="A117" i="7" s="1"/>
  <c r="A118" i="7" s="1"/>
  <c r="A119" i="7" s="1"/>
  <c r="A120" i="7" s="1"/>
  <c r="A121" i="7" s="1"/>
  <c r="U18" i="7"/>
  <c r="AA102" i="7"/>
  <c r="I116" i="3"/>
  <c r="I26" i="3"/>
  <c r="I66" i="3"/>
  <c r="I76" i="3"/>
  <c r="I96" i="3"/>
  <c r="I106" i="3"/>
  <c r="I36" i="3"/>
  <c r="K16" i="3"/>
  <c r="I46" i="3"/>
  <c r="I126" i="3"/>
  <c r="I56" i="3"/>
  <c r="I86" i="3"/>
  <c r="W78" i="7"/>
  <c r="A33" i="3"/>
  <c r="A20" i="2"/>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J44" i="1"/>
  <c r="J77" i="1" s="1"/>
  <c r="J78" i="1" s="1"/>
  <c r="B1" i="3"/>
  <c r="B1" i="4"/>
  <c r="O44" i="1"/>
  <c r="O77" i="1" s="1"/>
  <c r="O78" i="1" s="1"/>
  <c r="D46" i="1"/>
  <c r="D80" i="1" s="1"/>
  <c r="D81" i="1" s="1"/>
  <c r="Q22" i="2"/>
  <c r="D26" i="2"/>
  <c r="T39" i="6" s="1"/>
  <c r="E24" i="2"/>
  <c r="F22" i="2"/>
  <c r="M24" i="2"/>
  <c r="C48" i="1"/>
  <c r="C83" i="1" s="1"/>
  <c r="C84" i="1" s="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C80" i="1"/>
  <c r="C81" i="1" s="1"/>
  <c r="K31" i="1"/>
  <c r="M31" i="1" s="1"/>
  <c r="K29" i="1"/>
  <c r="M29" i="1"/>
  <c r="K27" i="1"/>
  <c r="M27" i="1" s="1"/>
  <c r="M23" i="1"/>
  <c r="K21" i="1"/>
  <c r="M21" i="1" s="1"/>
  <c r="K19" i="1"/>
  <c r="M19" i="1"/>
  <c r="K17" i="1"/>
  <c r="M17" i="1" s="1"/>
  <c r="K15" i="1"/>
  <c r="M15" i="1" s="1"/>
  <c r="T32" i="6" l="1"/>
  <c r="G17" i="4"/>
  <c r="M15" i="7"/>
  <c r="K26" i="5"/>
  <c r="P26" i="5"/>
  <c r="O26" i="5"/>
  <c r="R26" i="5"/>
  <c r="Q26" i="5"/>
  <c r="J26" i="5"/>
  <c r="M26" i="5"/>
  <c r="H26" i="5"/>
  <c r="D26" i="5"/>
  <c r="N26" i="5"/>
  <c r="F26" i="5"/>
  <c r="G26" i="5"/>
  <c r="L26" i="5"/>
  <c r="I26" i="5"/>
  <c r="E26" i="5"/>
  <c r="Y15" i="7"/>
  <c r="AE15" i="7"/>
  <c r="E15" i="7"/>
  <c r="K15" i="7"/>
  <c r="AA15" i="7"/>
  <c r="C15" i="7"/>
  <c r="S17" i="6"/>
  <c r="U39" i="6"/>
  <c r="T40" i="6"/>
  <c r="S54" i="4"/>
  <c r="T55" i="4" s="1"/>
  <c r="T57" i="4" s="1"/>
  <c r="O54" i="4"/>
  <c r="P55" i="4" s="1"/>
  <c r="P57" i="4" s="1"/>
  <c r="M54" i="4"/>
  <c r="N55" i="4" s="1"/>
  <c r="N57" i="4" s="1"/>
  <c r="W54" i="4"/>
  <c r="X55" i="4" s="1"/>
  <c r="X57" i="4" s="1"/>
  <c r="AC54" i="4"/>
  <c r="AD55" i="4" s="1"/>
  <c r="AD57" i="4" s="1"/>
  <c r="Y54" i="4"/>
  <c r="Z55" i="4" s="1"/>
  <c r="Z57" i="4" s="1"/>
  <c r="U54" i="4"/>
  <c r="V55" i="4" s="1"/>
  <c r="V57" i="4" s="1"/>
  <c r="K54" i="4"/>
  <c r="L55" i="4" s="1"/>
  <c r="L57" i="4" s="1"/>
  <c r="D55" i="4"/>
  <c r="Q54" i="4"/>
  <c r="R55" i="4" s="1"/>
  <c r="R57" i="4" s="1"/>
  <c r="G54" i="4"/>
  <c r="H55" i="4" s="1"/>
  <c r="H57" i="4" s="1"/>
  <c r="AE54" i="4"/>
  <c r="AF55" i="4" s="1"/>
  <c r="AF57" i="4" s="1"/>
  <c r="I54" i="4"/>
  <c r="J55" i="4" s="1"/>
  <c r="J57" i="4" s="1"/>
  <c r="AA54" i="4"/>
  <c r="AB55" i="4" s="1"/>
  <c r="AB57" i="4" s="1"/>
  <c r="E54" i="4"/>
  <c r="F55" i="4" s="1"/>
  <c r="F57" i="4" s="1"/>
  <c r="W15" i="7"/>
  <c r="H15" i="4"/>
  <c r="J15" i="4" s="1"/>
  <c r="C62" i="4" s="1"/>
  <c r="AK52" i="4"/>
  <c r="N18" i="5"/>
  <c r="J18" i="5"/>
  <c r="L18" i="5"/>
  <c r="K18" i="5"/>
  <c r="F18" i="5"/>
  <c r="P18" i="5"/>
  <c r="O18" i="5"/>
  <c r="H18" i="5"/>
  <c r="M18" i="5"/>
  <c r="R18" i="5"/>
  <c r="G18" i="5"/>
  <c r="D18" i="5"/>
  <c r="I18" i="5"/>
  <c r="Q18" i="5"/>
  <c r="E18" i="5"/>
  <c r="O15" i="7"/>
  <c r="AC15" i="7"/>
  <c r="G15" i="7"/>
  <c r="D26" i="6"/>
  <c r="H26" i="6"/>
  <c r="K27" i="7" s="1"/>
  <c r="O26" i="6"/>
  <c r="Y27" i="7" s="1"/>
  <c r="N26" i="6"/>
  <c r="W27" i="7" s="1"/>
  <c r="Q26" i="6"/>
  <c r="AC27" i="7" s="1"/>
  <c r="G26" i="6"/>
  <c r="I27" i="7" s="1"/>
  <c r="K26" i="6"/>
  <c r="Q27" i="7" s="1"/>
  <c r="L26" i="6"/>
  <c r="S27" i="7" s="1"/>
  <c r="M26" i="6"/>
  <c r="U27" i="7" s="1"/>
  <c r="T26" i="6"/>
  <c r="F26" i="6"/>
  <c r="G27" i="7" s="1"/>
  <c r="P26" i="6"/>
  <c r="AA27" i="7" s="1"/>
  <c r="R26" i="6"/>
  <c r="AE27" i="7" s="1"/>
  <c r="E26" i="6"/>
  <c r="E27" i="7" s="1"/>
  <c r="J26" i="6"/>
  <c r="O27" i="7" s="1"/>
  <c r="I26" i="6"/>
  <c r="M27" i="7" s="1"/>
  <c r="E44" i="1"/>
  <c r="S17" i="5"/>
  <c r="L31" i="6"/>
  <c r="P31" i="6"/>
  <c r="P35" i="6" s="1"/>
  <c r="AA39" i="7" s="1"/>
  <c r="G31" i="6"/>
  <c r="G35" i="6" s="1"/>
  <c r="I39" i="7" s="1"/>
  <c r="I31" i="6"/>
  <c r="I35" i="6" s="1"/>
  <c r="M39" i="7" s="1"/>
  <c r="D31" i="6"/>
  <c r="R31" i="6"/>
  <c r="F31" i="6"/>
  <c r="O31" i="6"/>
  <c r="O35" i="6" s="1"/>
  <c r="Y39" i="7" s="1"/>
  <c r="E31" i="6"/>
  <c r="M31" i="6"/>
  <c r="Q31" i="6"/>
  <c r="Q35" i="6" s="1"/>
  <c r="AC39" i="7" s="1"/>
  <c r="J31" i="6"/>
  <c r="J35" i="6" s="1"/>
  <c r="O39" i="7" s="1"/>
  <c r="H31" i="6"/>
  <c r="N31" i="6"/>
  <c r="K31" i="6"/>
  <c r="U15" i="7"/>
  <c r="I15" i="7"/>
  <c r="D15" i="6"/>
  <c r="K15" i="6"/>
  <c r="J15" i="6"/>
  <c r="J18" i="6" s="1"/>
  <c r="E15" i="6"/>
  <c r="E18" i="6" s="1"/>
  <c r="R15" i="6"/>
  <c r="R18" i="6" s="1"/>
  <c r="Q15" i="6"/>
  <c r="Q18" i="6" s="1"/>
  <c r="M15" i="6"/>
  <c r="M18" i="6" s="1"/>
  <c r="L15" i="6"/>
  <c r="I15" i="6"/>
  <c r="G15" i="6"/>
  <c r="G18" i="6" s="1"/>
  <c r="O15" i="6"/>
  <c r="O18" i="6" s="1"/>
  <c r="H15" i="6"/>
  <c r="N15" i="6"/>
  <c r="P15" i="6"/>
  <c r="P18" i="6" s="1"/>
  <c r="AA16" i="7" s="1"/>
  <c r="F15" i="6"/>
  <c r="F18" i="6" s="1"/>
  <c r="Q15" i="7"/>
  <c r="AK45" i="4"/>
  <c r="C35" i="6"/>
  <c r="C35" i="5"/>
  <c r="U23" i="6"/>
  <c r="T24" i="6"/>
  <c r="D18" i="6"/>
  <c r="H18" i="6"/>
  <c r="L18" i="6"/>
  <c r="K18" i="6"/>
  <c r="N18" i="6"/>
  <c r="I18" i="6"/>
  <c r="S15" i="7"/>
  <c r="B1" i="6"/>
  <c r="B1" i="5"/>
  <c r="K116" i="3"/>
  <c r="K26" i="3"/>
  <c r="M26" i="3" s="1"/>
  <c r="A122" i="7"/>
  <c r="A123" i="7" s="1"/>
  <c r="A124" i="7" s="1"/>
  <c r="A125" i="7" s="1"/>
  <c r="A126" i="7" s="1"/>
  <c r="A127" i="7" s="1"/>
  <c r="A128" i="7" s="1"/>
  <c r="A129" i="7" s="1"/>
  <c r="A130" i="7" s="1"/>
  <c r="A131" i="7" s="1"/>
  <c r="A132" i="7" s="1"/>
  <c r="A133" i="7" s="1"/>
  <c r="AC102" i="7"/>
  <c r="W18" i="7"/>
  <c r="K66" i="3"/>
  <c r="K56" i="3"/>
  <c r="K86" i="3"/>
  <c r="K106" i="3"/>
  <c r="K36" i="3"/>
  <c r="K126" i="3"/>
  <c r="K96" i="3"/>
  <c r="K46" i="3"/>
  <c r="M16" i="3"/>
  <c r="K76" i="3"/>
  <c r="A34" i="3"/>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Y78" i="7"/>
  <c r="I44" i="1"/>
  <c r="E77" i="1"/>
  <c r="E78" i="1" s="1"/>
  <c r="S20" i="2"/>
  <c r="G44" i="1" s="1"/>
  <c r="H44" i="1" s="1"/>
  <c r="H77" i="1" s="1"/>
  <c r="H78" i="1" s="1"/>
  <c r="O46" i="1"/>
  <c r="O80" i="1" s="1"/>
  <c r="O81" i="1" s="1"/>
  <c r="E26" i="2"/>
  <c r="M26" i="2"/>
  <c r="C50" i="1"/>
  <c r="D28" i="2"/>
  <c r="T48" i="6" s="1"/>
  <c r="F46" i="1"/>
  <c r="N22" i="2"/>
  <c r="F24" i="2"/>
  <c r="N24" i="2" s="1"/>
  <c r="Q24" i="2"/>
  <c r="F48" i="1" s="1"/>
  <c r="D48" i="1"/>
  <c r="G24" i="2"/>
  <c r="M116" i="3"/>
  <c r="A44" i="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G16" i="7" l="1"/>
  <c r="AC16" i="7"/>
  <c r="AE16" i="7"/>
  <c r="Y16" i="7"/>
  <c r="U26" i="7"/>
  <c r="U24" i="3"/>
  <c r="U25" i="3" s="1"/>
  <c r="C44" i="5"/>
  <c r="C44" i="6"/>
  <c r="K35" i="5"/>
  <c r="I35" i="5"/>
  <c r="R35" i="5"/>
  <c r="J35" i="5"/>
  <c r="Q35" i="5"/>
  <c r="N35" i="5"/>
  <c r="H35" i="5"/>
  <c r="F35" i="5"/>
  <c r="P35" i="5"/>
  <c r="O35" i="5"/>
  <c r="D35" i="5"/>
  <c r="L35" i="5"/>
  <c r="G35" i="5"/>
  <c r="E35" i="5"/>
  <c r="M35" i="5"/>
  <c r="M62" i="4"/>
  <c r="N63" i="4" s="1"/>
  <c r="N65" i="4" s="1"/>
  <c r="Q62" i="4"/>
  <c r="R63" i="4" s="1"/>
  <c r="R65" i="4" s="1"/>
  <c r="I62" i="4"/>
  <c r="J63" i="4" s="1"/>
  <c r="J65" i="4" s="1"/>
  <c r="D63" i="4"/>
  <c r="AC62" i="4"/>
  <c r="AD63" i="4" s="1"/>
  <c r="AD65" i="4" s="1"/>
  <c r="W62" i="4"/>
  <c r="X63" i="4" s="1"/>
  <c r="X65" i="4" s="1"/>
  <c r="Y62" i="4"/>
  <c r="Z63" i="4" s="1"/>
  <c r="Z65" i="4" s="1"/>
  <c r="AA62" i="4"/>
  <c r="AB63" i="4" s="1"/>
  <c r="AB65" i="4" s="1"/>
  <c r="AE62" i="4"/>
  <c r="G62" i="4"/>
  <c r="H63" i="4" s="1"/>
  <c r="H65" i="4" s="1"/>
  <c r="U62" i="4"/>
  <c r="V63" i="4" s="1"/>
  <c r="V65" i="4" s="1"/>
  <c r="S62" i="4"/>
  <c r="T63" i="4" s="1"/>
  <c r="T65" i="4" s="1"/>
  <c r="E62" i="4"/>
  <c r="F63" i="4" s="1"/>
  <c r="F65" i="4" s="1"/>
  <c r="O62" i="4"/>
  <c r="P63" i="4" s="1"/>
  <c r="P65" i="4" s="1"/>
  <c r="K62" i="4"/>
  <c r="L63" i="4" s="1"/>
  <c r="L65" i="4" s="1"/>
  <c r="AA26" i="7"/>
  <c r="AA24" i="3"/>
  <c r="AA25" i="3" s="1"/>
  <c r="Y26" i="7"/>
  <c r="Y24" i="3"/>
  <c r="Y25" i="3" s="1"/>
  <c r="T41" i="6"/>
  <c r="G19" i="4"/>
  <c r="M16" i="7"/>
  <c r="K16" i="7"/>
  <c r="E35" i="6"/>
  <c r="M35" i="6"/>
  <c r="U39" i="7" s="1"/>
  <c r="F35" i="6"/>
  <c r="K35" i="6"/>
  <c r="Q39" i="7" s="1"/>
  <c r="D35" i="6"/>
  <c r="E16" i="7"/>
  <c r="L35" i="6"/>
  <c r="I24" i="3"/>
  <c r="I25" i="3" s="1"/>
  <c r="I27" i="3" s="1"/>
  <c r="J28" i="3" s="1"/>
  <c r="I26" i="7"/>
  <c r="AC26" i="7"/>
  <c r="AC24" i="3"/>
  <c r="AC25" i="3" s="1"/>
  <c r="M40" i="6"/>
  <c r="K40" i="6"/>
  <c r="L40" i="6"/>
  <c r="O40" i="6"/>
  <c r="Q40" i="6"/>
  <c r="I40" i="6"/>
  <c r="R40" i="6"/>
  <c r="P40" i="6"/>
  <c r="J40" i="6"/>
  <c r="E40" i="6"/>
  <c r="E44" i="6" s="1"/>
  <c r="E51" i="7" s="1"/>
  <c r="G40" i="6"/>
  <c r="N40" i="6"/>
  <c r="D40" i="6"/>
  <c r="H40" i="6"/>
  <c r="F40" i="6"/>
  <c r="H17" i="4"/>
  <c r="J17" i="4" s="1"/>
  <c r="C70" i="4" s="1"/>
  <c r="AK60" i="4"/>
  <c r="AK61" i="4" s="1"/>
  <c r="U16" i="7"/>
  <c r="K24" i="3"/>
  <c r="K25" i="3" s="1"/>
  <c r="K27" i="3" s="1"/>
  <c r="L28" i="3" s="1"/>
  <c r="K26" i="7"/>
  <c r="AK53" i="4"/>
  <c r="AK54" i="4"/>
  <c r="AL55" i="4" s="1"/>
  <c r="C16" i="7"/>
  <c r="S18" i="6"/>
  <c r="O16" i="7"/>
  <c r="S18" i="5"/>
  <c r="W24" i="3"/>
  <c r="W25" i="3" s="1"/>
  <c r="W26" i="7"/>
  <c r="S26" i="5"/>
  <c r="U32" i="6"/>
  <c r="T33" i="6" s="1"/>
  <c r="T36" i="6" s="1"/>
  <c r="I16" i="7"/>
  <c r="M24" i="3"/>
  <c r="M25" i="3" s="1"/>
  <c r="M27" i="3" s="1"/>
  <c r="N28" i="3" s="1"/>
  <c r="M26" i="7"/>
  <c r="S16" i="7"/>
  <c r="S15" i="6"/>
  <c r="U15" i="6" s="1"/>
  <c r="N35" i="6"/>
  <c r="W39" i="7" s="1"/>
  <c r="R35" i="6"/>
  <c r="AE39" i="7" s="1"/>
  <c r="Q26" i="7"/>
  <c r="Q24" i="3"/>
  <c r="Q25" i="3" s="1"/>
  <c r="O26" i="7"/>
  <c r="O24" i="3"/>
  <c r="O25" i="3" s="1"/>
  <c r="U48" i="6"/>
  <c r="C27" i="7"/>
  <c r="S26" i="6"/>
  <c r="U26" i="6" s="1"/>
  <c r="E26" i="7"/>
  <c r="E24" i="3"/>
  <c r="E25" i="3" s="1"/>
  <c r="E27" i="3" s="1"/>
  <c r="F28" i="3" s="1"/>
  <c r="W16" i="7"/>
  <c r="AE24" i="3"/>
  <c r="AE25" i="3" s="1"/>
  <c r="AE26" i="7"/>
  <c r="Q16" i="7"/>
  <c r="G26" i="7"/>
  <c r="G24" i="3"/>
  <c r="G25" i="3" s="1"/>
  <c r="G27" i="3" s="1"/>
  <c r="H28" i="3" s="1"/>
  <c r="U17" i="6"/>
  <c r="T27" i="6"/>
  <c r="M24" i="6"/>
  <c r="J24" i="6"/>
  <c r="K24" i="6"/>
  <c r="H24" i="6"/>
  <c r="N24" i="6"/>
  <c r="I24" i="6"/>
  <c r="P24" i="6"/>
  <c r="P27" i="6" s="1"/>
  <c r="AA28" i="7" s="1"/>
  <c r="R24" i="6"/>
  <c r="R27" i="6" s="1"/>
  <c r="AE28" i="7" s="1"/>
  <c r="L24" i="6"/>
  <c r="F24" i="6"/>
  <c r="O24" i="6"/>
  <c r="G24" i="6"/>
  <c r="Q24" i="6"/>
  <c r="D24" i="6"/>
  <c r="E24" i="6"/>
  <c r="E27" i="6" s="1"/>
  <c r="E28" i="7" s="1"/>
  <c r="H35" i="6"/>
  <c r="K39" i="7" s="1"/>
  <c r="S31" i="6"/>
  <c r="U31" i="6" s="1"/>
  <c r="AG55" i="4"/>
  <c r="D57" i="4"/>
  <c r="S24" i="3"/>
  <c r="S25" i="3" s="1"/>
  <c r="S26" i="7"/>
  <c r="T35" i="6"/>
  <c r="M66" i="3"/>
  <c r="O66" i="3" s="1"/>
  <c r="A64" i="3"/>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4" i="7"/>
  <c r="A135" i="7" s="1"/>
  <c r="A136" i="7" s="1"/>
  <c r="A137" i="7" s="1"/>
  <c r="A138" i="7" s="1"/>
  <c r="A139" i="7" s="1"/>
  <c r="A140" i="7" s="1"/>
  <c r="A141" i="7" s="1"/>
  <c r="A142" i="7" s="1"/>
  <c r="A143" i="7" s="1"/>
  <c r="A144" i="7" s="1"/>
  <c r="A145" i="7" s="1"/>
  <c r="Y18" i="7"/>
  <c r="AE102" i="7"/>
  <c r="M126" i="3"/>
  <c r="M56" i="3"/>
  <c r="M46" i="3"/>
  <c r="M96" i="3"/>
  <c r="M76" i="3"/>
  <c r="M36" i="3"/>
  <c r="M106" i="3"/>
  <c r="O16" i="3"/>
  <c r="M86" i="3"/>
  <c r="AA78" i="7"/>
  <c r="T20" i="2"/>
  <c r="K44" i="1"/>
  <c r="I77" i="1"/>
  <c r="I78" i="1" s="1"/>
  <c r="L44" i="1"/>
  <c r="L77" i="1" s="1"/>
  <c r="L78" i="1" s="1"/>
  <c r="G77" i="1"/>
  <c r="AH20" i="7" s="1"/>
  <c r="O24" i="2"/>
  <c r="D83" i="1"/>
  <c r="D84" i="1" s="1"/>
  <c r="O48" i="1"/>
  <c r="O83" i="1" s="1"/>
  <c r="O84" i="1" s="1"/>
  <c r="F83" i="1"/>
  <c r="F84" i="1" s="1"/>
  <c r="J48" i="1"/>
  <c r="J83" i="1" s="1"/>
  <c r="J84" i="1" s="1"/>
  <c r="E28" i="2"/>
  <c r="M28" i="2"/>
  <c r="D30" i="2"/>
  <c r="T57" i="6" s="1"/>
  <c r="C52" i="1"/>
  <c r="C89" i="1" s="1"/>
  <c r="C90" i="1" s="1"/>
  <c r="C86" i="1"/>
  <c r="C87" i="1" s="1"/>
  <c r="J46" i="1"/>
  <c r="J80" i="1" s="1"/>
  <c r="J81" i="1" s="1"/>
  <c r="F80" i="1"/>
  <c r="F81" i="1" s="1"/>
  <c r="P22" i="2"/>
  <c r="Q26" i="2"/>
  <c r="F26" i="2"/>
  <c r="D50" i="1"/>
  <c r="G26" i="2"/>
  <c r="O26" i="2" s="1"/>
  <c r="O116" i="3"/>
  <c r="O26" i="3"/>
  <c r="A77" i="1"/>
  <c r="E29" i="7" l="1"/>
  <c r="E31" i="7" s="1"/>
  <c r="F32" i="7" s="1"/>
  <c r="O27" i="3"/>
  <c r="P28" i="3" s="1"/>
  <c r="P36" i="6"/>
  <c r="AA40" i="7" s="1"/>
  <c r="Q36" i="6"/>
  <c r="AC40" i="7" s="1"/>
  <c r="F36" i="6"/>
  <c r="G40" i="7" s="1"/>
  <c r="I36" i="6"/>
  <c r="M40" i="7" s="1"/>
  <c r="R36" i="6"/>
  <c r="AE40" i="7" s="1"/>
  <c r="N36" i="6"/>
  <c r="W40" i="7" s="1"/>
  <c r="M36" i="6"/>
  <c r="U40" i="7" s="1"/>
  <c r="G39" i="7"/>
  <c r="Y38" i="7"/>
  <c r="Y34" i="3"/>
  <c r="Y35" i="3" s="1"/>
  <c r="O38" i="7"/>
  <c r="O34" i="3"/>
  <c r="O35" i="3" s="1"/>
  <c r="AE29" i="7"/>
  <c r="AE31" i="7" s="1"/>
  <c r="AF32" i="7" s="1"/>
  <c r="E38" i="7"/>
  <c r="E34" i="3"/>
  <c r="E35" i="3" s="1"/>
  <c r="E37" i="3" s="1"/>
  <c r="F38" i="3" s="1"/>
  <c r="G44" i="6"/>
  <c r="P44" i="6"/>
  <c r="N44" i="6"/>
  <c r="L44" i="6"/>
  <c r="S51" i="7" s="1"/>
  <c r="O44" i="6"/>
  <c r="K44" i="6"/>
  <c r="N27" i="6"/>
  <c r="AA70" i="4"/>
  <c r="AB71" i="4" s="1"/>
  <c r="AB73" i="4" s="1"/>
  <c r="I70" i="4"/>
  <c r="J71" i="4" s="1"/>
  <c r="J73" i="4" s="1"/>
  <c r="O70" i="4"/>
  <c r="P71" i="4" s="1"/>
  <c r="P73" i="4" s="1"/>
  <c r="Q70" i="4"/>
  <c r="R71" i="4" s="1"/>
  <c r="R73" i="4" s="1"/>
  <c r="M70" i="4"/>
  <c r="N71" i="4" s="1"/>
  <c r="N73" i="4" s="1"/>
  <c r="S70" i="4"/>
  <c r="T71" i="4" s="1"/>
  <c r="T73" i="4" s="1"/>
  <c r="E70" i="4"/>
  <c r="F71" i="4" s="1"/>
  <c r="F73" i="4" s="1"/>
  <c r="K70" i="4"/>
  <c r="L71" i="4" s="1"/>
  <c r="L73" i="4" s="1"/>
  <c r="D71" i="4"/>
  <c r="U70" i="4"/>
  <c r="V71" i="4" s="1"/>
  <c r="V73" i="4" s="1"/>
  <c r="Y70" i="4"/>
  <c r="Z71" i="4" s="1"/>
  <c r="Z73" i="4" s="1"/>
  <c r="W70" i="4"/>
  <c r="X71" i="4" s="1"/>
  <c r="X73" i="4" s="1"/>
  <c r="AE70" i="4"/>
  <c r="AF71" i="4" s="1"/>
  <c r="AF73" i="4" s="1"/>
  <c r="G70" i="4"/>
  <c r="H71" i="4" s="1"/>
  <c r="H73" i="4" s="1"/>
  <c r="AC70" i="4"/>
  <c r="AD71" i="4" s="1"/>
  <c r="AD73" i="4" s="1"/>
  <c r="S38" i="7"/>
  <c r="S34" i="3"/>
  <c r="S35" i="3" s="1"/>
  <c r="T50" i="6"/>
  <c r="G21" i="4"/>
  <c r="H27" i="6"/>
  <c r="U34" i="3"/>
  <c r="U35" i="3" s="1"/>
  <c r="U38" i="7"/>
  <c r="O27" i="6"/>
  <c r="M49" i="6"/>
  <c r="N49" i="6"/>
  <c r="G49" i="6"/>
  <c r="Q49" i="6"/>
  <c r="F49" i="6"/>
  <c r="H49" i="6"/>
  <c r="P49" i="6"/>
  <c r="E49" i="6"/>
  <c r="J49" i="6"/>
  <c r="J53" i="6" s="1"/>
  <c r="O63" i="7" s="1"/>
  <c r="I49" i="6"/>
  <c r="I53" i="6" s="1"/>
  <c r="M63" i="7" s="1"/>
  <c r="D49" i="6"/>
  <c r="S49" i="6" s="1"/>
  <c r="U49" i="6" s="1"/>
  <c r="L49" i="6"/>
  <c r="K49" i="6"/>
  <c r="R49" i="6"/>
  <c r="O49" i="6"/>
  <c r="F44" i="6"/>
  <c r="G51" i="7" s="1"/>
  <c r="R44" i="6"/>
  <c r="G38" i="7"/>
  <c r="G34" i="3"/>
  <c r="G35" i="3" s="1"/>
  <c r="G37" i="3" s="1"/>
  <c r="H38" i="3" s="1"/>
  <c r="Q38" i="7"/>
  <c r="Q34" i="3"/>
  <c r="Q35" i="3" s="1"/>
  <c r="K38" i="7"/>
  <c r="K34" i="3"/>
  <c r="K35" i="3" s="1"/>
  <c r="K37" i="3" s="1"/>
  <c r="L38" i="3" s="1"/>
  <c r="R27" i="5"/>
  <c r="F27" i="5"/>
  <c r="Q27" i="5"/>
  <c r="L27" i="5"/>
  <c r="O27" i="5"/>
  <c r="K27" i="5"/>
  <c r="M27" i="5"/>
  <c r="J27" i="5"/>
  <c r="E27" i="5"/>
  <c r="I27" i="5"/>
  <c r="G27" i="5"/>
  <c r="H27" i="5"/>
  <c r="P27" i="5"/>
  <c r="N27" i="5"/>
  <c r="D27" i="5"/>
  <c r="W38" i="7"/>
  <c r="W34" i="3"/>
  <c r="W35" i="3" s="1"/>
  <c r="U57" i="6"/>
  <c r="T58" i="6"/>
  <c r="C24" i="3"/>
  <c r="C25" i="3" s="1"/>
  <c r="C27" i="3" s="1"/>
  <c r="D28" i="3" s="1"/>
  <c r="AG57" i="4"/>
  <c r="C26" i="7"/>
  <c r="I27" i="6"/>
  <c r="M27" i="6"/>
  <c r="Q27" i="6"/>
  <c r="K27" i="6"/>
  <c r="J27" i="6"/>
  <c r="D27" i="6"/>
  <c r="E39" i="7"/>
  <c r="AC38" i="7"/>
  <c r="AC34" i="3"/>
  <c r="AC35" i="3" s="1"/>
  <c r="J44" i="6"/>
  <c r="T44" i="6"/>
  <c r="K44" i="5"/>
  <c r="F44" i="5"/>
  <c r="N44" i="5"/>
  <c r="G44" i="5"/>
  <c r="R44" i="5"/>
  <c r="D44" i="5"/>
  <c r="L44" i="5"/>
  <c r="I44" i="5"/>
  <c r="O44" i="5"/>
  <c r="M44" i="5"/>
  <c r="P44" i="5"/>
  <c r="H44" i="5"/>
  <c r="E44" i="5"/>
  <c r="Q44" i="5"/>
  <c r="J44" i="5"/>
  <c r="G27" i="6"/>
  <c r="I38" i="7"/>
  <c r="I34" i="3"/>
  <c r="I35" i="3" s="1"/>
  <c r="I37" i="3" s="1"/>
  <c r="J38" i="3" s="1"/>
  <c r="F27" i="6"/>
  <c r="T49" i="6"/>
  <c r="H44" i="6"/>
  <c r="K51" i="7" s="1"/>
  <c r="I44" i="6"/>
  <c r="S35" i="6"/>
  <c r="U35" i="6" s="1"/>
  <c r="C39" i="7"/>
  <c r="AK62" i="4"/>
  <c r="AL63" i="4" s="1"/>
  <c r="AF63" i="4"/>
  <c r="AF65" i="4" s="1"/>
  <c r="M38" i="7"/>
  <c r="M41" i="7" s="1"/>
  <c r="M43" i="7" s="1"/>
  <c r="N44" i="7" s="1"/>
  <c r="M34" i="3"/>
  <c r="M35" i="3" s="1"/>
  <c r="M37" i="3" s="1"/>
  <c r="N38" i="3" s="1"/>
  <c r="S35" i="5"/>
  <c r="U18" i="6"/>
  <c r="H19" i="4"/>
  <c r="J19" i="4" s="1"/>
  <c r="C78" i="4" s="1"/>
  <c r="AK68" i="4"/>
  <c r="U41" i="6"/>
  <c r="T42" i="6"/>
  <c r="S24" i="6"/>
  <c r="U24" i="6" s="1"/>
  <c r="S39" i="7"/>
  <c r="C53" i="6"/>
  <c r="C53" i="5"/>
  <c r="M44" i="6"/>
  <c r="U51" i="7" s="1"/>
  <c r="D65" i="4"/>
  <c r="L27" i="6"/>
  <c r="D33" i="6"/>
  <c r="G33" i="6"/>
  <c r="G36" i="6" s="1"/>
  <c r="I40" i="7" s="1"/>
  <c r="K33" i="6"/>
  <c r="K36" i="6" s="1"/>
  <c r="Q40" i="7" s="1"/>
  <c r="Q33" i="6"/>
  <c r="P33" i="6"/>
  <c r="R33" i="6"/>
  <c r="M33" i="6"/>
  <c r="J33" i="6"/>
  <c r="J36" i="6" s="1"/>
  <c r="O40" i="7" s="1"/>
  <c r="L33" i="6"/>
  <c r="L36" i="6" s="1"/>
  <c r="S40" i="7" s="1"/>
  <c r="E33" i="6"/>
  <c r="E36" i="6" s="1"/>
  <c r="O33" i="6"/>
  <c r="O36" i="6" s="1"/>
  <c r="Y40" i="7" s="1"/>
  <c r="I33" i="6"/>
  <c r="H33" i="6"/>
  <c r="H36" i="6" s="1"/>
  <c r="K40" i="7" s="1"/>
  <c r="F33" i="6"/>
  <c r="N33" i="6"/>
  <c r="D44" i="6"/>
  <c r="S40" i="6"/>
  <c r="U40" i="6" s="1"/>
  <c r="Q44" i="6"/>
  <c r="AA29" i="7"/>
  <c r="AA31" i="7" s="1"/>
  <c r="AB32" i="7" s="1"/>
  <c r="AA38" i="7"/>
  <c r="AA34" i="3"/>
  <c r="AA35" i="3" s="1"/>
  <c r="A135" i="3"/>
  <c r="A136" i="3" s="1"/>
  <c r="A137"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O126" i="3"/>
  <c r="Q126" i="3" s="1"/>
  <c r="A146" i="7"/>
  <c r="A147" i="7" s="1"/>
  <c r="A148" i="7" s="1"/>
  <c r="A149" i="7" s="1"/>
  <c r="A150" i="7" s="1"/>
  <c r="A151" i="7" s="1"/>
  <c r="A152" i="7" s="1"/>
  <c r="A153" i="7" s="1"/>
  <c r="A154" i="7" s="1"/>
  <c r="A155" i="7" s="1"/>
  <c r="A156" i="7" s="1"/>
  <c r="A157" i="7" s="1"/>
  <c r="A158" i="7" s="1"/>
  <c r="A165" i="7" s="1"/>
  <c r="A166" i="7" s="1"/>
  <c r="A167" i="7" s="1"/>
  <c r="A168" i="7" s="1"/>
  <c r="A169" i="7" s="1"/>
  <c r="A170" i="7" s="1"/>
  <c r="A171" i="7" s="1"/>
  <c r="A172" i="7" s="1"/>
  <c r="AA18" i="7"/>
  <c r="O36" i="3"/>
  <c r="O56" i="3"/>
  <c r="O46" i="3"/>
  <c r="Q46" i="3" s="1"/>
  <c r="O76" i="3"/>
  <c r="O86" i="3"/>
  <c r="Q16" i="3"/>
  <c r="O106" i="3"/>
  <c r="O96" i="3"/>
  <c r="AC78" i="7"/>
  <c r="A78" i="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M44" i="1"/>
  <c r="M77" i="1" s="1"/>
  <c r="M78" i="1" s="1"/>
  <c r="K77" i="1"/>
  <c r="K78" i="1" s="1"/>
  <c r="G78" i="1"/>
  <c r="AH18" i="3"/>
  <c r="P24" i="2"/>
  <c r="F50" i="1"/>
  <c r="M30" i="2"/>
  <c r="C54" i="1"/>
  <c r="D32" i="2"/>
  <c r="T67" i="6" s="1"/>
  <c r="E30" i="2"/>
  <c r="F28" i="2"/>
  <c r="N28" i="2" s="1"/>
  <c r="G28" i="2"/>
  <c r="D52" i="1"/>
  <c r="Q28" i="2"/>
  <c r="F52" i="1" s="1"/>
  <c r="N26" i="2"/>
  <c r="E46" i="1"/>
  <c r="R22" i="2"/>
  <c r="D86" i="1"/>
  <c r="D87" i="1" s="1"/>
  <c r="O50" i="1"/>
  <c r="O86" i="1" s="1"/>
  <c r="O87" i="1" s="1"/>
  <c r="Q116" i="3"/>
  <c r="Q66" i="3"/>
  <c r="Q26" i="3"/>
  <c r="Q27" i="3" s="1"/>
  <c r="AG63" i="4" l="1"/>
  <c r="O37" i="3"/>
  <c r="P38" i="3" s="1"/>
  <c r="E40" i="7"/>
  <c r="U67" i="6"/>
  <c r="T68" i="6"/>
  <c r="G28" i="7"/>
  <c r="G29" i="7" s="1"/>
  <c r="G31" i="7" s="1"/>
  <c r="H32" i="7" s="1"/>
  <c r="C28" i="7"/>
  <c r="S27" i="6"/>
  <c r="K50" i="7"/>
  <c r="K44" i="3"/>
  <c r="K45" i="3" s="1"/>
  <c r="K47" i="3" s="1"/>
  <c r="L48" i="3" s="1"/>
  <c r="Y41" i="7"/>
  <c r="Y43" i="7" s="1"/>
  <c r="Z44" i="7" s="1"/>
  <c r="AC51" i="7"/>
  <c r="E50" i="7"/>
  <c r="E44" i="3"/>
  <c r="E45" i="3" s="1"/>
  <c r="E47" i="3" s="1"/>
  <c r="F48" i="3" s="1"/>
  <c r="E41" i="7"/>
  <c r="E43" i="7" s="1"/>
  <c r="F44" i="7" s="1"/>
  <c r="S33" i="6"/>
  <c r="U33" i="6" s="1"/>
  <c r="F58" i="6"/>
  <c r="Q58" i="6"/>
  <c r="P58" i="6"/>
  <c r="M58" i="6"/>
  <c r="N58" i="6"/>
  <c r="J58" i="6"/>
  <c r="K58" i="6"/>
  <c r="K62" i="6" s="1"/>
  <c r="Q75" i="7" s="1"/>
  <c r="H58" i="6"/>
  <c r="H62" i="6" s="1"/>
  <c r="K75" i="7" s="1"/>
  <c r="L58" i="6"/>
  <c r="O58" i="6"/>
  <c r="G58" i="6"/>
  <c r="E58" i="6"/>
  <c r="R58" i="6"/>
  <c r="D58" i="6"/>
  <c r="I58" i="6"/>
  <c r="G50" i="7"/>
  <c r="G44" i="3"/>
  <c r="G45" i="3" s="1"/>
  <c r="G47" i="3" s="1"/>
  <c r="H48" i="3" s="1"/>
  <c r="Q51" i="7"/>
  <c r="C51" i="7"/>
  <c r="S44" i="6"/>
  <c r="U44" i="6" s="1"/>
  <c r="O53" i="6"/>
  <c r="Y63" i="7" s="1"/>
  <c r="N53" i="6"/>
  <c r="W63" i="7" s="1"/>
  <c r="Q53" i="6"/>
  <c r="AC63" i="7" s="1"/>
  <c r="D53" i="6"/>
  <c r="M53" i="6"/>
  <c r="E53" i="6"/>
  <c r="G53" i="6"/>
  <c r="I63" i="7" s="1"/>
  <c r="K53" i="6"/>
  <c r="Q63" i="7" s="1"/>
  <c r="H53" i="6"/>
  <c r="K63" i="7" s="1"/>
  <c r="P53" i="6"/>
  <c r="AA63" i="7" s="1"/>
  <c r="R53" i="6"/>
  <c r="AE63" i="7" s="1"/>
  <c r="AC28" i="7"/>
  <c r="AC29" i="7" s="1"/>
  <c r="AC31" i="7" s="1"/>
  <c r="AD32" i="7" s="1"/>
  <c r="M50" i="7"/>
  <c r="M44" i="3"/>
  <c r="M45" i="3" s="1"/>
  <c r="M47" i="3" s="1"/>
  <c r="N48" i="3" s="1"/>
  <c r="U28" i="7"/>
  <c r="U29" i="7" s="1"/>
  <c r="U31" i="7" s="1"/>
  <c r="V32" i="7" s="1"/>
  <c r="W50" i="7"/>
  <c r="W44" i="3"/>
  <c r="W45" i="3" s="1"/>
  <c r="AK69" i="4"/>
  <c r="AK70" i="4"/>
  <c r="AL71" i="4" s="1"/>
  <c r="AE38" i="7"/>
  <c r="AE41" i="7" s="1"/>
  <c r="AE43" i="7" s="1"/>
  <c r="AF44" i="7" s="1"/>
  <c r="AE34" i="3"/>
  <c r="AE35" i="3" s="1"/>
  <c r="I41" i="7"/>
  <c r="I43" i="7" s="1"/>
  <c r="J44" i="7" s="1"/>
  <c r="M28" i="7"/>
  <c r="M29" i="7" s="1"/>
  <c r="M31" i="7" s="1"/>
  <c r="N32" i="7" s="1"/>
  <c r="Q41" i="7"/>
  <c r="Q43" i="7" s="1"/>
  <c r="R44" i="7" s="1"/>
  <c r="Y44" i="3"/>
  <c r="Y45" i="3" s="1"/>
  <c r="Y50" i="7"/>
  <c r="O50" i="7"/>
  <c r="O44" i="3"/>
  <c r="O45" i="3" s="1"/>
  <c r="O47" i="3" s="1"/>
  <c r="P48" i="3" s="1"/>
  <c r="W51" i="7"/>
  <c r="O51" i="7"/>
  <c r="AC50" i="7"/>
  <c r="AC44" i="3"/>
  <c r="AC45" i="3" s="1"/>
  <c r="T45" i="6"/>
  <c r="AE51" i="7"/>
  <c r="K28" i="7"/>
  <c r="K29" i="7" s="1"/>
  <c r="K31" i="7" s="1"/>
  <c r="L32" i="7" s="1"/>
  <c r="P42" i="6"/>
  <c r="P45" i="6" s="1"/>
  <c r="AA52" i="7" s="1"/>
  <c r="J42" i="6"/>
  <c r="I42" i="6"/>
  <c r="F42" i="6"/>
  <c r="Q42" i="6"/>
  <c r="O42" i="6"/>
  <c r="O45" i="6" s="1"/>
  <c r="Y52" i="7" s="1"/>
  <c r="H42" i="6"/>
  <c r="K42" i="6"/>
  <c r="M42" i="6"/>
  <c r="L42" i="6"/>
  <c r="L45" i="6" s="1"/>
  <c r="S52" i="7" s="1"/>
  <c r="N42" i="6"/>
  <c r="D42" i="6"/>
  <c r="G42" i="6"/>
  <c r="E42" i="6"/>
  <c r="E45" i="6" s="1"/>
  <c r="E52" i="7" s="1"/>
  <c r="R42" i="6"/>
  <c r="R45" i="6" s="1"/>
  <c r="AE50" i="7"/>
  <c r="AE44" i="3"/>
  <c r="AE45" i="3" s="1"/>
  <c r="S28" i="7"/>
  <c r="S29" i="7" s="1"/>
  <c r="S31" i="7" s="1"/>
  <c r="T32" i="7" s="1"/>
  <c r="AC41" i="7"/>
  <c r="AC43" i="7" s="1"/>
  <c r="AD44" i="7" s="1"/>
  <c r="U50" i="6"/>
  <c r="T51" i="6"/>
  <c r="Q50" i="7"/>
  <c r="Q44" i="3"/>
  <c r="Q45" i="3" s="1"/>
  <c r="Q47" i="3" s="1"/>
  <c r="R48" i="3" s="1"/>
  <c r="S78" i="4"/>
  <c r="T79" i="4" s="1"/>
  <c r="T81" i="4" s="1"/>
  <c r="M78" i="4"/>
  <c r="N79" i="4" s="1"/>
  <c r="N81" i="4" s="1"/>
  <c r="AC78" i="4"/>
  <c r="AD79" i="4" s="1"/>
  <c r="AD81" i="4" s="1"/>
  <c r="Y78" i="4"/>
  <c r="Z79" i="4" s="1"/>
  <c r="Z81" i="4" s="1"/>
  <c r="E78" i="4"/>
  <c r="F79" i="4" s="1"/>
  <c r="F81" i="4" s="1"/>
  <c r="K78" i="4"/>
  <c r="L79" i="4" s="1"/>
  <c r="L81" i="4" s="1"/>
  <c r="I78" i="4"/>
  <c r="J79" i="4" s="1"/>
  <c r="J81" i="4" s="1"/>
  <c r="O78" i="4"/>
  <c r="P79" i="4" s="1"/>
  <c r="P81" i="4" s="1"/>
  <c r="U78" i="4"/>
  <c r="V79" i="4" s="1"/>
  <c r="V81" i="4" s="1"/>
  <c r="W78" i="4"/>
  <c r="X79" i="4" s="1"/>
  <c r="X81" i="4" s="1"/>
  <c r="Q78" i="4"/>
  <c r="R79" i="4" s="1"/>
  <c r="R81" i="4" s="1"/>
  <c r="AE78" i="4"/>
  <c r="AF79" i="4" s="1"/>
  <c r="AF81" i="4" s="1"/>
  <c r="AA78" i="4"/>
  <c r="AB79" i="4" s="1"/>
  <c r="AB81" i="4" s="1"/>
  <c r="G78" i="4"/>
  <c r="H79" i="4" s="1"/>
  <c r="H81" i="4" s="1"/>
  <c r="D79" i="4"/>
  <c r="T53" i="6"/>
  <c r="C29" i="7"/>
  <c r="C31" i="7" s="1"/>
  <c r="D32" i="7" s="1"/>
  <c r="S27" i="5"/>
  <c r="F53" i="6"/>
  <c r="U50" i="7"/>
  <c r="U44" i="3"/>
  <c r="U45" i="3" s="1"/>
  <c r="I50" i="7"/>
  <c r="I44" i="3"/>
  <c r="I45" i="3" s="1"/>
  <c r="I47" i="3" s="1"/>
  <c r="J48" i="3" s="1"/>
  <c r="AA51" i="7"/>
  <c r="O41" i="7"/>
  <c r="O43" i="7" s="1"/>
  <c r="P44" i="7" s="1"/>
  <c r="D36" i="6"/>
  <c r="C38" i="7"/>
  <c r="C34" i="3"/>
  <c r="C35" i="3" s="1"/>
  <c r="C37" i="3" s="1"/>
  <c r="D38" i="3" s="1"/>
  <c r="AG65" i="4"/>
  <c r="W28" i="7"/>
  <c r="W29" i="7" s="1"/>
  <c r="W31" i="7" s="1"/>
  <c r="X32" i="7" s="1"/>
  <c r="S44" i="5"/>
  <c r="O28" i="7"/>
  <c r="O29" i="7" s="1"/>
  <c r="O31" i="7" s="1"/>
  <c r="P32" i="7" s="1"/>
  <c r="C62" i="6"/>
  <c r="C62" i="5"/>
  <c r="Q53" i="5"/>
  <c r="N53" i="5"/>
  <c r="L53" i="5"/>
  <c r="H53" i="5"/>
  <c r="J53" i="5"/>
  <c r="P53" i="5"/>
  <c r="O53" i="5"/>
  <c r="R53" i="5"/>
  <c r="E53" i="5"/>
  <c r="I53" i="5"/>
  <c r="G53" i="5"/>
  <c r="K53" i="5"/>
  <c r="F53" i="5"/>
  <c r="D53" i="5"/>
  <c r="M53" i="5"/>
  <c r="M51" i="7"/>
  <c r="Q28" i="7"/>
  <c r="Q29" i="7" s="1"/>
  <c r="Q31" i="7" s="1"/>
  <c r="R32" i="7" s="1"/>
  <c r="S50" i="7"/>
  <c r="S44" i="3"/>
  <c r="S45" i="3" s="1"/>
  <c r="H21" i="4"/>
  <c r="J21" i="4" s="1"/>
  <c r="C86" i="4" s="1"/>
  <c r="AK76" i="4"/>
  <c r="Y51" i="7"/>
  <c r="W41" i="7"/>
  <c r="W43" i="7" s="1"/>
  <c r="X44" i="7" s="1"/>
  <c r="Y28" i="7"/>
  <c r="Y29" i="7" s="1"/>
  <c r="Y31" i="7" s="1"/>
  <c r="Z32" i="7" s="1"/>
  <c r="T59" i="6"/>
  <c r="G23" i="4"/>
  <c r="AA41" i="7"/>
  <c r="AA43" i="7" s="1"/>
  <c r="AB44" i="7" s="1"/>
  <c r="R36" i="5"/>
  <c r="J36" i="5"/>
  <c r="I36" i="5"/>
  <c r="D36" i="5"/>
  <c r="E36" i="5"/>
  <c r="L36" i="5"/>
  <c r="G36" i="5"/>
  <c r="K36" i="5"/>
  <c r="H36" i="5"/>
  <c r="N36" i="5"/>
  <c r="P36" i="5"/>
  <c r="F36" i="5"/>
  <c r="M36" i="5"/>
  <c r="Q36" i="5"/>
  <c r="O36" i="5"/>
  <c r="I28" i="7"/>
  <c r="I29" i="7" s="1"/>
  <c r="I31" i="7" s="1"/>
  <c r="J32" i="7" s="1"/>
  <c r="K41" i="7"/>
  <c r="K43" i="7" s="1"/>
  <c r="L44" i="7" s="1"/>
  <c r="G41" i="7"/>
  <c r="G43" i="7" s="1"/>
  <c r="H44" i="7" s="1"/>
  <c r="L53" i="6"/>
  <c r="S63" i="7" s="1"/>
  <c r="U41" i="7"/>
  <c r="U43" i="7" s="1"/>
  <c r="V44" i="7" s="1"/>
  <c r="S41" i="7"/>
  <c r="S43" i="7" s="1"/>
  <c r="T44" i="7" s="1"/>
  <c r="D73" i="4"/>
  <c r="AG71" i="4"/>
  <c r="AA50" i="7"/>
  <c r="AA44" i="3"/>
  <c r="AA45" i="3" s="1"/>
  <c r="I51" i="7"/>
  <c r="A173" i="7"/>
  <c r="A174" i="7" s="1"/>
  <c r="A175" i="7" s="1"/>
  <c r="A176" i="7" s="1"/>
  <c r="A177" i="7" s="1"/>
  <c r="A178" i="7" s="1"/>
  <c r="A179" i="7" s="1"/>
  <c r="A180" i="7" s="1"/>
  <c r="A181" i="7" s="1"/>
  <c r="A182" i="7" s="1"/>
  <c r="A183" i="7" s="1"/>
  <c r="A184" i="7" s="1"/>
  <c r="A185" i="7" s="1"/>
  <c r="A186" i="7" s="1"/>
  <c r="A187" i="7" s="1"/>
  <c r="A188" i="7" s="1"/>
  <c r="A189" i="7" s="1"/>
  <c r="A190" i="7" s="1"/>
  <c r="A191" i="7" s="1"/>
  <c r="Q36" i="3"/>
  <c r="Q37" i="3" s="1"/>
  <c r="R38" i="3" s="1"/>
  <c r="AC18" i="7"/>
  <c r="Q56" i="3"/>
  <c r="S16" i="3"/>
  <c r="Q86" i="3"/>
  <c r="Q76" i="3"/>
  <c r="Q96" i="3"/>
  <c r="Q106" i="3"/>
  <c r="AE78" i="7"/>
  <c r="P26" i="2"/>
  <c r="F89" i="1"/>
  <c r="F90" i="1" s="1"/>
  <c r="J52" i="1"/>
  <c r="J89" i="1" s="1"/>
  <c r="J90" i="1" s="1"/>
  <c r="D89" i="1"/>
  <c r="D90" i="1" s="1"/>
  <c r="O52" i="1"/>
  <c r="O89" i="1" s="1"/>
  <c r="O90" i="1" s="1"/>
  <c r="O28" i="2"/>
  <c r="P28" i="2" s="1"/>
  <c r="I46" i="1"/>
  <c r="E80" i="1"/>
  <c r="E81" i="1" s="1"/>
  <c r="R24" i="2"/>
  <c r="E48" i="1"/>
  <c r="S22" i="2"/>
  <c r="T22" i="2" s="1"/>
  <c r="F86" i="1"/>
  <c r="F87" i="1" s="1"/>
  <c r="J50" i="1"/>
  <c r="J86" i="1" s="1"/>
  <c r="J87" i="1" s="1"/>
  <c r="D34" i="2"/>
  <c r="T76" i="6" s="1"/>
  <c r="C56" i="1"/>
  <c r="C95" i="1" s="1"/>
  <c r="C96" i="1" s="1"/>
  <c r="M32" i="2"/>
  <c r="E32" i="2"/>
  <c r="C92" i="1"/>
  <c r="C93" i="1" s="1"/>
  <c r="D54" i="1"/>
  <c r="Q30" i="2"/>
  <c r="F54" i="1" s="1"/>
  <c r="G30" i="2"/>
  <c r="O30" i="2" s="1"/>
  <c r="F30" i="2"/>
  <c r="S126" i="3"/>
  <c r="S116" i="3"/>
  <c r="S66" i="3"/>
  <c r="S46" i="3"/>
  <c r="S26" i="3"/>
  <c r="S27" i="3" s="1"/>
  <c r="R28" i="3"/>
  <c r="AA53" i="7" l="1"/>
  <c r="AA55" i="7" s="1"/>
  <c r="AB56" i="7" s="1"/>
  <c r="AG32" i="7"/>
  <c r="C72" i="5"/>
  <c r="C72" i="6"/>
  <c r="K62" i="5"/>
  <c r="H62" i="5"/>
  <c r="F62" i="5"/>
  <c r="I62" i="5"/>
  <c r="J62" i="5"/>
  <c r="G62" i="5"/>
  <c r="O62" i="5"/>
  <c r="R62" i="5"/>
  <c r="Q62" i="5"/>
  <c r="D62" i="5"/>
  <c r="N62" i="5"/>
  <c r="M62" i="5"/>
  <c r="L62" i="5"/>
  <c r="E62" i="5"/>
  <c r="P62" i="5"/>
  <c r="AA54" i="3"/>
  <c r="AA55" i="3" s="1"/>
  <c r="AA62" i="7"/>
  <c r="U76" i="6"/>
  <c r="T77" i="6"/>
  <c r="M62" i="6"/>
  <c r="U75" i="7" s="1"/>
  <c r="R62" i="6"/>
  <c r="E62" i="6"/>
  <c r="E75" i="7" s="1"/>
  <c r="D62" i="6"/>
  <c r="I62" i="6"/>
  <c r="L62" i="6"/>
  <c r="N62" i="6"/>
  <c r="W75" i="7" s="1"/>
  <c r="Q62" i="6"/>
  <c r="AC75" i="7" s="1"/>
  <c r="AE62" i="7"/>
  <c r="AE54" i="3"/>
  <c r="AE55" i="3" s="1"/>
  <c r="Y62" i="7"/>
  <c r="Y54" i="3"/>
  <c r="Y55" i="3" s="1"/>
  <c r="T54" i="6"/>
  <c r="S58" i="6"/>
  <c r="U58" i="6" s="1"/>
  <c r="J62" i="6"/>
  <c r="T72" i="6"/>
  <c r="S47" i="3"/>
  <c r="T48" i="3" s="1"/>
  <c r="S53" i="7"/>
  <c r="S55" i="7" s="1"/>
  <c r="T56" i="7" s="1"/>
  <c r="S53" i="5"/>
  <c r="Q62" i="7"/>
  <c r="Q54" i="3"/>
  <c r="Q55" i="3" s="1"/>
  <c r="Q57" i="3" s="1"/>
  <c r="R58" i="3" s="1"/>
  <c r="AC62" i="7"/>
  <c r="AC54" i="3"/>
  <c r="AC55" i="3" s="1"/>
  <c r="M51" i="6"/>
  <c r="O51" i="6"/>
  <c r="Q51" i="6"/>
  <c r="K51" i="6"/>
  <c r="H51" i="6"/>
  <c r="J51" i="6"/>
  <c r="R51" i="6"/>
  <c r="L51" i="6"/>
  <c r="D51" i="6"/>
  <c r="I51" i="6"/>
  <c r="F51" i="6"/>
  <c r="E51" i="6"/>
  <c r="N51" i="6"/>
  <c r="P51" i="6"/>
  <c r="G51" i="6"/>
  <c r="J45" i="6"/>
  <c r="I45" i="6"/>
  <c r="K45" i="6"/>
  <c r="Q45" i="6"/>
  <c r="G45" i="6"/>
  <c r="H45" i="6"/>
  <c r="M45" i="6"/>
  <c r="N45" i="6"/>
  <c r="M68" i="6"/>
  <c r="N68" i="6"/>
  <c r="I68" i="6"/>
  <c r="P68" i="6"/>
  <c r="E68" i="6"/>
  <c r="E72" i="6" s="1"/>
  <c r="E87" i="7" s="1"/>
  <c r="Q68" i="6"/>
  <c r="H68" i="6"/>
  <c r="K68" i="6"/>
  <c r="F68" i="6"/>
  <c r="J68" i="6"/>
  <c r="G68" i="6"/>
  <c r="R68" i="6"/>
  <c r="R72" i="6" s="1"/>
  <c r="AE87" i="7" s="1"/>
  <c r="L68" i="6"/>
  <c r="O68" i="6"/>
  <c r="D68" i="6"/>
  <c r="U59" i="6"/>
  <c r="T60" i="6"/>
  <c r="K62" i="7"/>
  <c r="K54" i="3"/>
  <c r="K55" i="3" s="1"/>
  <c r="K57" i="3" s="1"/>
  <c r="L58" i="3" s="1"/>
  <c r="S36" i="5"/>
  <c r="M54" i="3"/>
  <c r="M55" i="3" s="1"/>
  <c r="M57" i="3" s="1"/>
  <c r="N58" i="3" s="1"/>
  <c r="M62" i="7"/>
  <c r="K45" i="5"/>
  <c r="I45" i="5"/>
  <c r="Q45" i="5"/>
  <c r="H45" i="5"/>
  <c r="R45" i="5"/>
  <c r="N45" i="5"/>
  <c r="G45" i="5"/>
  <c r="E45" i="5"/>
  <c r="P45" i="5"/>
  <c r="F45" i="5"/>
  <c r="L45" i="5"/>
  <c r="M45" i="5"/>
  <c r="O45" i="5"/>
  <c r="J45" i="5"/>
  <c r="D45" i="5"/>
  <c r="P62" i="6"/>
  <c r="AA75" i="7" s="1"/>
  <c r="C63" i="7"/>
  <c r="S53" i="6"/>
  <c r="O62" i="6"/>
  <c r="Y75" i="7" s="1"/>
  <c r="T62" i="6"/>
  <c r="U27" i="6"/>
  <c r="M86" i="4"/>
  <c r="N87" i="4" s="1"/>
  <c r="N89" i="4" s="1"/>
  <c r="E86" i="4"/>
  <c r="F87" i="4" s="1"/>
  <c r="F89" i="4" s="1"/>
  <c r="I86" i="4"/>
  <c r="J87" i="4" s="1"/>
  <c r="J89" i="4" s="1"/>
  <c r="Q86" i="4"/>
  <c r="R87" i="4" s="1"/>
  <c r="R89" i="4" s="1"/>
  <c r="AA86" i="4"/>
  <c r="AB87" i="4" s="1"/>
  <c r="AB89" i="4" s="1"/>
  <c r="K86" i="4"/>
  <c r="L87" i="4" s="1"/>
  <c r="L89" i="4" s="1"/>
  <c r="AE86" i="4"/>
  <c r="AF87" i="4" s="1"/>
  <c r="AF89" i="4" s="1"/>
  <c r="S86" i="4"/>
  <c r="T87" i="4" s="1"/>
  <c r="T89" i="4" s="1"/>
  <c r="Y86" i="4"/>
  <c r="Z87" i="4" s="1"/>
  <c r="Z89" i="4" s="1"/>
  <c r="D87" i="4"/>
  <c r="G86" i="4"/>
  <c r="H87" i="4" s="1"/>
  <c r="H89" i="4" s="1"/>
  <c r="AC86" i="4"/>
  <c r="AD87" i="4" s="1"/>
  <c r="AD89" i="4" s="1"/>
  <c r="O86" i="4"/>
  <c r="P87" i="4" s="1"/>
  <c r="P89" i="4" s="1"/>
  <c r="W86" i="4"/>
  <c r="X87" i="4" s="1"/>
  <c r="X89" i="4" s="1"/>
  <c r="U86" i="4"/>
  <c r="V87" i="4" s="1"/>
  <c r="V89" i="4" s="1"/>
  <c r="G54" i="3"/>
  <c r="G55" i="3" s="1"/>
  <c r="G57" i="3" s="1"/>
  <c r="H58" i="3" s="1"/>
  <c r="G62" i="7"/>
  <c r="E62" i="7"/>
  <c r="E54" i="3"/>
  <c r="E55" i="3" s="1"/>
  <c r="E57" i="3" s="1"/>
  <c r="F58" i="3" s="1"/>
  <c r="AE53" i="7"/>
  <c r="AE55" i="7" s="1"/>
  <c r="AF56" i="7" s="1"/>
  <c r="C50" i="7"/>
  <c r="C44" i="3"/>
  <c r="C45" i="3" s="1"/>
  <c r="C47" i="3" s="1"/>
  <c r="D48" i="3" s="1"/>
  <c r="AG73" i="4"/>
  <c r="W62" i="7"/>
  <c r="W54" i="3"/>
  <c r="W55" i="3" s="1"/>
  <c r="AE52" i="7"/>
  <c r="E63" i="7"/>
  <c r="U54" i="3"/>
  <c r="U55" i="3" s="1"/>
  <c r="U62" i="7"/>
  <c r="S62" i="7"/>
  <c r="S54" i="3"/>
  <c r="S55" i="3" s="1"/>
  <c r="U63" i="7"/>
  <c r="G62" i="6"/>
  <c r="E53" i="7"/>
  <c r="E55" i="7" s="1"/>
  <c r="F56" i="7" s="1"/>
  <c r="O62" i="7"/>
  <c r="O54" i="3"/>
  <c r="O55" i="3" s="1"/>
  <c r="O57" i="3" s="1"/>
  <c r="P58" i="3" s="1"/>
  <c r="T69" i="6"/>
  <c r="G25" i="4"/>
  <c r="AK84" i="4"/>
  <c r="H23" i="4"/>
  <c r="J23" i="4" s="1"/>
  <c r="C94" i="4" s="1"/>
  <c r="AK77" i="4"/>
  <c r="AK78" i="4"/>
  <c r="C40" i="7"/>
  <c r="C41" i="7" s="1"/>
  <c r="C43" i="7" s="1"/>
  <c r="D44" i="7" s="1"/>
  <c r="AG44" i="7" s="1"/>
  <c r="S36" i="6"/>
  <c r="U36" i="6" s="1"/>
  <c r="G63" i="7"/>
  <c r="D81" i="4"/>
  <c r="AG79" i="4"/>
  <c r="I62" i="7"/>
  <c r="I54" i="3"/>
  <c r="I55" i="3" s="1"/>
  <c r="I57" i="3" s="1"/>
  <c r="J58" i="3" s="1"/>
  <c r="D45" i="6"/>
  <c r="S42" i="6"/>
  <c r="U42" i="6" s="1"/>
  <c r="F45" i="6"/>
  <c r="Y53" i="7"/>
  <c r="Y55" i="7" s="1"/>
  <c r="Z56" i="7" s="1"/>
  <c r="F62" i="6"/>
  <c r="G75" i="7" s="1"/>
  <c r="S36" i="3"/>
  <c r="S37" i="3" s="1"/>
  <c r="T38" i="3" s="1"/>
  <c r="AE18" i="7"/>
  <c r="S56" i="3"/>
  <c r="S76" i="3"/>
  <c r="S86" i="3"/>
  <c r="S106" i="3"/>
  <c r="S96" i="3"/>
  <c r="U16" i="3"/>
  <c r="S24" i="2"/>
  <c r="G48" i="1" s="1"/>
  <c r="H48" i="1" s="1"/>
  <c r="H83" i="1" s="1"/>
  <c r="H84" i="1" s="1"/>
  <c r="K46" i="1"/>
  <c r="I80" i="1"/>
  <c r="I81" i="1" s="1"/>
  <c r="F92" i="1"/>
  <c r="F93" i="1" s="1"/>
  <c r="J54" i="1"/>
  <c r="J92" i="1" s="1"/>
  <c r="J93" i="1" s="1"/>
  <c r="D92" i="1"/>
  <c r="D93" i="1" s="1"/>
  <c r="O54" i="1"/>
  <c r="O92" i="1" s="1"/>
  <c r="O93" i="1" s="1"/>
  <c r="Q32" i="2"/>
  <c r="F56" i="1" s="1"/>
  <c r="G32" i="2"/>
  <c r="O32" i="2" s="1"/>
  <c r="F32" i="2"/>
  <c r="N32" i="2" s="1"/>
  <c r="D56" i="1"/>
  <c r="G46" i="1"/>
  <c r="R26" i="2"/>
  <c r="E50" i="1"/>
  <c r="C58" i="1"/>
  <c r="E34" i="2"/>
  <c r="D36" i="2"/>
  <c r="T85" i="6" s="1"/>
  <c r="M34" i="2"/>
  <c r="N30" i="2"/>
  <c r="E83" i="1"/>
  <c r="E84" i="1" s="1"/>
  <c r="I48" i="1"/>
  <c r="R28" i="2"/>
  <c r="E52" i="1"/>
  <c r="U126" i="3"/>
  <c r="U116" i="3"/>
  <c r="U66" i="3"/>
  <c r="U46" i="3"/>
  <c r="U47" i="3" s="1"/>
  <c r="U26" i="3"/>
  <c r="U27" i="3" s="1"/>
  <c r="T28" i="3"/>
  <c r="S57" i="3" l="1"/>
  <c r="T58" i="3" s="1"/>
  <c r="U85" i="6"/>
  <c r="K64" i="3"/>
  <c r="K65" i="3" s="1"/>
  <c r="K67" i="3" s="1"/>
  <c r="L68" i="3" s="1"/>
  <c r="K74" i="7"/>
  <c r="U94" i="4"/>
  <c r="V95" i="4" s="1"/>
  <c r="V97" i="4" s="1"/>
  <c r="K94" i="4"/>
  <c r="L95" i="4" s="1"/>
  <c r="L97" i="4" s="1"/>
  <c r="Q94" i="4"/>
  <c r="R95" i="4" s="1"/>
  <c r="R97" i="4" s="1"/>
  <c r="AC94" i="4"/>
  <c r="AD95" i="4" s="1"/>
  <c r="AD97" i="4" s="1"/>
  <c r="W94" i="4"/>
  <c r="X95" i="4" s="1"/>
  <c r="X97" i="4" s="1"/>
  <c r="S94" i="4"/>
  <c r="T95" i="4" s="1"/>
  <c r="T97" i="4" s="1"/>
  <c r="AE94" i="4"/>
  <c r="AF95" i="4" s="1"/>
  <c r="AF97" i="4" s="1"/>
  <c r="D95" i="4"/>
  <c r="O94" i="4"/>
  <c r="P95" i="4" s="1"/>
  <c r="P97" i="4" s="1"/>
  <c r="M94" i="4"/>
  <c r="N95" i="4" s="1"/>
  <c r="N97" i="4" s="1"/>
  <c r="G94" i="4"/>
  <c r="H95" i="4" s="1"/>
  <c r="H97" i="4" s="1"/>
  <c r="E94" i="4"/>
  <c r="F95" i="4" s="1"/>
  <c r="F97" i="4" s="1"/>
  <c r="Y94" i="4"/>
  <c r="Z95" i="4" s="1"/>
  <c r="Z97" i="4" s="1"/>
  <c r="I94" i="4"/>
  <c r="J95" i="4" s="1"/>
  <c r="J97" i="4" s="1"/>
  <c r="AA94" i="4"/>
  <c r="AB95" i="4" s="1"/>
  <c r="AB97" i="4" s="1"/>
  <c r="O74" i="7"/>
  <c r="O64" i="3"/>
  <c r="O65" i="3" s="1"/>
  <c r="O67" i="3" s="1"/>
  <c r="P68" i="3" s="1"/>
  <c r="AK85" i="4"/>
  <c r="AK86" i="4"/>
  <c r="Q74" i="7"/>
  <c r="Q64" i="3"/>
  <c r="Q65" i="3" s="1"/>
  <c r="Q67" i="3" s="1"/>
  <c r="R68" i="3" s="1"/>
  <c r="L72" i="5"/>
  <c r="K72" i="5"/>
  <c r="P72" i="5"/>
  <c r="Q72" i="5"/>
  <c r="M72" i="5"/>
  <c r="H72" i="5"/>
  <c r="O72" i="5"/>
  <c r="F72" i="5"/>
  <c r="D72" i="5"/>
  <c r="G72" i="5"/>
  <c r="N72" i="5"/>
  <c r="E72" i="5"/>
  <c r="R72" i="5"/>
  <c r="J72" i="5"/>
  <c r="I72" i="5"/>
  <c r="G74" i="7"/>
  <c r="G64" i="3"/>
  <c r="G65" i="3" s="1"/>
  <c r="G67" i="3" s="1"/>
  <c r="H68" i="3" s="1"/>
  <c r="K52" i="7"/>
  <c r="K53" i="7" s="1"/>
  <c r="K55" i="7" s="1"/>
  <c r="L56" i="7" s="1"/>
  <c r="C52" i="7"/>
  <c r="C53" i="7" s="1"/>
  <c r="C55" i="7" s="1"/>
  <c r="D56" i="7" s="1"/>
  <c r="U69" i="6"/>
  <c r="T70" i="6"/>
  <c r="E74" i="7"/>
  <c r="E64" i="3"/>
  <c r="E65" i="3" s="1"/>
  <c r="E67" i="3" s="1"/>
  <c r="F68" i="3" s="1"/>
  <c r="P54" i="5"/>
  <c r="N54" i="5"/>
  <c r="Q54" i="5"/>
  <c r="G54" i="5"/>
  <c r="L54" i="5"/>
  <c r="F54" i="5"/>
  <c r="R54" i="5"/>
  <c r="O54" i="5"/>
  <c r="H54" i="5"/>
  <c r="J54" i="5"/>
  <c r="D54" i="5"/>
  <c r="M54" i="5"/>
  <c r="E54" i="5"/>
  <c r="K54" i="5"/>
  <c r="I54" i="5"/>
  <c r="Y74" i="7"/>
  <c r="Y64" i="3"/>
  <c r="Y65" i="3" s="1"/>
  <c r="M74" i="7"/>
  <c r="M64" i="3"/>
  <c r="M65" i="3" s="1"/>
  <c r="M67" i="3" s="1"/>
  <c r="N68" i="3" s="1"/>
  <c r="R60" i="6"/>
  <c r="O60" i="6"/>
  <c r="N60" i="6"/>
  <c r="H60" i="6"/>
  <c r="H63" i="6" s="1"/>
  <c r="K76" i="7" s="1"/>
  <c r="E60" i="6"/>
  <c r="E63" i="6" s="1"/>
  <c r="E76" i="7" s="1"/>
  <c r="Q60" i="6"/>
  <c r="Q63" i="6" s="1"/>
  <c r="AC76" i="7" s="1"/>
  <c r="G60" i="6"/>
  <c r="F60" i="6"/>
  <c r="F63" i="6" s="1"/>
  <c r="G76" i="7" s="1"/>
  <c r="P60" i="6"/>
  <c r="D60" i="6"/>
  <c r="J60" i="6"/>
  <c r="K60" i="6"/>
  <c r="K63" i="6" s="1"/>
  <c r="Q76" i="7" s="1"/>
  <c r="L60" i="6"/>
  <c r="L63" i="6" s="1"/>
  <c r="S76" i="7" s="1"/>
  <c r="M60" i="6"/>
  <c r="M63" i="6" s="1"/>
  <c r="U76" i="7" s="1"/>
  <c r="I60" i="6"/>
  <c r="I63" i="6" s="1"/>
  <c r="M76" i="7" s="1"/>
  <c r="K72" i="6"/>
  <c r="AC52" i="7"/>
  <c r="AC53" i="7" s="1"/>
  <c r="AC55" i="7" s="1"/>
  <c r="AD56" i="7" s="1"/>
  <c r="S75" i="7"/>
  <c r="Q77" i="6"/>
  <c r="Q81" i="6" s="1"/>
  <c r="AC99" i="7" s="1"/>
  <c r="E77" i="6"/>
  <c r="E81" i="6" s="1"/>
  <c r="E99" i="7" s="1"/>
  <c r="P77" i="6"/>
  <c r="P81" i="6" s="1"/>
  <c r="AA99" i="7" s="1"/>
  <c r="M77" i="6"/>
  <c r="M81" i="6" s="1"/>
  <c r="U99" i="7" s="1"/>
  <c r="J77" i="6"/>
  <c r="J81" i="6" s="1"/>
  <c r="O99" i="7" s="1"/>
  <c r="I77" i="6"/>
  <c r="F77" i="6"/>
  <c r="H77" i="6"/>
  <c r="H81" i="6" s="1"/>
  <c r="K99" i="7" s="1"/>
  <c r="R77" i="6"/>
  <c r="N77" i="6"/>
  <c r="N81" i="6" s="1"/>
  <c r="W99" i="7" s="1"/>
  <c r="K77" i="6"/>
  <c r="O77" i="6"/>
  <c r="O81" i="6" s="1"/>
  <c r="Y99" i="7" s="1"/>
  <c r="L77" i="6"/>
  <c r="L81" i="6" s="1"/>
  <c r="S99" i="7" s="1"/>
  <c r="D77" i="6"/>
  <c r="G77" i="6"/>
  <c r="T78" i="6"/>
  <c r="G27" i="4"/>
  <c r="C62" i="7"/>
  <c r="C54" i="3"/>
  <c r="C55" i="3" s="1"/>
  <c r="C57" i="3" s="1"/>
  <c r="D58" i="3" s="1"/>
  <c r="AG81" i="4"/>
  <c r="AA74" i="7"/>
  <c r="AA64" i="3"/>
  <c r="AA65" i="3" s="1"/>
  <c r="S45" i="6"/>
  <c r="U45" i="6" s="1"/>
  <c r="W52" i="7"/>
  <c r="W53" i="7" s="1"/>
  <c r="W55" i="7" s="1"/>
  <c r="X56" i="7" s="1"/>
  <c r="AE75" i="7"/>
  <c r="N72" i="6"/>
  <c r="W87" i="7" s="1"/>
  <c r="I72" i="6"/>
  <c r="M87" i="7" s="1"/>
  <c r="M72" i="6"/>
  <c r="U87" i="7" s="1"/>
  <c r="L72" i="6"/>
  <c r="S87" i="7" s="1"/>
  <c r="P72" i="6"/>
  <c r="AA87" i="7" s="1"/>
  <c r="G72" i="6"/>
  <c r="I87" i="7" s="1"/>
  <c r="F72" i="6"/>
  <c r="D72" i="6"/>
  <c r="G52" i="7"/>
  <c r="G53" i="7" s="1"/>
  <c r="G55" i="7" s="1"/>
  <c r="H56" i="7" s="1"/>
  <c r="U53" i="6"/>
  <c r="U52" i="7"/>
  <c r="U53" i="7" s="1"/>
  <c r="U55" i="7" s="1"/>
  <c r="V56" i="7" s="1"/>
  <c r="I74" i="7"/>
  <c r="I64" i="3"/>
  <c r="I65" i="3" s="1"/>
  <c r="I67" i="3" s="1"/>
  <c r="J68" i="3" s="1"/>
  <c r="I75" i="7"/>
  <c r="D89" i="4"/>
  <c r="AG87" i="4"/>
  <c r="T63" i="6"/>
  <c r="I52" i="7"/>
  <c r="I53" i="7" s="1"/>
  <c r="I55" i="7" s="1"/>
  <c r="J56" i="7" s="1"/>
  <c r="P54" i="6"/>
  <c r="AA64" i="7" s="1"/>
  <c r="K54" i="6"/>
  <c r="Q64" i="7" s="1"/>
  <c r="Q65" i="7" s="1"/>
  <c r="Q67" i="7" s="1"/>
  <c r="R68" i="7" s="1"/>
  <c r="J54" i="6"/>
  <c r="O64" i="7" s="1"/>
  <c r="O65" i="7" s="1"/>
  <c r="O67" i="7" s="1"/>
  <c r="P68" i="7" s="1"/>
  <c r="H54" i="6"/>
  <c r="K64" i="7" s="1"/>
  <c r="K65" i="7" s="1"/>
  <c r="K67" i="7" s="1"/>
  <c r="L68" i="7" s="1"/>
  <c r="Q54" i="6"/>
  <c r="AC64" i="7" s="1"/>
  <c r="AC65" i="7" s="1"/>
  <c r="AC67" i="7" s="1"/>
  <c r="AD68" i="7" s="1"/>
  <c r="I54" i="6"/>
  <c r="M64" i="7" s="1"/>
  <c r="M65" i="7" s="1"/>
  <c r="M67" i="7" s="1"/>
  <c r="N68" i="7" s="1"/>
  <c r="G54" i="6"/>
  <c r="I64" i="7" s="1"/>
  <c r="F54" i="6"/>
  <c r="G64" i="7" s="1"/>
  <c r="G65" i="7" s="1"/>
  <c r="G67" i="7" s="1"/>
  <c r="H68" i="7" s="1"/>
  <c r="O54" i="6"/>
  <c r="E54" i="6"/>
  <c r="R54" i="6"/>
  <c r="L54" i="6"/>
  <c r="N54" i="6"/>
  <c r="W64" i="7" s="1"/>
  <c r="W65" i="7" s="1"/>
  <c r="W67" i="7" s="1"/>
  <c r="X68" i="7" s="1"/>
  <c r="M54" i="6"/>
  <c r="U64" i="7" s="1"/>
  <c r="U65" i="7" s="1"/>
  <c r="U67" i="7" s="1"/>
  <c r="V68" i="7" s="1"/>
  <c r="D54" i="6"/>
  <c r="S74" i="7"/>
  <c r="S64" i="3"/>
  <c r="S65" i="3" s="1"/>
  <c r="S67" i="3" s="1"/>
  <c r="T68" i="3" s="1"/>
  <c r="S68" i="6"/>
  <c r="U68" i="6" s="1"/>
  <c r="H72" i="6"/>
  <c r="Q52" i="7"/>
  <c r="Q53" i="7" s="1"/>
  <c r="Q55" i="7" s="1"/>
  <c r="R56" i="7" s="1"/>
  <c r="M75" i="7"/>
  <c r="W74" i="7"/>
  <c r="W64" i="3"/>
  <c r="W65" i="3" s="1"/>
  <c r="O52" i="7"/>
  <c r="O53" i="7" s="1"/>
  <c r="O55" i="7" s="1"/>
  <c r="P56" i="7" s="1"/>
  <c r="AA65" i="7"/>
  <c r="AA67" i="7" s="1"/>
  <c r="AB68" i="7" s="1"/>
  <c r="O75" i="7"/>
  <c r="AC74" i="7"/>
  <c r="AC77" i="7" s="1"/>
  <c r="AC79" i="7" s="1"/>
  <c r="AD80" i="7" s="1"/>
  <c r="AC64" i="3"/>
  <c r="AC65" i="3" s="1"/>
  <c r="AK92" i="4"/>
  <c r="H25" i="4"/>
  <c r="J25" i="4" s="1"/>
  <c r="C102" i="4" s="1"/>
  <c r="J72" i="6"/>
  <c r="O87" i="7" s="1"/>
  <c r="S45" i="5"/>
  <c r="C81" i="6"/>
  <c r="C81" i="5"/>
  <c r="P32" i="2"/>
  <c r="I65" i="7"/>
  <c r="I67" i="7" s="1"/>
  <c r="J68" i="7" s="1"/>
  <c r="AL79" i="4"/>
  <c r="U74" i="7"/>
  <c r="U64" i="3"/>
  <c r="U65" i="3" s="1"/>
  <c r="U67" i="3" s="1"/>
  <c r="V68" i="3" s="1"/>
  <c r="AE74" i="7"/>
  <c r="AE64" i="3"/>
  <c r="AE65" i="3" s="1"/>
  <c r="O72" i="6"/>
  <c r="Y87" i="7" s="1"/>
  <c r="Q72" i="6"/>
  <c r="AC87" i="7" s="1"/>
  <c r="M52" i="7"/>
  <c r="M53" i="7" s="1"/>
  <c r="M55" i="7" s="1"/>
  <c r="N56" i="7" s="1"/>
  <c r="S51" i="6"/>
  <c r="U51" i="6" s="1"/>
  <c r="C75" i="7"/>
  <c r="S62" i="6"/>
  <c r="U62" i="6" s="1"/>
  <c r="S62" i="5"/>
  <c r="U36" i="3"/>
  <c r="U37" i="3" s="1"/>
  <c r="V38" i="3" s="1"/>
  <c r="U56" i="3"/>
  <c r="U57" i="3" s="1"/>
  <c r="V58" i="3" s="1"/>
  <c r="U106" i="3"/>
  <c r="U76" i="3"/>
  <c r="U96" i="3"/>
  <c r="U86" i="3"/>
  <c r="W16" i="3"/>
  <c r="T24" i="2"/>
  <c r="R32" i="2"/>
  <c r="E56" i="1"/>
  <c r="F95" i="1"/>
  <c r="F96" i="1" s="1"/>
  <c r="J56" i="1"/>
  <c r="J95" i="1" s="1"/>
  <c r="J96" i="1" s="1"/>
  <c r="P30" i="2"/>
  <c r="E89" i="1"/>
  <c r="E90" i="1" s="1"/>
  <c r="I52" i="1"/>
  <c r="G80" i="1"/>
  <c r="AH32" i="7" s="1"/>
  <c r="L46" i="1"/>
  <c r="L80" i="1" s="1"/>
  <c r="L81" i="1" s="1"/>
  <c r="H46" i="1"/>
  <c r="S26" i="2"/>
  <c r="C60" i="1"/>
  <c r="C101" i="1" s="1"/>
  <c r="C102" i="1" s="1"/>
  <c r="D38" i="2"/>
  <c r="T94" i="6" s="1"/>
  <c r="M36" i="2"/>
  <c r="E36" i="2"/>
  <c r="G83" i="1"/>
  <c r="AH44" i="7" s="1"/>
  <c r="L48" i="1"/>
  <c r="L83" i="1" s="1"/>
  <c r="L84" i="1" s="1"/>
  <c r="E86" i="1"/>
  <c r="E87" i="1" s="1"/>
  <c r="I50" i="1"/>
  <c r="K80" i="1"/>
  <c r="K81" i="1" s="1"/>
  <c r="S28" i="2"/>
  <c r="G52" i="1" s="1"/>
  <c r="H52" i="1" s="1"/>
  <c r="H89" i="1" s="1"/>
  <c r="H90" i="1" s="1"/>
  <c r="F34" i="2"/>
  <c r="N34" i="2" s="1"/>
  <c r="D58" i="1"/>
  <c r="Q34" i="2"/>
  <c r="F58" i="1" s="1"/>
  <c r="G34" i="2"/>
  <c r="O34" i="2" s="1"/>
  <c r="I83" i="1"/>
  <c r="I84" i="1" s="1"/>
  <c r="K48" i="1"/>
  <c r="C98" i="1"/>
  <c r="C99" i="1" s="1"/>
  <c r="D95" i="1"/>
  <c r="D96" i="1" s="1"/>
  <c r="O56" i="1"/>
  <c r="O95" i="1" s="1"/>
  <c r="O96" i="1" s="1"/>
  <c r="W126" i="3"/>
  <c r="W116" i="3"/>
  <c r="W66" i="3"/>
  <c r="W46" i="3"/>
  <c r="W47" i="3" s="1"/>
  <c r="V48" i="3"/>
  <c r="W26" i="3"/>
  <c r="W27" i="3" s="1"/>
  <c r="V28" i="3"/>
  <c r="E77" i="7" l="1"/>
  <c r="E79" i="7" s="1"/>
  <c r="F80" i="7" s="1"/>
  <c r="S64" i="7"/>
  <c r="S65" i="7" s="1"/>
  <c r="S67" i="7" s="1"/>
  <c r="T68" i="7" s="1"/>
  <c r="AK100" i="4"/>
  <c r="H27" i="4"/>
  <c r="J27" i="4" s="1"/>
  <c r="C110" i="4" s="1"/>
  <c r="K86" i="7"/>
  <c r="K74" i="3"/>
  <c r="K75" i="3" s="1"/>
  <c r="K77" i="3" s="1"/>
  <c r="L78" i="3" s="1"/>
  <c r="O86" i="7"/>
  <c r="O74" i="3"/>
  <c r="O75" i="3" s="1"/>
  <c r="O77" i="3" s="1"/>
  <c r="P78" i="3" s="1"/>
  <c r="T87" i="6"/>
  <c r="G29" i="4"/>
  <c r="R73" i="5"/>
  <c r="G73" i="5"/>
  <c r="I73" i="5"/>
  <c r="M73" i="5"/>
  <c r="P73" i="5"/>
  <c r="J73" i="5"/>
  <c r="O73" i="5"/>
  <c r="K73" i="5"/>
  <c r="L73" i="5"/>
  <c r="N73" i="5"/>
  <c r="Q73" i="5"/>
  <c r="F73" i="5"/>
  <c r="H73" i="5"/>
  <c r="D73" i="5"/>
  <c r="E73" i="5"/>
  <c r="N70" i="6"/>
  <c r="L70" i="6"/>
  <c r="D70" i="6"/>
  <c r="O70" i="6"/>
  <c r="J70" i="6"/>
  <c r="K70" i="6"/>
  <c r="E70" i="6"/>
  <c r="M70" i="6"/>
  <c r="M73" i="6" s="1"/>
  <c r="Q70" i="6"/>
  <c r="P70" i="6"/>
  <c r="H70" i="6"/>
  <c r="I70" i="6"/>
  <c r="R70" i="6"/>
  <c r="R73" i="6" s="1"/>
  <c r="AE88" i="7" s="1"/>
  <c r="G70" i="6"/>
  <c r="F70" i="6"/>
  <c r="F73" i="6" s="1"/>
  <c r="Y64" i="7"/>
  <c r="Y65" i="7" s="1"/>
  <c r="Y67" i="7" s="1"/>
  <c r="Z68" i="7" s="1"/>
  <c r="AA74" i="3"/>
  <c r="AA75" i="3" s="1"/>
  <c r="AA86" i="7"/>
  <c r="K77" i="7"/>
  <c r="K79" i="7" s="1"/>
  <c r="L80" i="7" s="1"/>
  <c r="W67" i="3"/>
  <c r="X68" i="3" s="1"/>
  <c r="M46" i="1"/>
  <c r="M80" i="1" s="1"/>
  <c r="M81" i="1" s="1"/>
  <c r="U94" i="6"/>
  <c r="T95" i="6" s="1"/>
  <c r="Q81" i="5"/>
  <c r="K81" i="5"/>
  <c r="R81" i="5"/>
  <c r="P81" i="5"/>
  <c r="I81" i="5"/>
  <c r="L81" i="5"/>
  <c r="M81" i="5"/>
  <c r="E81" i="5"/>
  <c r="F81" i="5"/>
  <c r="J81" i="5"/>
  <c r="D81" i="5"/>
  <c r="N81" i="5"/>
  <c r="G81" i="5"/>
  <c r="O81" i="5"/>
  <c r="H81" i="5"/>
  <c r="AK93" i="4"/>
  <c r="AK94" i="4"/>
  <c r="AL95" i="4" s="1"/>
  <c r="S77" i="7"/>
  <c r="S79" i="7" s="1"/>
  <c r="T80" i="7" s="1"/>
  <c r="S72" i="6"/>
  <c r="C87" i="7"/>
  <c r="G81" i="6"/>
  <c r="F81" i="6"/>
  <c r="G99" i="7" s="1"/>
  <c r="J63" i="6"/>
  <c r="O76" i="7" s="1"/>
  <c r="O77" i="7" s="1"/>
  <c r="O79" i="7" s="1"/>
  <c r="P80" i="7" s="1"/>
  <c r="N63" i="6"/>
  <c r="W76" i="7" s="1"/>
  <c r="W77" i="7" s="1"/>
  <c r="W79" i="7" s="1"/>
  <c r="X80" i="7" s="1"/>
  <c r="Y77" i="7"/>
  <c r="Y79" i="7" s="1"/>
  <c r="Z80" i="7" s="1"/>
  <c r="I86" i="7"/>
  <c r="I74" i="3"/>
  <c r="I75" i="3" s="1"/>
  <c r="I77" i="3" s="1"/>
  <c r="J78" i="3" s="1"/>
  <c r="S86" i="7"/>
  <c r="S74" i="3"/>
  <c r="S75" i="3" s="1"/>
  <c r="S77" i="3" s="1"/>
  <c r="T78" i="3" s="1"/>
  <c r="K87" i="7"/>
  <c r="Q87" i="7"/>
  <c r="Q86" i="7"/>
  <c r="Q74" i="3"/>
  <c r="Q75" i="3" s="1"/>
  <c r="Q77" i="3" s="1"/>
  <c r="R78" i="3" s="1"/>
  <c r="N73" i="6"/>
  <c r="W88" i="7" s="1"/>
  <c r="J73" i="6"/>
  <c r="O88" i="7" s="1"/>
  <c r="E73" i="6"/>
  <c r="E88" i="7" s="1"/>
  <c r="I73" i="6"/>
  <c r="M88" i="7" s="1"/>
  <c r="P73" i="6"/>
  <c r="Q73" i="6"/>
  <c r="AC88" i="7" s="1"/>
  <c r="L73" i="6"/>
  <c r="S88" i="7" s="1"/>
  <c r="H73" i="6"/>
  <c r="K88" i="7" s="1"/>
  <c r="O73" i="6"/>
  <c r="Y88" i="7" s="1"/>
  <c r="G73" i="6"/>
  <c r="I88" i="7" s="1"/>
  <c r="K73" i="6"/>
  <c r="Q88" i="7" s="1"/>
  <c r="D73" i="6"/>
  <c r="AE64" i="7"/>
  <c r="AE65" i="7" s="1"/>
  <c r="AE67" i="7" s="1"/>
  <c r="AF68" i="7" s="1"/>
  <c r="U78" i="6"/>
  <c r="T79" i="6"/>
  <c r="E64" i="7"/>
  <c r="E65" i="7" s="1"/>
  <c r="E67" i="7" s="1"/>
  <c r="F68" i="7" s="1"/>
  <c r="S72" i="5"/>
  <c r="D97" i="4"/>
  <c r="AG95" i="4"/>
  <c r="AE102" i="4"/>
  <c r="AF103" i="4" s="1"/>
  <c r="AF105" i="4" s="1"/>
  <c r="U102" i="4"/>
  <c r="V103" i="4" s="1"/>
  <c r="V105" i="4" s="1"/>
  <c r="AA102" i="4"/>
  <c r="AB103" i="4" s="1"/>
  <c r="AB105" i="4" s="1"/>
  <c r="AC102" i="4"/>
  <c r="AD103" i="4" s="1"/>
  <c r="AD105" i="4" s="1"/>
  <c r="Q102" i="4"/>
  <c r="R103" i="4" s="1"/>
  <c r="R105" i="4" s="1"/>
  <c r="G102" i="4"/>
  <c r="H103" i="4" s="1"/>
  <c r="H105" i="4" s="1"/>
  <c r="Y102" i="4"/>
  <c r="Z103" i="4" s="1"/>
  <c r="Z105" i="4" s="1"/>
  <c r="M102" i="4"/>
  <c r="N103" i="4" s="1"/>
  <c r="N105" i="4" s="1"/>
  <c r="D103" i="4"/>
  <c r="S102" i="4"/>
  <c r="T103" i="4" s="1"/>
  <c r="T105" i="4" s="1"/>
  <c r="E102" i="4"/>
  <c r="F103" i="4" s="1"/>
  <c r="F105" i="4" s="1"/>
  <c r="I102" i="4"/>
  <c r="J103" i="4" s="1"/>
  <c r="J105" i="4" s="1"/>
  <c r="W102" i="4"/>
  <c r="X103" i="4" s="1"/>
  <c r="X105" i="4" s="1"/>
  <c r="O102" i="4"/>
  <c r="P103" i="4" s="1"/>
  <c r="P105" i="4" s="1"/>
  <c r="K102" i="4"/>
  <c r="L103" i="4" s="1"/>
  <c r="L105" i="4" s="1"/>
  <c r="S54" i="5"/>
  <c r="AE86" i="7"/>
  <c r="AE74" i="3"/>
  <c r="AE75" i="3" s="1"/>
  <c r="U77" i="7"/>
  <c r="U79" i="7" s="1"/>
  <c r="V80" i="7" s="1"/>
  <c r="K81" i="6"/>
  <c r="Q99" i="7" s="1"/>
  <c r="R81" i="6"/>
  <c r="S54" i="6"/>
  <c r="U54" i="6" s="1"/>
  <c r="C64" i="7"/>
  <c r="C65" i="7" s="1"/>
  <c r="C67" i="7" s="1"/>
  <c r="D68" i="7" s="1"/>
  <c r="R63" i="5"/>
  <c r="M63" i="5"/>
  <c r="H63" i="5"/>
  <c r="Q63" i="5"/>
  <c r="N63" i="5"/>
  <c r="L63" i="5"/>
  <c r="E63" i="5"/>
  <c r="J63" i="5"/>
  <c r="D63" i="5"/>
  <c r="G63" i="5"/>
  <c r="P63" i="5"/>
  <c r="O63" i="5"/>
  <c r="F63" i="5"/>
  <c r="K63" i="5"/>
  <c r="I63" i="5"/>
  <c r="G87" i="7"/>
  <c r="D81" i="6"/>
  <c r="S77" i="6"/>
  <c r="U77" i="6" s="1"/>
  <c r="I81" i="6"/>
  <c r="S60" i="6"/>
  <c r="U60" i="6" s="1"/>
  <c r="Q77" i="7"/>
  <c r="Q79" i="7" s="1"/>
  <c r="R80" i="7" s="1"/>
  <c r="Y86" i="7"/>
  <c r="Y74" i="3"/>
  <c r="Y75" i="3" s="1"/>
  <c r="W86" i="7"/>
  <c r="W89" i="7" s="1"/>
  <c r="W91" i="7" s="1"/>
  <c r="X92" i="7" s="1"/>
  <c r="W74" i="3"/>
  <c r="W75" i="3" s="1"/>
  <c r="G74" i="3"/>
  <c r="G75" i="3" s="1"/>
  <c r="G77" i="3" s="1"/>
  <c r="H78" i="3" s="1"/>
  <c r="G86" i="7"/>
  <c r="O86" i="6"/>
  <c r="M86" i="6"/>
  <c r="J86" i="6"/>
  <c r="E86" i="6"/>
  <c r="R86" i="6"/>
  <c r="Q86" i="6"/>
  <c r="I86" i="6"/>
  <c r="H86" i="6"/>
  <c r="L86" i="6"/>
  <c r="G86" i="6"/>
  <c r="N86" i="6"/>
  <c r="K86" i="6"/>
  <c r="D86" i="6"/>
  <c r="P86" i="6"/>
  <c r="F86" i="6"/>
  <c r="M86" i="7"/>
  <c r="M74" i="3"/>
  <c r="M75" i="3" s="1"/>
  <c r="M77" i="3" s="1"/>
  <c r="N78" i="3" s="1"/>
  <c r="T73" i="6"/>
  <c r="U74" i="3"/>
  <c r="U75" i="3" s="1"/>
  <c r="U77" i="3" s="1"/>
  <c r="V78" i="3" s="1"/>
  <c r="U86" i="7"/>
  <c r="AG56" i="7"/>
  <c r="M77" i="7"/>
  <c r="M79" i="7" s="1"/>
  <c r="N80" i="7" s="1"/>
  <c r="G77" i="7"/>
  <c r="G79" i="7" s="1"/>
  <c r="H80" i="7" s="1"/>
  <c r="C90" i="6"/>
  <c r="C90" i="5"/>
  <c r="O63" i="6"/>
  <c r="Y76" i="7" s="1"/>
  <c r="D63" i="6"/>
  <c r="G63" i="6"/>
  <c r="AG89" i="4"/>
  <c r="C74" i="7"/>
  <c r="C64" i="3"/>
  <c r="C65" i="3" s="1"/>
  <c r="C67" i="3" s="1"/>
  <c r="D68" i="3" s="1"/>
  <c r="P63" i="6"/>
  <c r="AA76" i="7" s="1"/>
  <c r="AA77" i="7" s="1"/>
  <c r="AA79" i="7" s="1"/>
  <c r="AB80" i="7" s="1"/>
  <c r="R63" i="6"/>
  <c r="AE76" i="7" s="1"/>
  <c r="AE77" i="7" s="1"/>
  <c r="AE79" i="7" s="1"/>
  <c r="AF80" i="7" s="1"/>
  <c r="T81" i="6"/>
  <c r="AL87" i="4"/>
  <c r="E86" i="7"/>
  <c r="E74" i="3"/>
  <c r="E75" i="3" s="1"/>
  <c r="E77" i="3" s="1"/>
  <c r="F78" i="3" s="1"/>
  <c r="AC74" i="3"/>
  <c r="AC75" i="3" s="1"/>
  <c r="AC86" i="7"/>
  <c r="T86" i="6"/>
  <c r="T90" i="6" s="1"/>
  <c r="W36" i="3"/>
  <c r="W37" i="3" s="1"/>
  <c r="X38" i="3" s="1"/>
  <c r="W56" i="3"/>
  <c r="W57" i="3" s="1"/>
  <c r="X58" i="3" s="1"/>
  <c r="W96" i="3"/>
  <c r="W76" i="3"/>
  <c r="Y16" i="3"/>
  <c r="W106" i="3"/>
  <c r="W86" i="3"/>
  <c r="P34" i="2"/>
  <c r="R34" i="2" s="1"/>
  <c r="T28" i="2"/>
  <c r="G84" i="1"/>
  <c r="AH38" i="3"/>
  <c r="M38" i="2"/>
  <c r="D40" i="2"/>
  <c r="T103" i="6" s="1"/>
  <c r="E38" i="2"/>
  <c r="C62" i="1"/>
  <c r="C104" i="1" s="1"/>
  <c r="C105" i="1" s="1"/>
  <c r="G81" i="1"/>
  <c r="AH28" i="3"/>
  <c r="F36" i="2"/>
  <c r="D60" i="1"/>
  <c r="Q36" i="2"/>
  <c r="F60" i="1" s="1"/>
  <c r="G36" i="2"/>
  <c r="O36" i="2" s="1"/>
  <c r="R30" i="2"/>
  <c r="E54" i="1"/>
  <c r="I86" i="1"/>
  <c r="I87" i="1" s="1"/>
  <c r="K50" i="1"/>
  <c r="D98" i="1"/>
  <c r="D99" i="1" s="1"/>
  <c r="O58" i="1"/>
  <c r="O98" i="1" s="1"/>
  <c r="O99" i="1" s="1"/>
  <c r="I56" i="1"/>
  <c r="E95" i="1"/>
  <c r="E96" i="1" s="1"/>
  <c r="G50" i="1"/>
  <c r="G89" i="1"/>
  <c r="AH68" i="7" s="1"/>
  <c r="L52" i="1"/>
  <c r="L89" i="1" s="1"/>
  <c r="L90" i="1" s="1"/>
  <c r="K83" i="1"/>
  <c r="K84" i="1" s="1"/>
  <c r="M48" i="1"/>
  <c r="M83" i="1" s="1"/>
  <c r="M84" i="1" s="1"/>
  <c r="H80" i="1"/>
  <c r="H81" i="1" s="1"/>
  <c r="F98" i="1"/>
  <c r="F99" i="1" s="1"/>
  <c r="J58" i="1"/>
  <c r="J98" i="1" s="1"/>
  <c r="J99" i="1" s="1"/>
  <c r="T26" i="2"/>
  <c r="I89" i="1"/>
  <c r="I90" i="1" s="1"/>
  <c r="K52" i="1"/>
  <c r="S32" i="2"/>
  <c r="G56" i="1" s="1"/>
  <c r="Y126" i="3"/>
  <c r="Y116" i="3"/>
  <c r="Y66" i="3"/>
  <c r="Y67" i="3" s="1"/>
  <c r="X48" i="3"/>
  <c r="Y46" i="3"/>
  <c r="Y47" i="3" s="1"/>
  <c r="Y26" i="3"/>
  <c r="Y27" i="3" s="1"/>
  <c r="X28" i="3"/>
  <c r="AC89" i="7" l="1"/>
  <c r="AC91" i="7" s="1"/>
  <c r="AD92" i="7" s="1"/>
  <c r="K89" i="7"/>
  <c r="K91" i="7" s="1"/>
  <c r="L92" i="7" s="1"/>
  <c r="I89" i="7"/>
  <c r="I91" i="7" s="1"/>
  <c r="J92" i="7" s="1"/>
  <c r="AG68" i="7"/>
  <c r="G88" i="7"/>
  <c r="U88" i="7"/>
  <c r="U89" i="7" s="1"/>
  <c r="U91" i="7" s="1"/>
  <c r="V92" i="7" s="1"/>
  <c r="G89" i="7"/>
  <c r="G91" i="7" s="1"/>
  <c r="H92" i="7" s="1"/>
  <c r="E84" i="3"/>
  <c r="E85" i="3" s="1"/>
  <c r="E87" i="3" s="1"/>
  <c r="F88" i="3" s="1"/>
  <c r="E98" i="7"/>
  <c r="Q89" i="7"/>
  <c r="Q91" i="7" s="1"/>
  <c r="R92" i="7" s="1"/>
  <c r="U98" i="7"/>
  <c r="U84" i="3"/>
  <c r="U85" i="3" s="1"/>
  <c r="U87" i="3" s="1"/>
  <c r="V88" i="3" s="1"/>
  <c r="P82" i="5"/>
  <c r="M82" i="5"/>
  <c r="R82" i="5"/>
  <c r="L82" i="5"/>
  <c r="O82" i="5"/>
  <c r="E82" i="5"/>
  <c r="I82" i="5"/>
  <c r="D82" i="5"/>
  <c r="G82" i="5"/>
  <c r="N82" i="5"/>
  <c r="H82" i="5"/>
  <c r="K82" i="5"/>
  <c r="J82" i="5"/>
  <c r="F82" i="5"/>
  <c r="Q82" i="5"/>
  <c r="Y110" i="4"/>
  <c r="Z111" i="4" s="1"/>
  <c r="Z113" i="4" s="1"/>
  <c r="M110" i="4"/>
  <c r="N111" i="4" s="1"/>
  <c r="N113" i="4" s="1"/>
  <c r="S110" i="4"/>
  <c r="T111" i="4" s="1"/>
  <c r="T113" i="4" s="1"/>
  <c r="W110" i="4"/>
  <c r="X111" i="4" s="1"/>
  <c r="X113" i="4" s="1"/>
  <c r="AA110" i="4"/>
  <c r="AB111" i="4" s="1"/>
  <c r="AB113" i="4" s="1"/>
  <c r="Q110" i="4"/>
  <c r="R111" i="4" s="1"/>
  <c r="R113" i="4" s="1"/>
  <c r="AC110" i="4"/>
  <c r="AD111" i="4" s="1"/>
  <c r="AD113" i="4" s="1"/>
  <c r="O110" i="4"/>
  <c r="P111" i="4" s="1"/>
  <c r="P113" i="4" s="1"/>
  <c r="G110" i="4"/>
  <c r="H111" i="4" s="1"/>
  <c r="H113" i="4" s="1"/>
  <c r="AE110" i="4"/>
  <c r="AF111" i="4" s="1"/>
  <c r="AF113" i="4" s="1"/>
  <c r="E110" i="4"/>
  <c r="F111" i="4" s="1"/>
  <c r="F113" i="4" s="1"/>
  <c r="K110" i="4"/>
  <c r="L111" i="4" s="1"/>
  <c r="L113" i="4" s="1"/>
  <c r="I110" i="4"/>
  <c r="J111" i="4" s="1"/>
  <c r="J113" i="4" s="1"/>
  <c r="D111" i="4"/>
  <c r="U110" i="4"/>
  <c r="V111" i="4" s="1"/>
  <c r="V113" i="4" s="1"/>
  <c r="R82" i="6"/>
  <c r="AE100" i="7" s="1"/>
  <c r="D82" i="6"/>
  <c r="G82" i="6"/>
  <c r="I100" i="7" s="1"/>
  <c r="E82" i="6"/>
  <c r="E100" i="7" s="1"/>
  <c r="S73" i="5"/>
  <c r="M98" i="7"/>
  <c r="M101" i="7" s="1"/>
  <c r="M103" i="7" s="1"/>
  <c r="N104" i="7" s="1"/>
  <c r="M84" i="3"/>
  <c r="M85" i="3" s="1"/>
  <c r="M87" i="3" s="1"/>
  <c r="N88" i="3" s="1"/>
  <c r="L90" i="5"/>
  <c r="N90" i="5"/>
  <c r="G90" i="5"/>
  <c r="E90" i="5"/>
  <c r="H90" i="5"/>
  <c r="I90" i="5"/>
  <c r="P90" i="5"/>
  <c r="D90" i="5"/>
  <c r="Q90" i="5"/>
  <c r="M90" i="5"/>
  <c r="R90" i="5"/>
  <c r="O90" i="5"/>
  <c r="J90" i="5"/>
  <c r="K90" i="5"/>
  <c r="F90" i="5"/>
  <c r="K98" i="7"/>
  <c r="K84" i="3"/>
  <c r="K85" i="3" s="1"/>
  <c r="K87" i="3" s="1"/>
  <c r="L88" i="3" s="1"/>
  <c r="C76" i="7"/>
  <c r="C77" i="7" s="1"/>
  <c r="C79" i="7" s="1"/>
  <c r="D80" i="7" s="1"/>
  <c r="S63" i="6"/>
  <c r="P90" i="6"/>
  <c r="F90" i="6"/>
  <c r="N90" i="6"/>
  <c r="M90" i="6"/>
  <c r="L90" i="6"/>
  <c r="I90" i="6"/>
  <c r="M111" i="7" s="1"/>
  <c r="H90" i="6"/>
  <c r="R90" i="6"/>
  <c r="AE111" i="7" s="1"/>
  <c r="K90" i="6"/>
  <c r="G90" i="6"/>
  <c r="I111" i="7" s="1"/>
  <c r="J90" i="6"/>
  <c r="O90" i="6"/>
  <c r="E90" i="6"/>
  <c r="Q90" i="6"/>
  <c r="D90" i="6"/>
  <c r="Y89" i="7"/>
  <c r="Y91" i="7" s="1"/>
  <c r="Z92" i="7" s="1"/>
  <c r="C99" i="7"/>
  <c r="S81" i="6"/>
  <c r="U81" i="6" s="1"/>
  <c r="O98" i="7"/>
  <c r="O84" i="3"/>
  <c r="O85" i="3" s="1"/>
  <c r="O87" i="3" s="1"/>
  <c r="P88" i="3" s="1"/>
  <c r="G84" i="3"/>
  <c r="G85" i="3" s="1"/>
  <c r="G87" i="3" s="1"/>
  <c r="H88" i="3" s="1"/>
  <c r="G98" i="7"/>
  <c r="S70" i="6"/>
  <c r="U70" i="6" s="1"/>
  <c r="S84" i="3"/>
  <c r="S85" i="3" s="1"/>
  <c r="S87" i="3" s="1"/>
  <c r="T88" i="3" s="1"/>
  <c r="S98" i="7"/>
  <c r="U87" i="6"/>
  <c r="T88" i="6"/>
  <c r="D105" i="4"/>
  <c r="AG103" i="4"/>
  <c r="S86" i="6"/>
  <c r="U86" i="6" s="1"/>
  <c r="M99" i="7"/>
  <c r="O89" i="7"/>
  <c r="O91" i="7" s="1"/>
  <c r="P92" i="7" s="1"/>
  <c r="C99" i="6"/>
  <c r="C99" i="5"/>
  <c r="I76" i="7"/>
  <c r="I77" i="7" s="1"/>
  <c r="I79" i="7" s="1"/>
  <c r="J80" i="7" s="1"/>
  <c r="AE99" i="7"/>
  <c r="AG97" i="4"/>
  <c r="C74" i="3"/>
  <c r="C75" i="3" s="1"/>
  <c r="C77" i="3" s="1"/>
  <c r="D78" i="3" s="1"/>
  <c r="C86" i="7"/>
  <c r="O79" i="6"/>
  <c r="O82" i="6" s="1"/>
  <c r="L79" i="6"/>
  <c r="L82" i="6" s="1"/>
  <c r="K79" i="6"/>
  <c r="K82" i="6" s="1"/>
  <c r="J79" i="6"/>
  <c r="J82" i="6" s="1"/>
  <c r="D79" i="6"/>
  <c r="N79" i="6"/>
  <c r="N82" i="6" s="1"/>
  <c r="H79" i="6"/>
  <c r="H82" i="6" s="1"/>
  <c r="G79" i="6"/>
  <c r="R79" i="6"/>
  <c r="Q79" i="6"/>
  <c r="Q82" i="6" s="1"/>
  <c r="P79" i="6"/>
  <c r="P82" i="6" s="1"/>
  <c r="AA100" i="7" s="1"/>
  <c r="M79" i="6"/>
  <c r="M82" i="6" s="1"/>
  <c r="F79" i="6"/>
  <c r="F82" i="6" s="1"/>
  <c r="G100" i="7" s="1"/>
  <c r="E79" i="6"/>
  <c r="I79" i="6"/>
  <c r="I82" i="6" s="1"/>
  <c r="M100" i="7" s="1"/>
  <c r="W98" i="7"/>
  <c r="W84" i="3"/>
  <c r="W85" i="3" s="1"/>
  <c r="W87" i="3" s="1"/>
  <c r="X88" i="3" s="1"/>
  <c r="Q84" i="3"/>
  <c r="Q85" i="3" s="1"/>
  <c r="Q87" i="3" s="1"/>
  <c r="R88" i="3" s="1"/>
  <c r="Q98" i="7"/>
  <c r="S89" i="7"/>
  <c r="S91" i="7" s="1"/>
  <c r="T92" i="7" s="1"/>
  <c r="I99" i="7"/>
  <c r="AE89" i="7"/>
  <c r="AE91" i="7" s="1"/>
  <c r="AF92" i="7" s="1"/>
  <c r="AA98" i="7"/>
  <c r="AA84" i="3"/>
  <c r="AA85" i="3" s="1"/>
  <c r="U72" i="6"/>
  <c r="AK108" i="4"/>
  <c r="H29" i="4"/>
  <c r="J29" i="4" s="1"/>
  <c r="C118" i="4" s="1"/>
  <c r="T96" i="6"/>
  <c r="G31" i="4"/>
  <c r="AE98" i="7"/>
  <c r="AE84" i="3"/>
  <c r="AE85" i="3" s="1"/>
  <c r="S81" i="5"/>
  <c r="AK101" i="4"/>
  <c r="AK102" i="4"/>
  <c r="AL103" i="4" s="1"/>
  <c r="U103" i="6"/>
  <c r="T104" i="6"/>
  <c r="T82" i="6"/>
  <c r="Y98" i="7"/>
  <c r="Y84" i="3"/>
  <c r="Y85" i="3" s="1"/>
  <c r="E58" i="1"/>
  <c r="I58" i="1" s="1"/>
  <c r="E89" i="7"/>
  <c r="E91" i="7" s="1"/>
  <c r="F92" i="7" s="1"/>
  <c r="M89" i="7"/>
  <c r="M91" i="7" s="1"/>
  <c r="N92" i="7" s="1"/>
  <c r="S63" i="5"/>
  <c r="I84" i="3"/>
  <c r="I85" i="3" s="1"/>
  <c r="I87" i="3" s="1"/>
  <c r="J88" i="3" s="1"/>
  <c r="I98" i="7"/>
  <c r="AC98" i="7"/>
  <c r="AC84" i="3"/>
  <c r="AC85" i="3" s="1"/>
  <c r="S73" i="6"/>
  <c r="U73" i="6" s="1"/>
  <c r="C88" i="7"/>
  <c r="AA88" i="7"/>
  <c r="AA89" i="7" s="1"/>
  <c r="AA91" i="7" s="1"/>
  <c r="AB92" i="7" s="1"/>
  <c r="K95" i="6"/>
  <c r="N95" i="6"/>
  <c r="M95" i="6"/>
  <c r="G95" i="6"/>
  <c r="F95" i="6"/>
  <c r="E95" i="6"/>
  <c r="D95" i="6"/>
  <c r="P95" i="6"/>
  <c r="O95" i="6"/>
  <c r="H95" i="6"/>
  <c r="I95" i="6"/>
  <c r="L95" i="6"/>
  <c r="Q95" i="6"/>
  <c r="J95" i="6"/>
  <c r="R95" i="6"/>
  <c r="Y36" i="3"/>
  <c r="Y37" i="3" s="1"/>
  <c r="Z38" i="3" s="1"/>
  <c r="Y56" i="3"/>
  <c r="Y57" i="3" s="1"/>
  <c r="Z58" i="3" s="1"/>
  <c r="Y86" i="3"/>
  <c r="W77" i="3"/>
  <c r="X78" i="3" s="1"/>
  <c r="Y76" i="3"/>
  <c r="Y96" i="3"/>
  <c r="AA16" i="3"/>
  <c r="Y106" i="3"/>
  <c r="T32" i="2"/>
  <c r="Q38" i="2"/>
  <c r="F62" i="1" s="1"/>
  <c r="D62" i="1"/>
  <c r="F38" i="2"/>
  <c r="N38" i="2" s="1"/>
  <c r="G38" i="2"/>
  <c r="O38" i="2" s="1"/>
  <c r="F101" i="1"/>
  <c r="F102" i="1" s="1"/>
  <c r="J60" i="1"/>
  <c r="J101" i="1" s="1"/>
  <c r="J102" i="1" s="1"/>
  <c r="P38" i="2"/>
  <c r="E92" i="1"/>
  <c r="E93" i="1" s="1"/>
  <c r="I54" i="1"/>
  <c r="C64" i="1"/>
  <c r="C107" i="1" s="1"/>
  <c r="C108" i="1" s="1"/>
  <c r="M40" i="2"/>
  <c r="E40" i="2"/>
  <c r="D42" i="2"/>
  <c r="T112" i="6" s="1"/>
  <c r="N36" i="2"/>
  <c r="S34" i="2"/>
  <c r="G58" i="1" s="1"/>
  <c r="H58" i="1" s="1"/>
  <c r="H98" i="1" s="1"/>
  <c r="H99" i="1" s="1"/>
  <c r="I95" i="1"/>
  <c r="I96" i="1" s="1"/>
  <c r="K56" i="1"/>
  <c r="G95" i="1"/>
  <c r="AH92" i="7" s="1"/>
  <c r="L56" i="1"/>
  <c r="L95" i="1" s="1"/>
  <c r="L96" i="1" s="1"/>
  <c r="H56" i="1"/>
  <c r="H95" i="1" s="1"/>
  <c r="H96" i="1" s="1"/>
  <c r="S30" i="2"/>
  <c r="T30" i="2"/>
  <c r="K89" i="1"/>
  <c r="K90" i="1" s="1"/>
  <c r="M52" i="1"/>
  <c r="M89" i="1" s="1"/>
  <c r="M90" i="1" s="1"/>
  <c r="G90" i="1"/>
  <c r="AH58" i="3"/>
  <c r="K86" i="1"/>
  <c r="K87" i="1" s="1"/>
  <c r="D101" i="1"/>
  <c r="D102" i="1" s="1"/>
  <c r="O60" i="1"/>
  <c r="O101" i="1" s="1"/>
  <c r="O102" i="1" s="1"/>
  <c r="G86" i="1"/>
  <c r="AH56" i="7" s="1"/>
  <c r="L50" i="1"/>
  <c r="L86" i="1" s="1"/>
  <c r="L87" i="1" s="1"/>
  <c r="H50" i="1"/>
  <c r="AA126" i="3"/>
  <c r="AA116" i="3"/>
  <c r="AA66" i="3"/>
  <c r="AA67" i="3" s="1"/>
  <c r="Z68" i="3"/>
  <c r="AA46" i="3"/>
  <c r="AA47" i="3" s="1"/>
  <c r="Z48" i="3"/>
  <c r="AA26" i="3"/>
  <c r="AA27" i="3" s="1"/>
  <c r="Z28" i="3"/>
  <c r="G101" i="7" l="1"/>
  <c r="G103" i="7" s="1"/>
  <c r="H104" i="7" s="1"/>
  <c r="AE101" i="7"/>
  <c r="AE103" i="7" s="1"/>
  <c r="AF104" i="7" s="1"/>
  <c r="E101" i="7"/>
  <c r="E103" i="7" s="1"/>
  <c r="F104" i="7" s="1"/>
  <c r="AG80" i="7"/>
  <c r="AA36" i="3"/>
  <c r="AA37" i="3" s="1"/>
  <c r="AB38" i="3" s="1"/>
  <c r="Y100" i="7"/>
  <c r="K100" i="7"/>
  <c r="K101" i="7" s="1"/>
  <c r="K103" i="7" s="1"/>
  <c r="L104" i="7" s="1"/>
  <c r="O100" i="7"/>
  <c r="S100" i="7"/>
  <c r="W100" i="7"/>
  <c r="W101" i="7" s="1"/>
  <c r="W103" i="7" s="1"/>
  <c r="X104" i="7" s="1"/>
  <c r="U100" i="7"/>
  <c r="U101" i="7" s="1"/>
  <c r="U103" i="7" s="1"/>
  <c r="V104" i="7" s="1"/>
  <c r="AE118" i="4"/>
  <c r="AF119" i="4" s="1"/>
  <c r="AF121" i="4" s="1"/>
  <c r="Y118" i="4"/>
  <c r="Z119" i="4" s="1"/>
  <c r="Z121" i="4" s="1"/>
  <c r="W118" i="4"/>
  <c r="X119" i="4" s="1"/>
  <c r="X121" i="4" s="1"/>
  <c r="S118" i="4"/>
  <c r="T119" i="4" s="1"/>
  <c r="T121" i="4" s="1"/>
  <c r="AC118" i="4"/>
  <c r="AD119" i="4" s="1"/>
  <c r="AD121" i="4" s="1"/>
  <c r="M118" i="4"/>
  <c r="N119" i="4" s="1"/>
  <c r="N121" i="4" s="1"/>
  <c r="K118" i="4"/>
  <c r="L119" i="4" s="1"/>
  <c r="L121" i="4" s="1"/>
  <c r="E118" i="4"/>
  <c r="F119" i="4" s="1"/>
  <c r="F121" i="4" s="1"/>
  <c r="D119" i="4"/>
  <c r="AA118" i="4"/>
  <c r="AB119" i="4" s="1"/>
  <c r="AB121" i="4" s="1"/>
  <c r="I118" i="4"/>
  <c r="J119" i="4" s="1"/>
  <c r="J121" i="4" s="1"/>
  <c r="O118" i="4"/>
  <c r="P119" i="4" s="1"/>
  <c r="P121" i="4" s="1"/>
  <c r="G118" i="4"/>
  <c r="H119" i="4" s="1"/>
  <c r="H121" i="4" s="1"/>
  <c r="Q118" i="4"/>
  <c r="R119" i="4" s="1"/>
  <c r="R121" i="4" s="1"/>
  <c r="U118" i="4"/>
  <c r="V119" i="4" s="1"/>
  <c r="V121" i="4" s="1"/>
  <c r="Q100" i="7"/>
  <c r="Q101" i="7"/>
  <c r="Q103" i="7" s="1"/>
  <c r="R104" i="7" s="1"/>
  <c r="T91" i="6"/>
  <c r="N88" i="6"/>
  <c r="Q88" i="6"/>
  <c r="E88" i="6"/>
  <c r="J88" i="6"/>
  <c r="O88" i="6"/>
  <c r="F88" i="6"/>
  <c r="I88" i="6"/>
  <c r="I91" i="6" s="1"/>
  <c r="M112" i="7" s="1"/>
  <c r="D88" i="6"/>
  <c r="R88" i="6"/>
  <c r="K88" i="6"/>
  <c r="M88" i="6"/>
  <c r="G88" i="6"/>
  <c r="L88" i="6"/>
  <c r="H88" i="6"/>
  <c r="P88" i="6"/>
  <c r="U112" i="6"/>
  <c r="T113" i="6"/>
  <c r="H31" i="4"/>
  <c r="J31" i="4" s="1"/>
  <c r="C126" i="4" s="1"/>
  <c r="AK116" i="4"/>
  <c r="AA101" i="7"/>
  <c r="AA103" i="7" s="1"/>
  <c r="AB104" i="7" s="1"/>
  <c r="AC100" i="7"/>
  <c r="AC101" i="7" s="1"/>
  <c r="AC103" i="7" s="1"/>
  <c r="AD104" i="7" s="1"/>
  <c r="S101" i="7"/>
  <c r="S103" i="7" s="1"/>
  <c r="T104" i="7" s="1"/>
  <c r="S90" i="6"/>
  <c r="C111" i="7"/>
  <c r="K111" i="7"/>
  <c r="U63" i="6"/>
  <c r="K94" i="3"/>
  <c r="K95" i="3" s="1"/>
  <c r="K97" i="3" s="1"/>
  <c r="L98" i="3" s="1"/>
  <c r="K110" i="7"/>
  <c r="W94" i="3"/>
  <c r="W95" i="3" s="1"/>
  <c r="W97" i="3" s="1"/>
  <c r="X98" i="3" s="1"/>
  <c r="W110" i="7"/>
  <c r="T105" i="6"/>
  <c r="G33" i="4"/>
  <c r="P104" i="6"/>
  <c r="F104" i="6"/>
  <c r="M104" i="6"/>
  <c r="K104" i="6"/>
  <c r="H104" i="6"/>
  <c r="J104" i="6"/>
  <c r="L104" i="6"/>
  <c r="Q104" i="6"/>
  <c r="G104" i="6"/>
  <c r="R104" i="6"/>
  <c r="O104" i="6"/>
  <c r="D104" i="6"/>
  <c r="E104" i="6"/>
  <c r="N104" i="6"/>
  <c r="I104" i="6"/>
  <c r="U96" i="6"/>
  <c r="T97" i="6"/>
  <c r="T100" i="6" s="1"/>
  <c r="O101" i="7"/>
  <c r="O103" i="7" s="1"/>
  <c r="P104" i="7" s="1"/>
  <c r="AC111" i="7"/>
  <c r="E110" i="7"/>
  <c r="E94" i="3"/>
  <c r="E95" i="3" s="1"/>
  <c r="E97" i="3" s="1"/>
  <c r="F98" i="3" s="1"/>
  <c r="S94" i="3"/>
  <c r="S95" i="3" s="1"/>
  <c r="S97" i="3" s="1"/>
  <c r="T98" i="3" s="1"/>
  <c r="S110" i="7"/>
  <c r="Q111" i="7"/>
  <c r="D113" i="4"/>
  <c r="AG111" i="4"/>
  <c r="I110" i="7"/>
  <c r="I94" i="3"/>
  <c r="I95" i="3" s="1"/>
  <c r="I97" i="3" s="1"/>
  <c r="J98" i="3" s="1"/>
  <c r="Y101" i="7"/>
  <c r="Y103" i="7" s="1"/>
  <c r="Z104" i="7" s="1"/>
  <c r="D99" i="5"/>
  <c r="J99" i="5"/>
  <c r="O99" i="5"/>
  <c r="I99" i="5"/>
  <c r="F99" i="5"/>
  <c r="H99" i="5"/>
  <c r="M99" i="5"/>
  <c r="Q99" i="5"/>
  <c r="K99" i="5"/>
  <c r="L99" i="5"/>
  <c r="P99" i="5"/>
  <c r="G99" i="5"/>
  <c r="R99" i="5"/>
  <c r="E99" i="5"/>
  <c r="N99" i="5"/>
  <c r="E111" i="7"/>
  <c r="S111" i="7"/>
  <c r="M94" i="3"/>
  <c r="M95" i="3" s="1"/>
  <c r="M97" i="3" s="1"/>
  <c r="N98" i="3" s="1"/>
  <c r="M110" i="7"/>
  <c r="E99" i="6"/>
  <c r="E123" i="7" s="1"/>
  <c r="Q99" i="6"/>
  <c r="AC123" i="7" s="1"/>
  <c r="L99" i="6"/>
  <c r="S123" i="7" s="1"/>
  <c r="O99" i="6"/>
  <c r="Y123" i="7" s="1"/>
  <c r="R99" i="6"/>
  <c r="AE123" i="7" s="1"/>
  <c r="F99" i="6"/>
  <c r="G123" i="7" s="1"/>
  <c r="I99" i="6"/>
  <c r="G99" i="6"/>
  <c r="N99" i="6"/>
  <c r="W123" i="7" s="1"/>
  <c r="P99" i="6"/>
  <c r="AA123" i="7" s="1"/>
  <c r="K99" i="6"/>
  <c r="Q123" i="7" s="1"/>
  <c r="M99" i="6"/>
  <c r="U123" i="7" s="1"/>
  <c r="J99" i="6"/>
  <c r="O123" i="7" s="1"/>
  <c r="H99" i="6"/>
  <c r="K123" i="7" s="1"/>
  <c r="D99" i="6"/>
  <c r="U111" i="7"/>
  <c r="Y110" i="7"/>
  <c r="Y94" i="3"/>
  <c r="Y95" i="3" s="1"/>
  <c r="Y97" i="3" s="1"/>
  <c r="Z98" i="3" s="1"/>
  <c r="E98" i="1"/>
  <c r="E99" i="1" s="1"/>
  <c r="O111" i="7"/>
  <c r="W111" i="7"/>
  <c r="O110" i="7"/>
  <c r="O94" i="3"/>
  <c r="O95" i="3" s="1"/>
  <c r="O97" i="3" s="1"/>
  <c r="P98" i="3" s="1"/>
  <c r="AA111" i="7"/>
  <c r="Q94" i="3"/>
  <c r="Q95" i="3" s="1"/>
  <c r="Q97" i="3" s="1"/>
  <c r="R98" i="3" s="1"/>
  <c r="Q110" i="7"/>
  <c r="C100" i="7"/>
  <c r="S82" i="6"/>
  <c r="U82" i="6" s="1"/>
  <c r="AA110" i="7"/>
  <c r="AA94" i="3"/>
  <c r="AA95" i="3" s="1"/>
  <c r="C108" i="5"/>
  <c r="C108" i="6"/>
  <c r="C89" i="7"/>
  <c r="C91" i="7" s="1"/>
  <c r="D92" i="7" s="1"/>
  <c r="AG92" i="7" s="1"/>
  <c r="AE110" i="7"/>
  <c r="AE94" i="3"/>
  <c r="AE95" i="3" s="1"/>
  <c r="S95" i="6"/>
  <c r="U95" i="6" s="1"/>
  <c r="I101" i="7"/>
  <c r="I103" i="7" s="1"/>
  <c r="J104" i="7" s="1"/>
  <c r="AK109" i="4"/>
  <c r="AK110" i="4"/>
  <c r="AL111" i="4" s="1"/>
  <c r="Y111" i="7"/>
  <c r="G110" i="7"/>
  <c r="G94" i="3"/>
  <c r="G95" i="3" s="1"/>
  <c r="G97" i="3" s="1"/>
  <c r="H98" i="3" s="1"/>
  <c r="S82" i="5"/>
  <c r="S79" i="6"/>
  <c r="U79" i="6" s="1"/>
  <c r="C84" i="3"/>
  <c r="C85" i="3" s="1"/>
  <c r="C87" i="3" s="1"/>
  <c r="D88" i="3" s="1"/>
  <c r="C98" i="7"/>
  <c r="AG105" i="4"/>
  <c r="G111" i="7"/>
  <c r="S90" i="5"/>
  <c r="U110" i="7"/>
  <c r="U94" i="3"/>
  <c r="U95" i="3" s="1"/>
  <c r="U97" i="3" s="1"/>
  <c r="V98" i="3" s="1"/>
  <c r="AC110" i="7"/>
  <c r="AC94" i="3"/>
  <c r="AC95" i="3" s="1"/>
  <c r="T99" i="6"/>
  <c r="AA56" i="3"/>
  <c r="AA57" i="3" s="1"/>
  <c r="AB58" i="3" s="1"/>
  <c r="AC16" i="3"/>
  <c r="AA96" i="3"/>
  <c r="Y77" i="3"/>
  <c r="Z78" i="3" s="1"/>
  <c r="AA76" i="3"/>
  <c r="AA106" i="3"/>
  <c r="Y87" i="3"/>
  <c r="Z88" i="3" s="1"/>
  <c r="AA86" i="3"/>
  <c r="T34" i="2"/>
  <c r="F40" i="2"/>
  <c r="N40" i="2" s="1"/>
  <c r="D64" i="1"/>
  <c r="Q40" i="2"/>
  <c r="F64" i="1" s="1"/>
  <c r="G40" i="2"/>
  <c r="O40" i="2" s="1"/>
  <c r="G87" i="1"/>
  <c r="AH48" i="3"/>
  <c r="G96" i="1"/>
  <c r="AH78" i="3"/>
  <c r="R38" i="2"/>
  <c r="E62" i="1"/>
  <c r="K95" i="1"/>
  <c r="K96" i="1" s="1"/>
  <c r="M56" i="1"/>
  <c r="M95" i="1" s="1"/>
  <c r="M96" i="1" s="1"/>
  <c r="G98" i="1"/>
  <c r="AH104" i="7" s="1"/>
  <c r="L58" i="1"/>
  <c r="L98" i="1" s="1"/>
  <c r="L99" i="1" s="1"/>
  <c r="H86" i="1"/>
  <c r="H87" i="1" s="1"/>
  <c r="E42" i="2"/>
  <c r="C66" i="1"/>
  <c r="M42" i="2"/>
  <c r="D44" i="2"/>
  <c r="I98" i="1"/>
  <c r="I99" i="1" s="1"/>
  <c r="K58" i="1"/>
  <c r="M50" i="1"/>
  <c r="M86" i="1" s="1"/>
  <c r="M87" i="1" s="1"/>
  <c r="G54" i="1"/>
  <c r="I92" i="1"/>
  <c r="I93" i="1" s="1"/>
  <c r="K54" i="1"/>
  <c r="D104" i="1"/>
  <c r="D105" i="1" s="1"/>
  <c r="O62" i="1"/>
  <c r="O104" i="1" s="1"/>
  <c r="O105" i="1" s="1"/>
  <c r="P36" i="2"/>
  <c r="F104" i="1"/>
  <c r="F105" i="1" s="1"/>
  <c r="J62" i="1"/>
  <c r="J104" i="1" s="1"/>
  <c r="J105" i="1" s="1"/>
  <c r="AC126" i="3"/>
  <c r="AC116" i="3"/>
  <c r="AC66" i="3"/>
  <c r="AC67" i="3" s="1"/>
  <c r="AB68" i="3"/>
  <c r="AC46" i="3"/>
  <c r="AC47" i="3" s="1"/>
  <c r="AB48" i="3"/>
  <c r="AC26" i="3"/>
  <c r="AC27" i="3" s="1"/>
  <c r="AB28" i="3"/>
  <c r="AC56" i="3" l="1"/>
  <c r="AC57" i="3" s="1"/>
  <c r="AC36" i="3"/>
  <c r="AC37" i="3" s="1"/>
  <c r="AD38" i="3" s="1"/>
  <c r="C117" i="5"/>
  <c r="C117" i="6"/>
  <c r="S88" i="6"/>
  <c r="U88" i="6" s="1"/>
  <c r="K91" i="5"/>
  <c r="F91" i="5"/>
  <c r="O91" i="5"/>
  <c r="P91" i="5"/>
  <c r="H91" i="5"/>
  <c r="Q91" i="5"/>
  <c r="R91" i="5"/>
  <c r="N91" i="5"/>
  <c r="L91" i="5"/>
  <c r="J91" i="5"/>
  <c r="I91" i="5"/>
  <c r="E91" i="5"/>
  <c r="M91" i="5"/>
  <c r="D91" i="5"/>
  <c r="G91" i="5"/>
  <c r="S99" i="5"/>
  <c r="O122" i="7"/>
  <c r="O104" i="3"/>
  <c r="O105" i="3" s="1"/>
  <c r="O107" i="3" s="1"/>
  <c r="P108" i="3" s="1"/>
  <c r="T114" i="6"/>
  <c r="G11" i="4"/>
  <c r="L108" i="5"/>
  <c r="N108" i="5"/>
  <c r="E108" i="5"/>
  <c r="O108" i="5"/>
  <c r="R108" i="5"/>
  <c r="Q108" i="5"/>
  <c r="J108" i="5"/>
  <c r="G108" i="5"/>
  <c r="M108" i="5"/>
  <c r="P108" i="5"/>
  <c r="K108" i="5"/>
  <c r="H108" i="5"/>
  <c r="I108" i="5"/>
  <c r="F108" i="5"/>
  <c r="D108" i="5"/>
  <c r="AK124" i="4"/>
  <c r="H33" i="4"/>
  <c r="J33" i="4" s="1"/>
  <c r="C134" i="4" s="1"/>
  <c r="F91" i="6"/>
  <c r="W104" i="3"/>
  <c r="W105" i="3" s="1"/>
  <c r="W107" i="3" s="1"/>
  <c r="X108" i="3" s="1"/>
  <c r="W122" i="7"/>
  <c r="U105" i="6"/>
  <c r="T106" i="6"/>
  <c r="T109" i="6" s="1"/>
  <c r="L91" i="6"/>
  <c r="AA122" i="7"/>
  <c r="AA104" i="3"/>
  <c r="AA105" i="3" s="1"/>
  <c r="AA107" i="3" s="1"/>
  <c r="AB108" i="3" s="1"/>
  <c r="I123" i="7"/>
  <c r="K100" i="5"/>
  <c r="L100" i="5"/>
  <c r="M100" i="5"/>
  <c r="G100" i="5"/>
  <c r="F100" i="5"/>
  <c r="P100" i="5"/>
  <c r="R100" i="5"/>
  <c r="E100" i="5"/>
  <c r="D100" i="5"/>
  <c r="J100" i="5"/>
  <c r="O100" i="5"/>
  <c r="H100" i="5"/>
  <c r="N100" i="5"/>
  <c r="Q100" i="5"/>
  <c r="I100" i="5"/>
  <c r="AK117" i="4"/>
  <c r="AK118" i="4"/>
  <c r="AL119" i="4" s="1"/>
  <c r="G91" i="6"/>
  <c r="J91" i="6"/>
  <c r="AG119" i="4"/>
  <c r="D121" i="4"/>
  <c r="AE122" i="7"/>
  <c r="AE104" i="3"/>
  <c r="AE105" i="3" s="1"/>
  <c r="Q122" i="7"/>
  <c r="Q104" i="3"/>
  <c r="Q105" i="3" s="1"/>
  <c r="Q107" i="3" s="1"/>
  <c r="R108" i="3" s="1"/>
  <c r="E113" i="6"/>
  <c r="D113" i="6"/>
  <c r="K113" i="6"/>
  <c r="J113" i="6"/>
  <c r="J117" i="6" s="1"/>
  <c r="O147" i="7" s="1"/>
  <c r="H113" i="6"/>
  <c r="H117" i="6" s="1"/>
  <c r="K147" i="7" s="1"/>
  <c r="N113" i="6"/>
  <c r="F113" i="6"/>
  <c r="L113" i="6"/>
  <c r="I113" i="6"/>
  <c r="M113" i="6"/>
  <c r="R113" i="6"/>
  <c r="P113" i="6"/>
  <c r="Q113" i="6"/>
  <c r="Q117" i="6" s="1"/>
  <c r="AC147" i="7" s="1"/>
  <c r="O113" i="6"/>
  <c r="O117" i="6" s="1"/>
  <c r="Y147" i="7" s="1"/>
  <c r="G113" i="6"/>
  <c r="AC122" i="7"/>
  <c r="AC104" i="3"/>
  <c r="AC105" i="3" s="1"/>
  <c r="S122" i="7"/>
  <c r="S125" i="7" s="1"/>
  <c r="S127" i="7" s="1"/>
  <c r="T128" i="7" s="1"/>
  <c r="S104" i="3"/>
  <c r="S105" i="3" s="1"/>
  <c r="S107" i="3" s="1"/>
  <c r="T108" i="3" s="1"/>
  <c r="C94" i="3"/>
  <c r="C95" i="3" s="1"/>
  <c r="C97" i="3" s="1"/>
  <c r="D98" i="3" s="1"/>
  <c r="AG113" i="4"/>
  <c r="C110" i="7"/>
  <c r="K97" i="6"/>
  <c r="K100" i="6" s="1"/>
  <c r="Q124" i="7" s="1"/>
  <c r="P97" i="6"/>
  <c r="P100" i="6" s="1"/>
  <c r="AA124" i="7" s="1"/>
  <c r="L97" i="6"/>
  <c r="L100" i="6" s="1"/>
  <c r="S124" i="7" s="1"/>
  <c r="H97" i="6"/>
  <c r="H100" i="6" s="1"/>
  <c r="K124" i="7" s="1"/>
  <c r="D97" i="6"/>
  <c r="I97" i="6"/>
  <c r="I100" i="6" s="1"/>
  <c r="M124" i="7" s="1"/>
  <c r="G97" i="6"/>
  <c r="G100" i="6" s="1"/>
  <c r="I124" i="7" s="1"/>
  <c r="R97" i="6"/>
  <c r="R100" i="6" s="1"/>
  <c r="AE124" i="7" s="1"/>
  <c r="O97" i="6"/>
  <c r="O100" i="6" s="1"/>
  <c r="Y124" i="7" s="1"/>
  <c r="N97" i="6"/>
  <c r="N100" i="6" s="1"/>
  <c r="W124" i="7" s="1"/>
  <c r="Q97" i="6"/>
  <c r="Q100" i="6" s="1"/>
  <c r="AC124" i="7" s="1"/>
  <c r="F97" i="6"/>
  <c r="F100" i="6" s="1"/>
  <c r="G124" i="7" s="1"/>
  <c r="J97" i="6"/>
  <c r="J100" i="6" s="1"/>
  <c r="O124" i="7" s="1"/>
  <c r="M97" i="6"/>
  <c r="M100" i="6" s="1"/>
  <c r="U124" i="7" s="1"/>
  <c r="E97" i="6"/>
  <c r="E100" i="6" s="1"/>
  <c r="E124" i="7" s="1"/>
  <c r="Y122" i="7"/>
  <c r="Y104" i="3"/>
  <c r="Y105" i="3" s="1"/>
  <c r="Y107" i="3" s="1"/>
  <c r="Z108" i="3" s="1"/>
  <c r="C101" i="7"/>
  <c r="C103" i="7" s="1"/>
  <c r="D104" i="7" s="1"/>
  <c r="AG104" i="7" s="1"/>
  <c r="S99" i="6"/>
  <c r="U99" i="6" s="1"/>
  <c r="C123" i="7"/>
  <c r="M123" i="7"/>
  <c r="M113" i="7"/>
  <c r="M115" i="7" s="1"/>
  <c r="N116" i="7" s="1"/>
  <c r="U126" i="4"/>
  <c r="V127" i="4" s="1"/>
  <c r="V129" i="4" s="1"/>
  <c r="M126" i="4"/>
  <c r="N127" i="4" s="1"/>
  <c r="N129" i="4" s="1"/>
  <c r="AA126" i="4"/>
  <c r="AB127" i="4" s="1"/>
  <c r="AB129" i="4" s="1"/>
  <c r="D127" i="4"/>
  <c r="Q126" i="4"/>
  <c r="R127" i="4" s="1"/>
  <c r="R129" i="4" s="1"/>
  <c r="AC126" i="4"/>
  <c r="AD127" i="4" s="1"/>
  <c r="AD129" i="4" s="1"/>
  <c r="K126" i="4"/>
  <c r="L127" i="4" s="1"/>
  <c r="L129" i="4" s="1"/>
  <c r="S126" i="4"/>
  <c r="T127" i="4" s="1"/>
  <c r="T129" i="4" s="1"/>
  <c r="G126" i="4"/>
  <c r="H127" i="4" s="1"/>
  <c r="H129" i="4" s="1"/>
  <c r="AE126" i="4"/>
  <c r="AF127" i="4" s="1"/>
  <c r="AF129" i="4" s="1"/>
  <c r="Y126" i="4"/>
  <c r="Z127" i="4" s="1"/>
  <c r="Z129" i="4" s="1"/>
  <c r="E126" i="4"/>
  <c r="F127" i="4" s="1"/>
  <c r="F129" i="4" s="1"/>
  <c r="W126" i="4"/>
  <c r="X127" i="4" s="1"/>
  <c r="X129" i="4" s="1"/>
  <c r="O126" i="4"/>
  <c r="P127" i="4" s="1"/>
  <c r="P129" i="4" s="1"/>
  <c r="I126" i="4"/>
  <c r="J127" i="4" s="1"/>
  <c r="J129" i="4" s="1"/>
  <c r="M91" i="6"/>
  <c r="E122" i="7"/>
  <c r="E104" i="3"/>
  <c r="E105" i="3" s="1"/>
  <c r="E107" i="3" s="1"/>
  <c r="F108" i="3" s="1"/>
  <c r="M104" i="3"/>
  <c r="M105" i="3" s="1"/>
  <c r="M107" i="3" s="1"/>
  <c r="N108" i="3" s="1"/>
  <c r="M122" i="7"/>
  <c r="G122" i="7"/>
  <c r="G104" i="3"/>
  <c r="G105" i="3" s="1"/>
  <c r="G107" i="3" s="1"/>
  <c r="H108" i="3" s="1"/>
  <c r="P108" i="6"/>
  <c r="K108" i="6"/>
  <c r="Q135" i="7" s="1"/>
  <c r="N108" i="6"/>
  <c r="G108" i="6"/>
  <c r="I135" i="7" s="1"/>
  <c r="R108" i="6"/>
  <c r="L108" i="6"/>
  <c r="I108" i="6"/>
  <c r="M135" i="7" s="1"/>
  <c r="J108" i="6"/>
  <c r="O135" i="7" s="1"/>
  <c r="M108" i="6"/>
  <c r="U135" i="7" s="1"/>
  <c r="E108" i="6"/>
  <c r="H108" i="6"/>
  <c r="F108" i="6"/>
  <c r="Q108" i="6"/>
  <c r="AC135" i="7" s="1"/>
  <c r="O108" i="6"/>
  <c r="Y135" i="7" s="1"/>
  <c r="D108" i="6"/>
  <c r="E91" i="6"/>
  <c r="Q91" i="6"/>
  <c r="N91" i="6"/>
  <c r="R91" i="6"/>
  <c r="O91" i="6"/>
  <c r="P91" i="6"/>
  <c r="D91" i="6"/>
  <c r="H91" i="6"/>
  <c r="I104" i="3"/>
  <c r="I105" i="3" s="1"/>
  <c r="I107" i="3" s="1"/>
  <c r="J108" i="3" s="1"/>
  <c r="I122" i="7"/>
  <c r="I125" i="7" s="1"/>
  <c r="I127" i="7" s="1"/>
  <c r="J128" i="7" s="1"/>
  <c r="S104" i="6"/>
  <c r="U104" i="6" s="1"/>
  <c r="U90" i="6"/>
  <c r="T108" i="6"/>
  <c r="K91" i="6"/>
  <c r="U122" i="7"/>
  <c r="U104" i="3"/>
  <c r="U105" i="3" s="1"/>
  <c r="U107" i="3" s="1"/>
  <c r="V108" i="3" s="1"/>
  <c r="K104" i="3"/>
  <c r="K105" i="3" s="1"/>
  <c r="K107" i="3" s="1"/>
  <c r="L108" i="3" s="1"/>
  <c r="K122" i="7"/>
  <c r="AA97" i="3"/>
  <c r="AB98" i="3" s="1"/>
  <c r="AC96" i="3"/>
  <c r="AA77" i="3"/>
  <c r="AB78" i="3" s="1"/>
  <c r="AC76" i="3"/>
  <c r="AA87" i="3"/>
  <c r="AB88" i="3" s="1"/>
  <c r="AC86" i="3"/>
  <c r="AC106" i="3"/>
  <c r="AE16" i="3"/>
  <c r="P40" i="2"/>
  <c r="R40" i="2" s="1"/>
  <c r="G99" i="1"/>
  <c r="AH88" i="3"/>
  <c r="M44" i="2"/>
  <c r="C43" i="8" s="1"/>
  <c r="G92" i="1"/>
  <c r="AH80" i="7" s="1"/>
  <c r="L54" i="1"/>
  <c r="L92" i="1" s="1"/>
  <c r="L93" i="1" s="1"/>
  <c r="H54" i="1"/>
  <c r="K92" i="1"/>
  <c r="K93" i="1" s="1"/>
  <c r="C110" i="1"/>
  <c r="C111" i="1" s="1"/>
  <c r="C68" i="1"/>
  <c r="C113" i="1" s="1"/>
  <c r="C114" i="1" s="1"/>
  <c r="E104" i="1"/>
  <c r="E105" i="1" s="1"/>
  <c r="I62" i="1"/>
  <c r="F107" i="1"/>
  <c r="F108" i="1" s="1"/>
  <c r="J64" i="1"/>
  <c r="J107" i="1" s="1"/>
  <c r="J108" i="1" s="1"/>
  <c r="R36" i="2"/>
  <c r="E60" i="1"/>
  <c r="M58" i="1"/>
  <c r="M98" i="1" s="1"/>
  <c r="M99" i="1" s="1"/>
  <c r="K98" i="1"/>
  <c r="K99" i="1" s="1"/>
  <c r="Q42" i="2"/>
  <c r="D66" i="1"/>
  <c r="G42" i="2"/>
  <c r="F42" i="2"/>
  <c r="E44" i="2"/>
  <c r="S38" i="2"/>
  <c r="G62" i="1" s="1"/>
  <c r="H62" i="1" s="1"/>
  <c r="H104" i="1" s="1"/>
  <c r="H105" i="1" s="1"/>
  <c r="D107" i="1"/>
  <c r="D108" i="1" s="1"/>
  <c r="O64" i="1"/>
  <c r="O107" i="1" s="1"/>
  <c r="O108" i="1" s="1"/>
  <c r="AE126" i="3"/>
  <c r="AE116" i="3"/>
  <c r="AE66" i="3"/>
  <c r="AD68" i="3"/>
  <c r="AE56" i="3"/>
  <c r="AD58" i="3"/>
  <c r="AE46" i="3"/>
  <c r="AD48" i="3"/>
  <c r="AE26" i="3"/>
  <c r="AD28" i="3"/>
  <c r="U125" i="7" l="1"/>
  <c r="U127" i="7" s="1"/>
  <c r="V128" i="7" s="1"/>
  <c r="Q125" i="7"/>
  <c r="Q127" i="7" s="1"/>
  <c r="R128" i="7" s="1"/>
  <c r="Y125" i="7"/>
  <c r="Y127" i="7" s="1"/>
  <c r="Z128" i="7" s="1"/>
  <c r="AE125" i="7"/>
  <c r="AE127" i="7" s="1"/>
  <c r="AF128" i="7" s="1"/>
  <c r="S100" i="5"/>
  <c r="AE36" i="3"/>
  <c r="AE37" i="3" s="1"/>
  <c r="AF38" i="3" s="1"/>
  <c r="AG38" i="3" s="1"/>
  <c r="I121" i="5"/>
  <c r="C20" i="8" s="1"/>
  <c r="E121" i="5"/>
  <c r="C12" i="8" s="1"/>
  <c r="N121" i="5"/>
  <c r="C30" i="8" s="1"/>
  <c r="G121" i="5"/>
  <c r="C16" i="8" s="1"/>
  <c r="I134" i="7"/>
  <c r="I114" i="3"/>
  <c r="I115" i="3" s="1"/>
  <c r="I117" i="3" s="1"/>
  <c r="J118" i="3" s="1"/>
  <c r="AK132" i="4"/>
  <c r="H11" i="4"/>
  <c r="J11" i="4" s="1"/>
  <c r="C46" i="4" s="1"/>
  <c r="G35" i="4"/>
  <c r="G135" i="7"/>
  <c r="F121" i="6"/>
  <c r="C58" i="8" s="1"/>
  <c r="AC114" i="3"/>
  <c r="AC115" i="3" s="1"/>
  <c r="AC117" i="3" s="1"/>
  <c r="AD118" i="3" s="1"/>
  <c r="AC134" i="7"/>
  <c r="S91" i="5"/>
  <c r="W135" i="7"/>
  <c r="N121" i="6"/>
  <c r="C74" i="8" s="1"/>
  <c r="Q134" i="7"/>
  <c r="Q114" i="3"/>
  <c r="Q115" i="3" s="1"/>
  <c r="Q117" i="3" s="1"/>
  <c r="R118" i="3" s="1"/>
  <c r="G121" i="6"/>
  <c r="C60" i="8" s="1"/>
  <c r="N117" i="6"/>
  <c r="W147" i="7" s="1"/>
  <c r="D117" i="6"/>
  <c r="R117" i="6"/>
  <c r="AE147" i="7" s="1"/>
  <c r="I117" i="6"/>
  <c r="F117" i="6"/>
  <c r="G147" i="7" s="1"/>
  <c r="P117" i="6"/>
  <c r="AA147" i="7" s="1"/>
  <c r="G117" i="6"/>
  <c r="I147" i="7" s="1"/>
  <c r="L117" i="6"/>
  <c r="S147" i="7" s="1"/>
  <c r="AC112" i="7"/>
  <c r="AC113" i="7" s="1"/>
  <c r="AC115" i="7" s="1"/>
  <c r="AD116" i="7" s="1"/>
  <c r="AG127" i="4"/>
  <c r="D129" i="4"/>
  <c r="R121" i="5"/>
  <c r="C38" i="8" s="1"/>
  <c r="T117" i="6"/>
  <c r="T121" i="6" s="1"/>
  <c r="S113" i="6"/>
  <c r="U113" i="6" s="1"/>
  <c r="C122" i="7"/>
  <c r="C104" i="3"/>
  <c r="C105" i="3" s="1"/>
  <c r="C107" i="3" s="1"/>
  <c r="D108" i="3" s="1"/>
  <c r="AG121" i="4"/>
  <c r="W125" i="7"/>
  <c r="W127" i="7" s="1"/>
  <c r="X128" i="7" s="1"/>
  <c r="E64" i="1"/>
  <c r="K125" i="7"/>
  <c r="K127" i="7" s="1"/>
  <c r="L128" i="7" s="1"/>
  <c r="C121" i="6"/>
  <c r="AE114" i="3"/>
  <c r="AE115" i="3" s="1"/>
  <c r="AE117" i="3" s="1"/>
  <c r="AF118" i="3" s="1"/>
  <c r="AE134" i="7"/>
  <c r="M134" i="7"/>
  <c r="M114" i="3"/>
  <c r="M115" i="3" s="1"/>
  <c r="M117" i="3" s="1"/>
  <c r="N118" i="3" s="1"/>
  <c r="J121" i="6"/>
  <c r="C66" i="8" s="1"/>
  <c r="E117" i="6"/>
  <c r="E147" i="7" s="1"/>
  <c r="J109" i="6"/>
  <c r="O136" i="7" s="1"/>
  <c r="R109" i="6"/>
  <c r="AE136" i="7" s="1"/>
  <c r="K109" i="6"/>
  <c r="Q136" i="7" s="1"/>
  <c r="L109" i="6"/>
  <c r="S136" i="7" s="1"/>
  <c r="D109" i="6"/>
  <c r="AE135" i="7"/>
  <c r="R121" i="6"/>
  <c r="C82" i="8" s="1"/>
  <c r="Q121" i="6"/>
  <c r="C80" i="8" s="1"/>
  <c r="AE112" i="7"/>
  <c r="AE113" i="7" s="1"/>
  <c r="AE115" i="7" s="1"/>
  <c r="AF116" i="7" s="1"/>
  <c r="O114" i="3"/>
  <c r="O115" i="3" s="1"/>
  <c r="O117" i="3" s="1"/>
  <c r="P118" i="3" s="1"/>
  <c r="O134" i="7"/>
  <c r="S108" i="5"/>
  <c r="U114" i="6"/>
  <c r="T115" i="6"/>
  <c r="C87" i="8"/>
  <c r="C46" i="8"/>
  <c r="K135" i="7"/>
  <c r="H121" i="6"/>
  <c r="C62" i="8" s="1"/>
  <c r="M125" i="7"/>
  <c r="M127" i="7" s="1"/>
  <c r="N128" i="7" s="1"/>
  <c r="Q121" i="5"/>
  <c r="C36" i="8" s="1"/>
  <c r="E135" i="7"/>
  <c r="E121" i="6"/>
  <c r="C56" i="8" s="1"/>
  <c r="E114" i="3"/>
  <c r="E115" i="3" s="1"/>
  <c r="E117" i="3" s="1"/>
  <c r="F118" i="3" s="1"/>
  <c r="E134" i="7"/>
  <c r="K117" i="5"/>
  <c r="K121" i="5" s="1"/>
  <c r="C24" i="8" s="1"/>
  <c r="E117" i="5"/>
  <c r="G117" i="5"/>
  <c r="Q117" i="5"/>
  <c r="P117" i="5"/>
  <c r="P121" i="5" s="1"/>
  <c r="C34" i="8" s="1"/>
  <c r="L117" i="5"/>
  <c r="L121" i="5" s="1"/>
  <c r="C26" i="8" s="1"/>
  <c r="M117" i="5"/>
  <c r="M121" i="5" s="1"/>
  <c r="C28" i="8" s="1"/>
  <c r="R117" i="5"/>
  <c r="I117" i="5"/>
  <c r="O117" i="5"/>
  <c r="O121" i="5" s="1"/>
  <c r="C32" i="8" s="1"/>
  <c r="N117" i="5"/>
  <c r="H117" i="5"/>
  <c r="H121" i="5" s="1"/>
  <c r="C18" i="8" s="1"/>
  <c r="J117" i="5"/>
  <c r="J121" i="5" s="1"/>
  <c r="C22" i="8" s="1"/>
  <c r="D117" i="5"/>
  <c r="F117" i="5"/>
  <c r="F121" i="5" s="1"/>
  <c r="C14" i="8" s="1"/>
  <c r="C121" i="5"/>
  <c r="E112" i="7"/>
  <c r="E113" i="7" s="1"/>
  <c r="E115" i="7" s="1"/>
  <c r="F116" i="7" s="1"/>
  <c r="AA135" i="7"/>
  <c r="AA134" i="7"/>
  <c r="AA114" i="3"/>
  <c r="AA115" i="3" s="1"/>
  <c r="AA117" i="3" s="1"/>
  <c r="AB118" i="3" s="1"/>
  <c r="M117" i="6"/>
  <c r="C112" i="7"/>
  <c r="S91" i="6"/>
  <c r="S108" i="6"/>
  <c r="C135" i="7"/>
  <c r="D121" i="6"/>
  <c r="C54" i="8" s="1"/>
  <c r="E125" i="7"/>
  <c r="E127" i="7" s="1"/>
  <c r="F128" i="7" s="1"/>
  <c r="G134" i="7"/>
  <c r="G114" i="3"/>
  <c r="G115" i="3" s="1"/>
  <c r="G117" i="3" s="1"/>
  <c r="H118" i="3" s="1"/>
  <c r="U134" i="7"/>
  <c r="U114" i="3"/>
  <c r="U115" i="3" s="1"/>
  <c r="U117" i="3" s="1"/>
  <c r="V118" i="3" s="1"/>
  <c r="C113" i="7"/>
  <c r="C115" i="7" s="1"/>
  <c r="D116" i="7" s="1"/>
  <c r="AC125" i="7"/>
  <c r="AC127" i="7" s="1"/>
  <c r="AD128" i="7" s="1"/>
  <c r="O112" i="7"/>
  <c r="O113" i="7" s="1"/>
  <c r="O115" i="7" s="1"/>
  <c r="P116" i="7" s="1"/>
  <c r="AA125" i="7"/>
  <c r="AA127" i="7" s="1"/>
  <c r="AB128" i="7" s="1"/>
  <c r="G112" i="7"/>
  <c r="G113" i="7" s="1"/>
  <c r="G115" i="7" s="1"/>
  <c r="H116" i="7" s="1"/>
  <c r="K109" i="5"/>
  <c r="J109" i="5"/>
  <c r="D109" i="5"/>
  <c r="F109" i="5"/>
  <c r="E109" i="5"/>
  <c r="P109" i="5"/>
  <c r="R109" i="5"/>
  <c r="Q109" i="5"/>
  <c r="H109" i="5"/>
  <c r="L109" i="5"/>
  <c r="M109" i="5"/>
  <c r="N109" i="5"/>
  <c r="I109" i="5"/>
  <c r="G109" i="5"/>
  <c r="O109" i="5"/>
  <c r="Y112" i="7"/>
  <c r="Y113" i="7" s="1"/>
  <c r="Y115" i="7" s="1"/>
  <c r="Z116" i="7" s="1"/>
  <c r="K134" i="7"/>
  <c r="K114" i="3"/>
  <c r="K115" i="3" s="1"/>
  <c r="K117" i="3" s="1"/>
  <c r="L118" i="3" s="1"/>
  <c r="AK125" i="4"/>
  <c r="AK126" i="4"/>
  <c r="AL127" i="4" s="1"/>
  <c r="Q112" i="7"/>
  <c r="Q113" i="7" s="1"/>
  <c r="Q115" i="7" s="1"/>
  <c r="R116" i="7" s="1"/>
  <c r="D100" i="6"/>
  <c r="S97" i="6"/>
  <c r="U97" i="6" s="1"/>
  <c r="Q106" i="6"/>
  <c r="Q109" i="6" s="1"/>
  <c r="L106" i="6"/>
  <c r="K106" i="6"/>
  <c r="J106" i="6"/>
  <c r="F106" i="6"/>
  <c r="F109" i="6" s="1"/>
  <c r="M106" i="6"/>
  <c r="M109" i="6" s="1"/>
  <c r="E106" i="6"/>
  <c r="E109" i="6" s="1"/>
  <c r="O106" i="6"/>
  <c r="O109" i="6" s="1"/>
  <c r="Y136" i="7" s="1"/>
  <c r="N106" i="6"/>
  <c r="N109" i="6" s="1"/>
  <c r="W136" i="7" s="1"/>
  <c r="H106" i="6"/>
  <c r="H109" i="6" s="1"/>
  <c r="K136" i="7" s="1"/>
  <c r="I106" i="6"/>
  <c r="I109" i="6" s="1"/>
  <c r="M136" i="7" s="1"/>
  <c r="R106" i="6"/>
  <c r="G106" i="6"/>
  <c r="G109" i="6" s="1"/>
  <c r="I136" i="7" s="1"/>
  <c r="D106" i="6"/>
  <c r="P106" i="6"/>
  <c r="P109" i="6" s="1"/>
  <c r="AA136" i="7" s="1"/>
  <c r="W112" i="7"/>
  <c r="W113" i="7" s="1"/>
  <c r="W115" i="7" s="1"/>
  <c r="X116" i="7" s="1"/>
  <c r="W134" i="7"/>
  <c r="W114" i="3"/>
  <c r="W115" i="3" s="1"/>
  <c r="W117" i="3" s="1"/>
  <c r="X118" i="3" s="1"/>
  <c r="K117" i="6"/>
  <c r="O125" i="7"/>
  <c r="O127" i="7" s="1"/>
  <c r="P128" i="7" s="1"/>
  <c r="K112" i="7"/>
  <c r="K113" i="7" s="1"/>
  <c r="K115" i="7" s="1"/>
  <c r="L116" i="7" s="1"/>
  <c r="Y134" i="7"/>
  <c r="Y114" i="3"/>
  <c r="Y115" i="3" s="1"/>
  <c r="Y117" i="3" s="1"/>
  <c r="Z118" i="3" s="1"/>
  <c r="O121" i="6"/>
  <c r="C76" i="8" s="1"/>
  <c r="AA112" i="7"/>
  <c r="AA113" i="7" s="1"/>
  <c r="AA115" i="7" s="1"/>
  <c r="AB116" i="7" s="1"/>
  <c r="S135" i="7"/>
  <c r="G125" i="7"/>
  <c r="G127" i="7" s="1"/>
  <c r="H128" i="7" s="1"/>
  <c r="U112" i="7"/>
  <c r="U113" i="7" s="1"/>
  <c r="U115" i="7" s="1"/>
  <c r="V116" i="7" s="1"/>
  <c r="S134" i="7"/>
  <c r="S114" i="3"/>
  <c r="S115" i="3" s="1"/>
  <c r="S117" i="3" s="1"/>
  <c r="T118" i="3" s="1"/>
  <c r="I112" i="7"/>
  <c r="I113" i="7" s="1"/>
  <c r="I115" i="7" s="1"/>
  <c r="J116" i="7" s="1"/>
  <c r="S112" i="7"/>
  <c r="S113" i="7" s="1"/>
  <c r="S115" i="7" s="1"/>
  <c r="T116" i="7" s="1"/>
  <c r="K134" i="4"/>
  <c r="L135" i="4" s="1"/>
  <c r="L137" i="4" s="1"/>
  <c r="M134" i="4"/>
  <c r="N135" i="4" s="1"/>
  <c r="N137" i="4" s="1"/>
  <c r="D135" i="4"/>
  <c r="AA134" i="4"/>
  <c r="AB135" i="4" s="1"/>
  <c r="AB137" i="4" s="1"/>
  <c r="G134" i="4"/>
  <c r="H135" i="4" s="1"/>
  <c r="H137" i="4" s="1"/>
  <c r="I134" i="4"/>
  <c r="J135" i="4" s="1"/>
  <c r="J137" i="4" s="1"/>
  <c r="Y134" i="4"/>
  <c r="Z135" i="4" s="1"/>
  <c r="Z137" i="4" s="1"/>
  <c r="AE134" i="4"/>
  <c r="AF135" i="4" s="1"/>
  <c r="AF137" i="4" s="1"/>
  <c r="S134" i="4"/>
  <c r="T135" i="4" s="1"/>
  <c r="T137" i="4" s="1"/>
  <c r="E134" i="4"/>
  <c r="F135" i="4" s="1"/>
  <c r="F137" i="4" s="1"/>
  <c r="U134" i="4"/>
  <c r="V135" i="4" s="1"/>
  <c r="V137" i="4" s="1"/>
  <c r="Q134" i="4"/>
  <c r="R135" i="4" s="1"/>
  <c r="R137" i="4" s="1"/>
  <c r="AC134" i="4"/>
  <c r="AD135" i="4" s="1"/>
  <c r="AD137" i="4" s="1"/>
  <c r="W134" i="4"/>
  <c r="X135" i="4" s="1"/>
  <c r="X137" i="4" s="1"/>
  <c r="O134" i="4"/>
  <c r="P135" i="4" s="1"/>
  <c r="P137" i="4" s="1"/>
  <c r="AE57" i="3"/>
  <c r="AF58" i="3" s="1"/>
  <c r="AG58" i="3" s="1"/>
  <c r="AE27" i="3"/>
  <c r="AF28" i="3" s="1"/>
  <c r="AG28" i="3" s="1"/>
  <c r="AC97" i="3"/>
  <c r="AD98" i="3" s="1"/>
  <c r="AE96" i="3"/>
  <c r="AE47" i="3"/>
  <c r="AF48" i="3" s="1"/>
  <c r="AG48" i="3" s="1"/>
  <c r="AC107" i="3"/>
  <c r="AD108" i="3" s="1"/>
  <c r="AE106" i="3"/>
  <c r="AC87" i="3"/>
  <c r="AD88" i="3" s="1"/>
  <c r="AE86" i="3"/>
  <c r="AE67" i="3"/>
  <c r="AF68" i="3" s="1"/>
  <c r="AG68" i="3" s="1"/>
  <c r="AC77" i="3"/>
  <c r="AD78" i="3" s="1"/>
  <c r="AE76" i="3"/>
  <c r="T38" i="2"/>
  <c r="G104" i="1"/>
  <c r="AH128" i="7" s="1"/>
  <c r="L62" i="1"/>
  <c r="L104" i="1" s="1"/>
  <c r="L105" i="1" s="1"/>
  <c r="I104" i="1"/>
  <c r="I105" i="1" s="1"/>
  <c r="K62" i="1"/>
  <c r="O42" i="2"/>
  <c r="O44" i="2" s="1"/>
  <c r="G44" i="2"/>
  <c r="E101" i="1"/>
  <c r="E102" i="1" s="1"/>
  <c r="I60" i="1"/>
  <c r="S40" i="2"/>
  <c r="G64" i="1" s="1"/>
  <c r="H64" i="1" s="1"/>
  <c r="H107" i="1" s="1"/>
  <c r="H108" i="1" s="1"/>
  <c r="N42" i="2"/>
  <c r="F44" i="2"/>
  <c r="S36" i="2"/>
  <c r="T36" i="2"/>
  <c r="F66" i="1"/>
  <c r="Q44" i="2"/>
  <c r="M54" i="1"/>
  <c r="M92" i="1" s="1"/>
  <c r="M93" i="1" s="1"/>
  <c r="H92" i="1"/>
  <c r="H93" i="1" s="1"/>
  <c r="G93" i="1"/>
  <c r="AH68" i="3"/>
  <c r="D110" i="1"/>
  <c r="D111" i="1" s="1"/>
  <c r="O66" i="1"/>
  <c r="O110" i="1" s="1"/>
  <c r="O111" i="1" s="1"/>
  <c r="D68" i="1"/>
  <c r="E107" i="1"/>
  <c r="E108" i="1" s="1"/>
  <c r="I64" i="1"/>
  <c r="K137" i="7" l="1"/>
  <c r="K139" i="7" s="1"/>
  <c r="L140" i="7" s="1"/>
  <c r="G136" i="7"/>
  <c r="E136" i="7"/>
  <c r="U136" i="7"/>
  <c r="AC136" i="7"/>
  <c r="AC137" i="7" s="1"/>
  <c r="AC139" i="7" s="1"/>
  <c r="AD140" i="7" s="1"/>
  <c r="C89" i="8"/>
  <c r="F185" i="7"/>
  <c r="W146" i="7"/>
  <c r="W124" i="3"/>
  <c r="W125" i="3" s="1"/>
  <c r="W127" i="3" s="1"/>
  <c r="X128" i="3" s="1"/>
  <c r="E137" i="7"/>
  <c r="E139" i="7" s="1"/>
  <c r="F140" i="7" s="1"/>
  <c r="AC146" i="7"/>
  <c r="AC124" i="3"/>
  <c r="AC125" i="3" s="1"/>
  <c r="AC127" i="3" s="1"/>
  <c r="AD128" i="3" s="1"/>
  <c r="C136" i="7"/>
  <c r="S109" i="6"/>
  <c r="U109" i="6" s="1"/>
  <c r="F43" i="8"/>
  <c r="AG145" i="4"/>
  <c r="Q146" i="7"/>
  <c r="Q124" i="3"/>
  <c r="Q125" i="3" s="1"/>
  <c r="Q127" i="3" s="1"/>
  <c r="R128" i="3" s="1"/>
  <c r="AA146" i="7"/>
  <c r="AA124" i="3"/>
  <c r="AA125" i="3" s="1"/>
  <c r="AA127" i="3" s="1"/>
  <c r="AB128" i="3" s="1"/>
  <c r="S106" i="6"/>
  <c r="U106" i="6" s="1"/>
  <c r="AG116" i="7"/>
  <c r="AA137" i="7"/>
  <c r="AA139" i="7" s="1"/>
  <c r="AB140" i="7" s="1"/>
  <c r="Q137" i="7"/>
  <c r="Q139" i="7" s="1"/>
  <c r="R140" i="7" s="1"/>
  <c r="U124" i="3"/>
  <c r="U125" i="3" s="1"/>
  <c r="U127" i="3" s="1"/>
  <c r="V128" i="3" s="1"/>
  <c r="U146" i="7"/>
  <c r="AG135" i="4"/>
  <c r="D137" i="4"/>
  <c r="S137" i="7"/>
  <c r="S139" i="7" s="1"/>
  <c r="T140" i="7" s="1"/>
  <c r="U108" i="6"/>
  <c r="S121" i="6"/>
  <c r="P121" i="6"/>
  <c r="C78" i="8" s="1"/>
  <c r="U147" i="7"/>
  <c r="M121" i="6"/>
  <c r="C72" i="8" s="1"/>
  <c r="Q147" i="7"/>
  <c r="K121" i="6"/>
  <c r="C68" i="8" s="1"/>
  <c r="S100" i="6"/>
  <c r="U100" i="6" s="1"/>
  <c r="C124" i="7"/>
  <c r="C125" i="7" s="1"/>
  <c r="C127" i="7" s="1"/>
  <c r="D128" i="7" s="1"/>
  <c r="AG128" i="7" s="1"/>
  <c r="E124" i="3"/>
  <c r="E125" i="3" s="1"/>
  <c r="E127" i="3" s="1"/>
  <c r="F128" i="3" s="1"/>
  <c r="E146" i="7"/>
  <c r="AG129" i="4"/>
  <c r="C114" i="3"/>
  <c r="C115" i="3" s="1"/>
  <c r="C117" i="3" s="1"/>
  <c r="D118" i="3" s="1"/>
  <c r="AG118" i="3" s="1"/>
  <c r="C134" i="7"/>
  <c r="AE46" i="4"/>
  <c r="W46" i="4"/>
  <c r="X47" i="4" s="1"/>
  <c r="I46" i="4"/>
  <c r="J47" i="4" s="1"/>
  <c r="Q46" i="4"/>
  <c r="R47" i="4" s="1"/>
  <c r="AC46" i="4"/>
  <c r="AD47" i="4" s="1"/>
  <c r="U46" i="4"/>
  <c r="V47" i="4" s="1"/>
  <c r="S46" i="4"/>
  <c r="T47" i="4" s="1"/>
  <c r="Y46" i="4"/>
  <c r="Z47" i="4" s="1"/>
  <c r="D47" i="4"/>
  <c r="AA46" i="4"/>
  <c r="AB47" i="4" s="1"/>
  <c r="M46" i="4"/>
  <c r="N47" i="4" s="1"/>
  <c r="E46" i="4"/>
  <c r="F47" i="4" s="1"/>
  <c r="O46" i="4"/>
  <c r="P47" i="4" s="1"/>
  <c r="G46" i="4"/>
  <c r="H47" i="4" s="1"/>
  <c r="K46" i="4"/>
  <c r="L47" i="4" s="1"/>
  <c r="K124" i="3"/>
  <c r="K125" i="3" s="1"/>
  <c r="K127" i="3" s="1"/>
  <c r="L128" i="3" s="1"/>
  <c r="K146" i="7"/>
  <c r="U137" i="7"/>
  <c r="U139" i="7" s="1"/>
  <c r="V140" i="7" s="1"/>
  <c r="L115" i="6"/>
  <c r="P115" i="6"/>
  <c r="N115" i="6"/>
  <c r="H115" i="6"/>
  <c r="G115" i="6"/>
  <c r="R115" i="6"/>
  <c r="Q115" i="6"/>
  <c r="E115" i="6"/>
  <c r="E118" i="6" s="1"/>
  <c r="E148" i="7" s="1"/>
  <c r="M115" i="6"/>
  <c r="O115" i="6"/>
  <c r="J115" i="6"/>
  <c r="F115" i="6"/>
  <c r="I115" i="6"/>
  <c r="K115" i="6"/>
  <c r="D115" i="6"/>
  <c r="M137" i="7"/>
  <c r="M139" i="7" s="1"/>
  <c r="N140" i="7" s="1"/>
  <c r="AK133" i="4"/>
  <c r="AK141" i="4" s="1"/>
  <c r="AK134" i="4"/>
  <c r="AE146" i="7"/>
  <c r="AE124" i="3"/>
  <c r="AE125" i="3" s="1"/>
  <c r="AE127" i="3" s="1"/>
  <c r="AF128" i="3" s="1"/>
  <c r="S121" i="5"/>
  <c r="AE137" i="7"/>
  <c r="AE139" i="7" s="1"/>
  <c r="AF140" i="7" s="1"/>
  <c r="C147" i="7"/>
  <c r="S117" i="6"/>
  <c r="U117" i="6" s="1"/>
  <c r="I146" i="7"/>
  <c r="I124" i="3"/>
  <c r="I125" i="3" s="1"/>
  <c r="I127" i="3" s="1"/>
  <c r="J128" i="3" s="1"/>
  <c r="G146" i="7"/>
  <c r="G124" i="3"/>
  <c r="G125" i="3" s="1"/>
  <c r="G127" i="3" s="1"/>
  <c r="H128" i="3" s="1"/>
  <c r="S109" i="5"/>
  <c r="S117" i="5"/>
  <c r="D121" i="5"/>
  <c r="C10" i="8" s="1"/>
  <c r="M124" i="3"/>
  <c r="M125" i="3" s="1"/>
  <c r="M127" i="3" s="1"/>
  <c r="N128" i="3" s="1"/>
  <c r="M146" i="7"/>
  <c r="M147" i="7"/>
  <c r="I121" i="6"/>
  <c r="C64" i="8" s="1"/>
  <c r="S146" i="7"/>
  <c r="S124" i="3"/>
  <c r="S125" i="3" s="1"/>
  <c r="S127" i="3" s="1"/>
  <c r="T128" i="3" s="1"/>
  <c r="Y137" i="7"/>
  <c r="Y139" i="7" s="1"/>
  <c r="Z140" i="7" s="1"/>
  <c r="W137" i="7"/>
  <c r="W139" i="7" s="1"/>
  <c r="X140" i="7" s="1"/>
  <c r="U91" i="6"/>
  <c r="O124" i="3"/>
  <c r="O125" i="3" s="1"/>
  <c r="O127" i="3" s="1"/>
  <c r="P128" i="3" s="1"/>
  <c r="O146" i="7"/>
  <c r="Y146" i="7"/>
  <c r="Y124" i="3"/>
  <c r="Y125" i="3" s="1"/>
  <c r="Y127" i="3" s="1"/>
  <c r="Z128" i="3" s="1"/>
  <c r="L121" i="6"/>
  <c r="C70" i="8" s="1"/>
  <c r="G137" i="7"/>
  <c r="G139" i="7" s="1"/>
  <c r="H140" i="7" s="1"/>
  <c r="O137" i="7"/>
  <c r="O139" i="7" s="1"/>
  <c r="P140" i="7" s="1"/>
  <c r="I137" i="7"/>
  <c r="I139" i="7" s="1"/>
  <c r="J140" i="7" s="1"/>
  <c r="AE87" i="3"/>
  <c r="AF88" i="3" s="1"/>
  <c r="AG88" i="3" s="1"/>
  <c r="AE107" i="3"/>
  <c r="AF108" i="3" s="1"/>
  <c r="AG108" i="3" s="1"/>
  <c r="AE97" i="3"/>
  <c r="AF98" i="3" s="1"/>
  <c r="AG98" i="3" s="1"/>
  <c r="AE77" i="3"/>
  <c r="AF78" i="3" s="1"/>
  <c r="N44" i="2"/>
  <c r="D43" i="8" s="1"/>
  <c r="P42" i="2"/>
  <c r="T40" i="2"/>
  <c r="M62" i="1"/>
  <c r="M104" i="1" s="1"/>
  <c r="M105" i="1" s="1"/>
  <c r="K104" i="1"/>
  <c r="K105" i="1" s="1"/>
  <c r="I101" i="1"/>
  <c r="I102" i="1" s="1"/>
  <c r="K60" i="1"/>
  <c r="I107" i="1"/>
  <c r="I108" i="1" s="1"/>
  <c r="K64" i="1"/>
  <c r="D113" i="1"/>
  <c r="D114" i="1" s="1"/>
  <c r="O68" i="1"/>
  <c r="O113" i="1" s="1"/>
  <c r="O114" i="1" s="1"/>
  <c r="G107" i="1"/>
  <c r="AH140" i="7" s="1"/>
  <c r="L64" i="1"/>
  <c r="L107" i="1" s="1"/>
  <c r="L108" i="1" s="1"/>
  <c r="G60" i="1"/>
  <c r="F110" i="1"/>
  <c r="F111" i="1" s="1"/>
  <c r="J66" i="1"/>
  <c r="J110" i="1" s="1"/>
  <c r="J111" i="1" s="1"/>
  <c r="F68" i="1"/>
  <c r="G105" i="1"/>
  <c r="AH108" i="3"/>
  <c r="E123" i="6" l="1"/>
  <c r="D56" i="8" s="1"/>
  <c r="E56" i="8" s="1"/>
  <c r="I56" i="8" s="1"/>
  <c r="E149" i="7"/>
  <c r="E151" i="7" s="1"/>
  <c r="F152" i="7" s="1"/>
  <c r="C146" i="7"/>
  <c r="C124" i="3"/>
  <c r="C125" i="3" s="1"/>
  <c r="C127" i="3" s="1"/>
  <c r="D128" i="3" s="1"/>
  <c r="AG128" i="3" s="1"/>
  <c r="AG137" i="4"/>
  <c r="F87" i="8"/>
  <c r="C90" i="8"/>
  <c r="K118" i="5"/>
  <c r="K123" i="5" s="1"/>
  <c r="D24" i="8" s="1"/>
  <c r="E24" i="8" s="1"/>
  <c r="I24" i="8" s="1"/>
  <c r="M118" i="5"/>
  <c r="M123" i="5" s="1"/>
  <c r="D28" i="8" s="1"/>
  <c r="E28" i="8" s="1"/>
  <c r="I28" i="8" s="1"/>
  <c r="H118" i="5"/>
  <c r="H123" i="5" s="1"/>
  <c r="D18" i="8" s="1"/>
  <c r="E18" i="8" s="1"/>
  <c r="I18" i="8" s="1"/>
  <c r="J118" i="5"/>
  <c r="J123" i="5" s="1"/>
  <c r="D22" i="8" s="1"/>
  <c r="E22" i="8" s="1"/>
  <c r="I22" i="8" s="1"/>
  <c r="N118" i="5"/>
  <c r="N123" i="5" s="1"/>
  <c r="D30" i="8" s="1"/>
  <c r="E30" i="8" s="1"/>
  <c r="I30" i="8" s="1"/>
  <c r="P118" i="5"/>
  <c r="P123" i="5" s="1"/>
  <c r="D34" i="8" s="1"/>
  <c r="E34" i="8" s="1"/>
  <c r="I34" i="8" s="1"/>
  <c r="E118" i="5"/>
  <c r="E123" i="5" s="1"/>
  <c r="D12" i="8" s="1"/>
  <c r="E12" i="8" s="1"/>
  <c r="I12" i="8" s="1"/>
  <c r="O118" i="5"/>
  <c r="O123" i="5" s="1"/>
  <c r="D32" i="8" s="1"/>
  <c r="E32" i="8" s="1"/>
  <c r="I32" i="8" s="1"/>
  <c r="F118" i="5"/>
  <c r="F123" i="5" s="1"/>
  <c r="D14" i="8" s="1"/>
  <c r="E14" i="8" s="1"/>
  <c r="I14" i="8" s="1"/>
  <c r="L118" i="5"/>
  <c r="L123" i="5" s="1"/>
  <c r="D26" i="8" s="1"/>
  <c r="E26" i="8" s="1"/>
  <c r="I26" i="8" s="1"/>
  <c r="R118" i="5"/>
  <c r="R123" i="5" s="1"/>
  <c r="D38" i="8" s="1"/>
  <c r="E38" i="8" s="1"/>
  <c r="I38" i="8" s="1"/>
  <c r="D118" i="5"/>
  <c r="G118" i="5"/>
  <c r="G123" i="5" s="1"/>
  <c r="D16" i="8" s="1"/>
  <c r="E16" i="8" s="1"/>
  <c r="I16" i="8" s="1"/>
  <c r="Q118" i="5"/>
  <c r="Q123" i="5" s="1"/>
  <c r="D36" i="8" s="1"/>
  <c r="E36" i="8" s="1"/>
  <c r="I36" i="8" s="1"/>
  <c r="I118" i="5"/>
  <c r="I123" i="5" s="1"/>
  <c r="D20" i="8" s="1"/>
  <c r="E20" i="8" s="1"/>
  <c r="I20" i="8" s="1"/>
  <c r="C123" i="5"/>
  <c r="D49" i="4"/>
  <c r="D142" i="4"/>
  <c r="C137" i="7"/>
  <c r="C139" i="7" s="1"/>
  <c r="D140" i="7" s="1"/>
  <c r="AG140" i="7" s="1"/>
  <c r="F118" i="6"/>
  <c r="L142" i="4"/>
  <c r="L49" i="4"/>
  <c r="T49" i="4"/>
  <c r="T142" i="4"/>
  <c r="F49" i="4"/>
  <c r="F142" i="4"/>
  <c r="N49" i="4"/>
  <c r="N142" i="4"/>
  <c r="C40" i="8"/>
  <c r="X49" i="4"/>
  <c r="X142" i="4"/>
  <c r="AF47" i="4"/>
  <c r="AG47" i="4" s="1"/>
  <c r="AG142" i="4" s="1"/>
  <c r="AK46" i="4"/>
  <c r="D87" i="8"/>
  <c r="D46" i="8"/>
  <c r="E43" i="8"/>
  <c r="G118" i="6"/>
  <c r="Z142" i="4"/>
  <c r="Z49" i="4"/>
  <c r="U121" i="6"/>
  <c r="E174" i="7"/>
  <c r="N118" i="6"/>
  <c r="H49" i="4"/>
  <c r="H142" i="4"/>
  <c r="V49" i="4"/>
  <c r="V142" i="4"/>
  <c r="R49" i="4"/>
  <c r="R142" i="4"/>
  <c r="J49" i="4"/>
  <c r="J142" i="4"/>
  <c r="H118" i="6"/>
  <c r="L118" i="6"/>
  <c r="R118" i="6"/>
  <c r="Q118" i="6"/>
  <c r="J118" i="6"/>
  <c r="O118" i="6"/>
  <c r="M118" i="6"/>
  <c r="P118" i="6"/>
  <c r="K118" i="6"/>
  <c r="C123" i="6"/>
  <c r="D118" i="6"/>
  <c r="S115" i="6"/>
  <c r="U115" i="6" s="1"/>
  <c r="AB142" i="4"/>
  <c r="AB49" i="4"/>
  <c r="C84" i="8"/>
  <c r="I118" i="6"/>
  <c r="AL135" i="4"/>
  <c r="P49" i="4"/>
  <c r="P142" i="4"/>
  <c r="AD49" i="4"/>
  <c r="AD142" i="4"/>
  <c r="T118" i="6"/>
  <c r="T123" i="6" s="1"/>
  <c r="AG78" i="3"/>
  <c r="K107" i="1"/>
  <c r="K108" i="1" s="1"/>
  <c r="M64" i="1"/>
  <c r="M107" i="1" s="1"/>
  <c r="M108" i="1" s="1"/>
  <c r="G108" i="1"/>
  <c r="AH118" i="3"/>
  <c r="F113" i="1"/>
  <c r="F114" i="1" s="1"/>
  <c r="J68" i="1"/>
  <c r="J113" i="1" s="1"/>
  <c r="J114" i="1" s="1"/>
  <c r="G101" i="1"/>
  <c r="AH116" i="7" s="1"/>
  <c r="L60" i="1"/>
  <c r="L101" i="1" s="1"/>
  <c r="L102" i="1" s="1"/>
  <c r="H60" i="1"/>
  <c r="K101" i="1"/>
  <c r="K102" i="1" s="1"/>
  <c r="R42" i="2"/>
  <c r="E66" i="1"/>
  <c r="P44" i="2"/>
  <c r="W148" i="7" l="1"/>
  <c r="W149" i="7" s="1"/>
  <c r="W151" i="7" s="1"/>
  <c r="X152" i="7" s="1"/>
  <c r="N123" i="6"/>
  <c r="D74" i="8" s="1"/>
  <c r="E74" i="8" s="1"/>
  <c r="I74" i="8" s="1"/>
  <c r="I148" i="7"/>
  <c r="I149" i="7" s="1"/>
  <c r="I151" i="7" s="1"/>
  <c r="J152" i="7" s="1"/>
  <c r="G123" i="6"/>
  <c r="D60" i="8" s="1"/>
  <c r="E60" i="8" s="1"/>
  <c r="I60" i="8" s="1"/>
  <c r="F139" i="4"/>
  <c r="E14" i="7"/>
  <c r="E17" i="7" s="1"/>
  <c r="E19" i="7" s="1"/>
  <c r="F20" i="7" s="1"/>
  <c r="F155" i="7" s="1"/>
  <c r="E14" i="3"/>
  <c r="E15" i="3" s="1"/>
  <c r="E17" i="3" s="1"/>
  <c r="F18" i="3" s="1"/>
  <c r="F131" i="3" s="1"/>
  <c r="M148" i="7"/>
  <c r="M149" i="7" s="1"/>
  <c r="M151" i="7" s="1"/>
  <c r="N152" i="7" s="1"/>
  <c r="I123" i="6"/>
  <c r="D64" i="8" s="1"/>
  <c r="E64" i="8" s="1"/>
  <c r="I64" i="8" s="1"/>
  <c r="K148" i="7"/>
  <c r="K149" i="7" s="1"/>
  <c r="K151" i="7" s="1"/>
  <c r="L152" i="7" s="1"/>
  <c r="H123" i="6"/>
  <c r="D62" i="8" s="1"/>
  <c r="E62" i="8" s="1"/>
  <c r="I62" i="8" s="1"/>
  <c r="T139" i="4"/>
  <c r="S14" i="7"/>
  <c r="S17" i="7" s="1"/>
  <c r="S19" i="7" s="1"/>
  <c r="T20" i="7" s="1"/>
  <c r="S14" i="3"/>
  <c r="S15" i="3" s="1"/>
  <c r="S17" i="3" s="1"/>
  <c r="T18" i="3" s="1"/>
  <c r="T131" i="3" s="1"/>
  <c r="AA148" i="7"/>
  <c r="AA149" i="7" s="1"/>
  <c r="AA151" i="7" s="1"/>
  <c r="AB152" i="7" s="1"/>
  <c r="P123" i="6"/>
  <c r="D78" i="8" s="1"/>
  <c r="E78" i="8" s="1"/>
  <c r="I78" i="8" s="1"/>
  <c r="L139" i="4"/>
  <c r="K14" i="3"/>
  <c r="K15" i="3" s="1"/>
  <c r="K17" i="3" s="1"/>
  <c r="L18" i="3" s="1"/>
  <c r="L131" i="3" s="1"/>
  <c r="K14" i="7"/>
  <c r="K17" i="7" s="1"/>
  <c r="K19" i="7" s="1"/>
  <c r="L20" i="7" s="1"/>
  <c r="U127" i="6"/>
  <c r="S127" i="5"/>
  <c r="O148" i="7"/>
  <c r="O149" i="7" s="1"/>
  <c r="O151" i="7" s="1"/>
  <c r="P152" i="7" s="1"/>
  <c r="J123" i="6"/>
  <c r="D66" i="8" s="1"/>
  <c r="E66" i="8" s="1"/>
  <c r="I66" i="8" s="1"/>
  <c r="H139" i="4"/>
  <c r="G14" i="3"/>
  <c r="G15" i="3" s="1"/>
  <c r="G17" i="3" s="1"/>
  <c r="H18" i="3" s="1"/>
  <c r="H131" i="3" s="1"/>
  <c r="G14" i="7"/>
  <c r="G17" i="7" s="1"/>
  <c r="G19" i="7" s="1"/>
  <c r="H20" i="7" s="1"/>
  <c r="D89" i="8"/>
  <c r="E89" i="8" s="1"/>
  <c r="F186" i="7"/>
  <c r="R139" i="4"/>
  <c r="Q14" i="3"/>
  <c r="Q15" i="3" s="1"/>
  <c r="Q17" i="3" s="1"/>
  <c r="R18" i="3" s="1"/>
  <c r="R131" i="3" s="1"/>
  <c r="Q14" i="7"/>
  <c r="Q17" i="7" s="1"/>
  <c r="Q19" i="7" s="1"/>
  <c r="R20" i="7" s="1"/>
  <c r="AE148" i="7"/>
  <c r="AE149" i="7" s="1"/>
  <c r="AE151" i="7" s="1"/>
  <c r="AF152" i="7" s="1"/>
  <c r="R123" i="6"/>
  <c r="D82" i="8" s="1"/>
  <c r="E82" i="8" s="1"/>
  <c r="I82" i="8" s="1"/>
  <c r="AD139" i="4"/>
  <c r="AC14" i="3"/>
  <c r="AC15" i="3" s="1"/>
  <c r="AC17" i="3" s="1"/>
  <c r="AD18" i="3" s="1"/>
  <c r="AD131" i="3" s="1"/>
  <c r="AC14" i="7"/>
  <c r="AC17" i="7" s="1"/>
  <c r="AC19" i="7" s="1"/>
  <c r="AD20" i="7" s="1"/>
  <c r="S148" i="7"/>
  <c r="S149" i="7" s="1"/>
  <c r="S151" i="7" s="1"/>
  <c r="T152" i="7" s="1"/>
  <c r="L123" i="6"/>
  <c r="D70" i="8" s="1"/>
  <c r="E70" i="8" s="1"/>
  <c r="I70" i="8" s="1"/>
  <c r="S118" i="5"/>
  <c r="S123" i="5" s="1"/>
  <c r="S125" i="5" s="1"/>
  <c r="D123" i="5"/>
  <c r="D10" i="8" s="1"/>
  <c r="S118" i="6"/>
  <c r="Q148" i="7"/>
  <c r="Q149" i="7" s="1"/>
  <c r="Q151" i="7" s="1"/>
  <c r="R152" i="7" s="1"/>
  <c r="K123" i="6"/>
  <c r="D68" i="8" s="1"/>
  <c r="E68" i="8" s="1"/>
  <c r="I68" i="8" s="1"/>
  <c r="P139" i="4"/>
  <c r="O14" i="3"/>
  <c r="O15" i="3" s="1"/>
  <c r="O17" i="3" s="1"/>
  <c r="P18" i="3" s="1"/>
  <c r="P131" i="3" s="1"/>
  <c r="O14" i="7"/>
  <c r="O17" i="7" s="1"/>
  <c r="O19" i="7" s="1"/>
  <c r="P20" i="7" s="1"/>
  <c r="P155" i="7" s="1"/>
  <c r="U148" i="7"/>
  <c r="U149" i="7" s="1"/>
  <c r="U151" i="7" s="1"/>
  <c r="V152" i="7" s="1"/>
  <c r="M123" i="6"/>
  <c r="D72" i="8" s="1"/>
  <c r="E72" i="8" s="1"/>
  <c r="I72" i="8" s="1"/>
  <c r="J139" i="4"/>
  <c r="I14" i="3"/>
  <c r="I15" i="3" s="1"/>
  <c r="I17" i="3" s="1"/>
  <c r="J18" i="3" s="1"/>
  <c r="J131" i="3" s="1"/>
  <c r="I14" i="7"/>
  <c r="I17" i="7" s="1"/>
  <c r="I19" i="7" s="1"/>
  <c r="J20" i="7" s="1"/>
  <c r="J155" i="7" s="1"/>
  <c r="V139" i="4"/>
  <c r="U14" i="7"/>
  <c r="U17" i="7" s="1"/>
  <c r="U19" i="7" s="1"/>
  <c r="V20" i="7" s="1"/>
  <c r="U14" i="3"/>
  <c r="U15" i="3" s="1"/>
  <c r="U17" i="3" s="1"/>
  <c r="V18" i="3" s="1"/>
  <c r="V131" i="3" s="1"/>
  <c r="AL47" i="4"/>
  <c r="AL139" i="4" s="1"/>
  <c r="AK142" i="4"/>
  <c r="C14" i="7"/>
  <c r="C17" i="7" s="1"/>
  <c r="C19" i="7" s="1"/>
  <c r="D20" i="7" s="1"/>
  <c r="C14" i="3"/>
  <c r="C15" i="3" s="1"/>
  <c r="C17" i="3" s="1"/>
  <c r="D18" i="3" s="1"/>
  <c r="D139" i="4"/>
  <c r="AC148" i="7"/>
  <c r="AC149" i="7" s="1"/>
  <c r="AC151" i="7" s="1"/>
  <c r="AD152" i="7" s="1"/>
  <c r="Q123" i="6"/>
  <c r="D80" i="8" s="1"/>
  <c r="E80" i="8" s="1"/>
  <c r="I80" i="8" s="1"/>
  <c r="C148" i="7"/>
  <c r="C149" i="7" s="1"/>
  <c r="C151" i="7" s="1"/>
  <c r="D152" i="7" s="1"/>
  <c r="D123" i="6"/>
  <c r="D54" i="8" s="1"/>
  <c r="E46" i="8"/>
  <c r="E87" i="8"/>
  <c r="X139" i="4"/>
  <c r="W14" i="3"/>
  <c r="W15" i="3" s="1"/>
  <c r="W17" i="3" s="1"/>
  <c r="X18" i="3" s="1"/>
  <c r="X131" i="3" s="1"/>
  <c r="W14" i="7"/>
  <c r="W17" i="7" s="1"/>
  <c r="W19" i="7" s="1"/>
  <c r="X20" i="7" s="1"/>
  <c r="AB139" i="4"/>
  <c r="AA14" i="7"/>
  <c r="AA17" i="7" s="1"/>
  <c r="AA19" i="7" s="1"/>
  <c r="AB20" i="7" s="1"/>
  <c r="AA14" i="3"/>
  <c r="AA15" i="3" s="1"/>
  <c r="AA17" i="3" s="1"/>
  <c r="AB18" i="3" s="1"/>
  <c r="AB131" i="3" s="1"/>
  <c r="Y148" i="7"/>
  <c r="Y149" i="7" s="1"/>
  <c r="Y151" i="7" s="1"/>
  <c r="Z152" i="7" s="1"/>
  <c r="O123" i="6"/>
  <c r="D76" i="8" s="1"/>
  <c r="E76" i="8" s="1"/>
  <c r="I76" i="8" s="1"/>
  <c r="Y14" i="7"/>
  <c r="Y17" i="7" s="1"/>
  <c r="Y19" i="7" s="1"/>
  <c r="Z20" i="7" s="1"/>
  <c r="Z139" i="4"/>
  <c r="Y14" i="3"/>
  <c r="Y15" i="3" s="1"/>
  <c r="Y17" i="3" s="1"/>
  <c r="Z18" i="3" s="1"/>
  <c r="Z131" i="3" s="1"/>
  <c r="AF49" i="4"/>
  <c r="AG49" i="4" s="1"/>
  <c r="AG139" i="4" s="1"/>
  <c r="AF142" i="4"/>
  <c r="M14" i="7"/>
  <c r="M17" i="7" s="1"/>
  <c r="M19" i="7" s="1"/>
  <c r="N20" i="7" s="1"/>
  <c r="N139" i="4"/>
  <c r="M14" i="3"/>
  <c r="M15" i="3" s="1"/>
  <c r="M17" i="3" s="1"/>
  <c r="N18" i="3" s="1"/>
  <c r="N131" i="3" s="1"/>
  <c r="G148" i="7"/>
  <c r="G149" i="7" s="1"/>
  <c r="G151" i="7" s="1"/>
  <c r="H152" i="7" s="1"/>
  <c r="F123" i="6"/>
  <c r="D58" i="8" s="1"/>
  <c r="E58" i="8" s="1"/>
  <c r="I58" i="8" s="1"/>
  <c r="E110" i="1"/>
  <c r="E111" i="1" s="1"/>
  <c r="I66" i="1"/>
  <c r="E68" i="1"/>
  <c r="S42" i="2"/>
  <c r="T42" i="2" s="1"/>
  <c r="T44" i="2" s="1"/>
  <c r="R44" i="2"/>
  <c r="M60" i="1"/>
  <c r="M101" i="1" s="1"/>
  <c r="M102" i="1" s="1"/>
  <c r="H101" i="1"/>
  <c r="H102" i="1" s="1"/>
  <c r="G102" i="1"/>
  <c r="AH98" i="3"/>
  <c r="L155" i="7" l="1"/>
  <c r="L157" i="7" s="1"/>
  <c r="X155" i="7"/>
  <c r="G74" i="8" s="1"/>
  <c r="V155" i="7"/>
  <c r="V157" i="7" s="1"/>
  <c r="AD155" i="7"/>
  <c r="G80" i="8" s="1"/>
  <c r="Z155" i="7"/>
  <c r="Z164" i="7" s="1"/>
  <c r="K76" i="8" s="1"/>
  <c r="F183" i="7"/>
  <c r="F155" i="3"/>
  <c r="Z143" i="4"/>
  <c r="F32" i="8"/>
  <c r="F76" i="8"/>
  <c r="R143" i="4"/>
  <c r="F68" i="8"/>
  <c r="F24" i="8"/>
  <c r="N140" i="3"/>
  <c r="K20" i="8" s="1"/>
  <c r="G20" i="8"/>
  <c r="N133" i="3"/>
  <c r="D131" i="3"/>
  <c r="AD140" i="3"/>
  <c r="K36" i="8" s="1"/>
  <c r="G36" i="8"/>
  <c r="AD133" i="3"/>
  <c r="E90" i="8"/>
  <c r="T140" i="3"/>
  <c r="K26" i="8" s="1"/>
  <c r="G26" i="8"/>
  <c r="T133" i="3"/>
  <c r="G56" i="8"/>
  <c r="F164" i="7"/>
  <c r="K56" i="8" s="1"/>
  <c r="F157" i="7"/>
  <c r="N143" i="4"/>
  <c r="F20" i="8"/>
  <c r="F64" i="8"/>
  <c r="D155" i="7"/>
  <c r="J140" i="3"/>
  <c r="K16" i="8" s="1"/>
  <c r="G16" i="8"/>
  <c r="J133" i="3"/>
  <c r="AD143" i="4"/>
  <c r="F80" i="8"/>
  <c r="F36" i="8"/>
  <c r="H155" i="7"/>
  <c r="L140" i="3"/>
  <c r="K18" i="8" s="1"/>
  <c r="G18" i="8"/>
  <c r="L133" i="3"/>
  <c r="T155" i="7"/>
  <c r="F143" i="4"/>
  <c r="F56" i="8"/>
  <c r="F12" i="8"/>
  <c r="D143" i="4"/>
  <c r="F54" i="8"/>
  <c r="F10" i="8"/>
  <c r="E148" i="3"/>
  <c r="E149" i="3" s="1"/>
  <c r="E173" i="7"/>
  <c r="AG148" i="4"/>
  <c r="AG143" i="4"/>
  <c r="F140" i="3"/>
  <c r="K12" i="8" s="1"/>
  <c r="F133" i="3"/>
  <c r="G12" i="8"/>
  <c r="J157" i="7"/>
  <c r="J164" i="7"/>
  <c r="K60" i="8" s="1"/>
  <c r="G60" i="8"/>
  <c r="AB140" i="3"/>
  <c r="K34" i="8" s="1"/>
  <c r="AB133" i="3"/>
  <c r="G34" i="8"/>
  <c r="H140" i="3"/>
  <c r="K14" i="8" s="1"/>
  <c r="G14" i="8"/>
  <c r="H133" i="3"/>
  <c r="AB155" i="7"/>
  <c r="AG152" i="7"/>
  <c r="H143" i="4"/>
  <c r="F14" i="8"/>
  <c r="F58" i="8"/>
  <c r="D90" i="8"/>
  <c r="AE14" i="7"/>
  <c r="AE17" i="7" s="1"/>
  <c r="AE19" i="7" s="1"/>
  <c r="AF20" i="7" s="1"/>
  <c r="AF155" i="7" s="1"/>
  <c r="AE14" i="3"/>
  <c r="AE15" i="3" s="1"/>
  <c r="AE17" i="3" s="1"/>
  <c r="AF18" i="3" s="1"/>
  <c r="AF131" i="3" s="1"/>
  <c r="AF139" i="4"/>
  <c r="AB143" i="4"/>
  <c r="F78" i="8"/>
  <c r="F34" i="8"/>
  <c r="R155" i="7"/>
  <c r="X140" i="3"/>
  <c r="K30" i="8" s="1"/>
  <c r="X133" i="3"/>
  <c r="G30" i="8"/>
  <c r="P140" i="3"/>
  <c r="K22" i="8" s="1"/>
  <c r="P133" i="3"/>
  <c r="G22" i="8"/>
  <c r="X143" i="4"/>
  <c r="F30" i="8"/>
  <c r="F74" i="8"/>
  <c r="V143" i="4"/>
  <c r="F72" i="8"/>
  <c r="F28" i="8"/>
  <c r="P143" i="4"/>
  <c r="F22" i="8"/>
  <c r="F66" i="8"/>
  <c r="N155" i="7"/>
  <c r="D84" i="8"/>
  <c r="E54" i="8"/>
  <c r="J143" i="4"/>
  <c r="F60" i="8"/>
  <c r="F16" i="8"/>
  <c r="U118" i="6"/>
  <c r="S123" i="6"/>
  <c r="L143" i="4"/>
  <c r="F62" i="8"/>
  <c r="F18" i="8"/>
  <c r="T143" i="4"/>
  <c r="F70" i="8"/>
  <c r="F26" i="8"/>
  <c r="F45" i="8"/>
  <c r="F46" i="8" s="1"/>
  <c r="F89" i="8"/>
  <c r="F90" i="8" s="1"/>
  <c r="AG146" i="4"/>
  <c r="AG147" i="4" s="1"/>
  <c r="F184" i="7"/>
  <c r="F187" i="7" s="1"/>
  <c r="AL143" i="4"/>
  <c r="F156" i="3"/>
  <c r="F157" i="3" s="1"/>
  <c r="D40" i="8"/>
  <c r="E10" i="8"/>
  <c r="Z140" i="3"/>
  <c r="K32" i="8" s="1"/>
  <c r="Z133" i="3"/>
  <c r="G32" i="8"/>
  <c r="V140" i="3"/>
  <c r="K28" i="8" s="1"/>
  <c r="G28" i="8"/>
  <c r="V133" i="3"/>
  <c r="P164" i="7"/>
  <c r="K66" i="8" s="1"/>
  <c r="G66" i="8"/>
  <c r="P157" i="7"/>
  <c r="R140" i="3"/>
  <c r="K24" i="8" s="1"/>
  <c r="R133" i="3"/>
  <c r="G24" i="8"/>
  <c r="G66" i="1"/>
  <c r="S44" i="2"/>
  <c r="G43" i="8" s="1"/>
  <c r="G87" i="8" s="1"/>
  <c r="I68" i="1"/>
  <c r="E113" i="1"/>
  <c r="I110" i="1"/>
  <c r="I111" i="1" s="1"/>
  <c r="K66" i="1"/>
  <c r="L164" i="7" l="1"/>
  <c r="K62" i="8" s="1"/>
  <c r="G62" i="8"/>
  <c r="G72" i="8"/>
  <c r="V164" i="7"/>
  <c r="K72" i="8" s="1"/>
  <c r="AD164" i="7"/>
  <c r="K80" i="8" s="1"/>
  <c r="X157" i="7"/>
  <c r="X164" i="7"/>
  <c r="K74" i="8" s="1"/>
  <c r="Z157" i="7"/>
  <c r="G76" i="8"/>
  <c r="AD157" i="7"/>
  <c r="AG18" i="3"/>
  <c r="J28" i="8"/>
  <c r="J72" i="8"/>
  <c r="AG20" i="7"/>
  <c r="H157" i="7"/>
  <c r="G58" i="8"/>
  <c r="H164" i="7"/>
  <c r="K58" i="8" s="1"/>
  <c r="J18" i="8"/>
  <c r="J62" i="8"/>
  <c r="G64" i="8"/>
  <c r="N157" i="7"/>
  <c r="N164" i="7"/>
  <c r="K64" i="8" s="1"/>
  <c r="R164" i="7"/>
  <c r="K68" i="8" s="1"/>
  <c r="R157" i="7"/>
  <c r="G68" i="8"/>
  <c r="U123" i="6"/>
  <c r="U125" i="6" s="1"/>
  <c r="E175" i="7"/>
  <c r="J74" i="8"/>
  <c r="J30" i="8"/>
  <c r="J84" i="8"/>
  <c r="J40" i="8"/>
  <c r="D140" i="3"/>
  <c r="K10" i="8" s="1"/>
  <c r="D133" i="3"/>
  <c r="G10" i="8"/>
  <c r="AG131" i="3"/>
  <c r="AG140" i="3" s="1"/>
  <c r="K40" i="8" s="1"/>
  <c r="AF157" i="7"/>
  <c r="AF164" i="7"/>
  <c r="K82" i="8" s="1"/>
  <c r="G82" i="8"/>
  <c r="D157" i="7"/>
  <c r="D164" i="7"/>
  <c r="K54" i="8" s="1"/>
  <c r="G54" i="8"/>
  <c r="AG155" i="7"/>
  <c r="AG164" i="7" s="1"/>
  <c r="K84" i="8" s="1"/>
  <c r="J58" i="8"/>
  <c r="J14" i="8"/>
  <c r="J12" i="8"/>
  <c r="J56" i="8"/>
  <c r="J80" i="8"/>
  <c r="J36" i="8"/>
  <c r="J66" i="8"/>
  <c r="J22" i="8"/>
  <c r="J34" i="8"/>
  <c r="J78" i="8"/>
  <c r="T164" i="7"/>
  <c r="K70" i="8" s="1"/>
  <c r="T157" i="7"/>
  <c r="G70" i="8"/>
  <c r="J32" i="8"/>
  <c r="J76" i="8"/>
  <c r="AF143" i="4"/>
  <c r="F38" i="8"/>
  <c r="F82" i="8"/>
  <c r="F84" i="8" s="1"/>
  <c r="AB164" i="7"/>
  <c r="K78" i="8" s="1"/>
  <c r="AB157" i="7"/>
  <c r="G78" i="8"/>
  <c r="I54" i="8"/>
  <c r="E84" i="8"/>
  <c r="I84" i="8" s="1"/>
  <c r="J10" i="8"/>
  <c r="J54" i="8"/>
  <c r="E114" i="1"/>
  <c r="E170" i="7"/>
  <c r="F172" i="7" s="1"/>
  <c r="E145" i="3"/>
  <c r="F147" i="3" s="1"/>
  <c r="F150" i="3" s="1"/>
  <c r="F152" i="3" s="1"/>
  <c r="F154" i="3" s="1"/>
  <c r="F158" i="3" s="1"/>
  <c r="J64" i="8"/>
  <c r="J20" i="8"/>
  <c r="I10" i="8"/>
  <c r="E40" i="8"/>
  <c r="I40" i="8" s="1"/>
  <c r="E176" i="7"/>
  <c r="E177" i="7" s="1"/>
  <c r="J26" i="8"/>
  <c r="J70" i="8"/>
  <c r="J16" i="8"/>
  <c r="J60" i="8"/>
  <c r="AF140" i="3"/>
  <c r="K38" i="8" s="1"/>
  <c r="G38" i="8"/>
  <c r="AF133" i="3"/>
  <c r="F40" i="8"/>
  <c r="J68" i="8"/>
  <c r="J24" i="8"/>
  <c r="K110" i="1"/>
  <c r="K111" i="1" s="1"/>
  <c r="I113" i="1"/>
  <c r="I114" i="1" s="1"/>
  <c r="K68" i="1"/>
  <c r="G110" i="1"/>
  <c r="AH152" i="7" s="1"/>
  <c r="AH155" i="7" s="1"/>
  <c r="L66" i="1"/>
  <c r="L110" i="1" s="1"/>
  <c r="L111" i="1" s="1"/>
  <c r="G68" i="1"/>
  <c r="H66" i="1"/>
  <c r="F178" i="7" l="1"/>
  <c r="F180" i="7" s="1"/>
  <c r="F182" i="7" s="1"/>
  <c r="F188" i="7" s="1"/>
  <c r="AH156" i="7" s="1"/>
  <c r="AH132" i="3"/>
  <c r="G45" i="8" s="1"/>
  <c r="G46" i="8" s="1"/>
  <c r="G40" i="8"/>
  <c r="G84" i="8"/>
  <c r="J82" i="8"/>
  <c r="J38" i="8"/>
  <c r="M66" i="1"/>
  <c r="M110" i="1" s="1"/>
  <c r="M111" i="1" s="1"/>
  <c r="H110" i="1"/>
  <c r="H111" i="1" s="1"/>
  <c r="H68" i="1"/>
  <c r="H113" i="1" s="1"/>
  <c r="H114" i="1" s="1"/>
  <c r="G113" i="1"/>
  <c r="L68" i="1"/>
  <c r="L113" i="1" s="1"/>
  <c r="L114" i="1" s="1"/>
  <c r="G111" i="1"/>
  <c r="AH128" i="3"/>
  <c r="AH131" i="3" s="1"/>
  <c r="M68" i="1"/>
  <c r="M113" i="1" s="1"/>
  <c r="M114" i="1" s="1"/>
  <c r="K113" i="1"/>
  <c r="K114" i="1" s="1"/>
  <c r="AH133" i="3" l="1"/>
  <c r="G114" i="1"/>
  <c r="F189" i="7"/>
  <c r="F190" i="7" s="1"/>
  <c r="F159" i="3"/>
  <c r="F160" i="3" s="1"/>
  <c r="AH157" i="7"/>
  <c r="G89" i="8"/>
  <c r="G90" i="8" s="1"/>
</calcChain>
</file>

<file path=xl/sharedStrings.xml><?xml version="1.0" encoding="utf-8"?>
<sst xmlns="http://schemas.openxmlformats.org/spreadsheetml/2006/main" count="1244" uniqueCount="208">
  <si>
    <t>Estimated Effect of Amendment 3 Election using 2017 Actual Billings</t>
  </si>
  <si>
    <t>Month</t>
  </si>
  <si>
    <t>Total kW</t>
  </si>
  <si>
    <t>Total kWh</t>
  </si>
  <si>
    <t>Billed Revenues from</t>
  </si>
  <si>
    <t>Base Rates</t>
  </si>
  <si>
    <t>FAC</t>
  </si>
  <si>
    <t>Surcharge</t>
  </si>
  <si>
    <t>Total Billing</t>
  </si>
  <si>
    <t>Days in</t>
  </si>
  <si>
    <t>Calculated Over-</t>
  </si>
  <si>
    <t>all Load Factor</t>
  </si>
  <si>
    <t>January</t>
  </si>
  <si>
    <t>February</t>
  </si>
  <si>
    <t>March</t>
  </si>
  <si>
    <t>April</t>
  </si>
  <si>
    <t>May</t>
  </si>
  <si>
    <t>June</t>
  </si>
  <si>
    <t>July</t>
  </si>
  <si>
    <t>August</t>
  </si>
  <si>
    <t>September</t>
  </si>
  <si>
    <t>October</t>
  </si>
  <si>
    <t>November</t>
  </si>
  <si>
    <t>Totals to Date</t>
  </si>
  <si>
    <t>Mills per kWh</t>
  </si>
  <si>
    <t>Base Rate &amp; FAC</t>
  </si>
  <si>
    <t>Assumptions:</t>
  </si>
  <si>
    <t>100% load factor for purchase</t>
  </si>
  <si>
    <t>Amendment 3 purchase offsets Rate E load only</t>
  </si>
  <si>
    <t>On-Peak/Off-Peak Mix:</t>
  </si>
  <si>
    <t>Oct - Apr</t>
  </si>
  <si>
    <t xml:space="preserve">    On-Peak</t>
  </si>
  <si>
    <t xml:space="preserve">    Off-Peak</t>
  </si>
  <si>
    <t>May - Sep</t>
  </si>
  <si>
    <t>Demand (kW)</t>
  </si>
  <si>
    <t>Total (kWh)</t>
  </si>
  <si>
    <t>On-Peak (kWh)</t>
  </si>
  <si>
    <t>Off-Peak (kWh)</t>
  </si>
  <si>
    <t>Energy</t>
  </si>
  <si>
    <t>Rates and Factors</t>
  </si>
  <si>
    <t>Demand</t>
  </si>
  <si>
    <t>On-Peak Energy</t>
  </si>
  <si>
    <t>Off-Peak Energy</t>
  </si>
  <si>
    <t>Total Base Rate</t>
  </si>
  <si>
    <t>Subtotal</t>
  </si>
  <si>
    <t>Pricing of Billing Components</t>
  </si>
  <si>
    <t>Units/Dollar and Percentage Change - Recalculated versus Actual</t>
  </si>
  <si>
    <t>^^^Rounding^^^</t>
  </si>
  <si>
    <t>Actual Billing Information - December 2016 to November 2017</t>
  </si>
  <si>
    <t>December 2016</t>
  </si>
  <si>
    <t>Recalculated 2016-2017 Billling - Excluding 58 MW from Amendment 3</t>
  </si>
  <si>
    <t>Estimated Shift in Surcharge to Other Members</t>
  </si>
  <si>
    <t>Big Sandy</t>
  </si>
  <si>
    <t>Blue Grass</t>
  </si>
  <si>
    <t>Clark</t>
  </si>
  <si>
    <t>Cumberland Valley</t>
  </si>
  <si>
    <t>Farmers</t>
  </si>
  <si>
    <t>Fleming-Mason (includes Steam)</t>
  </si>
  <si>
    <t>Grayson</t>
  </si>
  <si>
    <t>Inter-County</t>
  </si>
  <si>
    <t>Jackson</t>
  </si>
  <si>
    <t>Licking Valley</t>
  </si>
  <si>
    <t>Nolin</t>
  </si>
  <si>
    <t>Owen</t>
  </si>
  <si>
    <t>Salt River</t>
  </si>
  <si>
    <t>Shelby</t>
  </si>
  <si>
    <t>Taylor County</t>
  </si>
  <si>
    <t>Revenues</t>
  </si>
  <si>
    <t>Impact</t>
  </si>
  <si>
    <t xml:space="preserve">  Total Revenues</t>
  </si>
  <si>
    <t xml:space="preserve">  Actual Surcharge Revenues</t>
  </si>
  <si>
    <t>Surcharge Factor Adjustment:</t>
  </si>
  <si>
    <t xml:space="preserve">  Adjusted Surcharge Factor</t>
  </si>
  <si>
    <t xml:space="preserve">  Adj. Surcharge Revenues</t>
  </si>
  <si>
    <t xml:space="preserve">  Increase for Month</t>
  </si>
  <si>
    <t>November 2017</t>
  </si>
  <si>
    <t>Total</t>
  </si>
  <si>
    <t>Check</t>
  </si>
  <si>
    <t>South Kentucky</t>
  </si>
  <si>
    <t>Reduction</t>
  </si>
  <si>
    <t>Total Impact to Member</t>
  </si>
  <si>
    <t>Average Monthly Impact</t>
  </si>
  <si>
    <t>Recalculation of FAC Factor to Reflect Exclusion of South Kentucky Purchase</t>
  </si>
  <si>
    <t xml:space="preserve">Note:  This calculation shows the value of the load reduction based on rates actually charged to South Kentucky during the analysis period.  </t>
  </si>
  <si>
    <t>Note:  This calculation reflects the "shift" in the FAC Factors resulting from the South Kentucky purchase.  Recalculated FAC Factors will be applied to all Members, as the FAC Factor is not fixed like base rates.</t>
  </si>
  <si>
    <t>Recalculated FAC Factors</t>
  </si>
  <si>
    <t>Expense</t>
  </si>
  <si>
    <t>Original</t>
  </si>
  <si>
    <t>FAC Factor</t>
  </si>
  <si>
    <t>Fuel Fm Cost</t>
  </si>
  <si>
    <t>Sales Sm kWh</t>
  </si>
  <si>
    <t>Reduction kWh</t>
  </si>
  <si>
    <t>Billed Month</t>
  </si>
  <si>
    <t>Recalculated FAC Factor</t>
  </si>
  <si>
    <t>Current FAC</t>
  </si>
  <si>
    <t>Base FAC</t>
  </si>
  <si>
    <t>Billed FAC</t>
  </si>
  <si>
    <t>November 2016</t>
  </si>
  <si>
    <t>December</t>
  </si>
  <si>
    <t xml:space="preserve">January </t>
  </si>
  <si>
    <t>Components</t>
  </si>
  <si>
    <t xml:space="preserve">  Billed FAC</t>
  </si>
  <si>
    <t xml:space="preserve">  Billed kWh Sales</t>
  </si>
  <si>
    <t xml:space="preserve">  Recalculated FAC Factor</t>
  </si>
  <si>
    <t xml:space="preserve">  Recalculated FAC Amount</t>
  </si>
  <si>
    <t xml:space="preserve">  Change in FAC</t>
  </si>
  <si>
    <t>Actual - Check</t>
  </si>
  <si>
    <t>Figure</t>
  </si>
  <si>
    <t>Adjusted kWh Sales</t>
  </si>
  <si>
    <t>FAC at Actual Billing Rate</t>
  </si>
  <si>
    <t>FAC at Recalculated Rate</t>
  </si>
  <si>
    <t>Change due to Recalculation</t>
  </si>
  <si>
    <t>South Kentucky - Impacts from FAC</t>
  </si>
  <si>
    <t>Total Change in FAC</t>
  </si>
  <si>
    <t>Totals</t>
  </si>
  <si>
    <t>Cost Reduction</t>
  </si>
  <si>
    <t>Total Change due to Recalculation</t>
  </si>
  <si>
    <t>Total Billed FAC</t>
  </si>
  <si>
    <t>Total Recalculated FAC</t>
  </si>
  <si>
    <t>Percentage Change</t>
  </si>
  <si>
    <t>Total FAC at Actual Billing Rate</t>
  </si>
  <si>
    <t>Total FAC at Recalculated Rate</t>
  </si>
  <si>
    <t>Allocation of Demand and Energy Revenues from South Kentucky Purchase</t>
  </si>
  <si>
    <t>Allocation will be based on Rate E Demand (in kW) and Energy (in kWh); Salt River totals adjusted for generator credit.</t>
  </si>
  <si>
    <t>"Before Rate Case" Scenario</t>
  </si>
  <si>
    <t xml:space="preserve">  Demand kW</t>
  </si>
  <si>
    <t xml:space="preserve">    Demand Percentage</t>
  </si>
  <si>
    <t xml:space="preserve">  Energy kWh</t>
  </si>
  <si>
    <t xml:space="preserve">    Energy Percentage</t>
  </si>
  <si>
    <t>Allocated Demand $</t>
  </si>
  <si>
    <t>Allocated Energy $</t>
  </si>
  <si>
    <t>Allocation</t>
  </si>
  <si>
    <t>Cumberland</t>
  </si>
  <si>
    <t>Valley</t>
  </si>
  <si>
    <t>Fleming-Mason</t>
  </si>
  <si>
    <t>Totals:</t>
  </si>
  <si>
    <t xml:space="preserve">  Allocated Demand $</t>
  </si>
  <si>
    <t xml:space="preserve">  Allocated Energy $</t>
  </si>
  <si>
    <t>"After Rate Case" Scenario</t>
  </si>
  <si>
    <t>Subtotals</t>
  </si>
  <si>
    <t xml:space="preserve">  Revenues subject to Surcharge</t>
  </si>
  <si>
    <t>Calculation of Surcharge Effect:</t>
  </si>
  <si>
    <t>(Based on Surcharge factor applied to November 2017 bills)</t>
  </si>
  <si>
    <t xml:space="preserve">  12 Month total reduction in Base Rates and FAC for South Kentucky</t>
  </si>
  <si>
    <t xml:space="preserve">  Divide by 12 - impact to average Member revenues</t>
  </si>
  <si>
    <t xml:space="preserve">  Line 15 from October Surcharge filing</t>
  </si>
  <si>
    <t xml:space="preserve">  Adjusted average Member revenues</t>
  </si>
  <si>
    <t xml:space="preserve">  Line 14 from October Surcharge filing</t>
  </si>
  <si>
    <t xml:space="preserve">  Originally billed Surcharge Factor</t>
  </si>
  <si>
    <t xml:space="preserve">  Incremental Change in Surcharge Factor</t>
  </si>
  <si>
    <t xml:space="preserve">  South Kentucky revised Base Rates and FAC revenues - 12 month</t>
  </si>
  <si>
    <t xml:space="preserve">  Additional South Kentucky Surcharge based on incremental</t>
  </si>
  <si>
    <t xml:space="preserve">  Initial South Kentucky Surcharge savings</t>
  </si>
  <si>
    <t xml:space="preserve">  Net Savings to be spread to other Members</t>
  </si>
  <si>
    <t xml:space="preserve">  Reduction in FAC Revenues</t>
  </si>
  <si>
    <t xml:space="preserve">  Adjusted Revenues </t>
  </si>
  <si>
    <t xml:space="preserve">  Adjusted Revenues subject to Surcharge - 12 month</t>
  </si>
  <si>
    <t xml:space="preserve">  Add South Kentucky Reduction in FAC revenues - 12 month</t>
  </si>
  <si>
    <t xml:space="preserve">  Add South Kentucky Base Rate increase - Demand</t>
  </si>
  <si>
    <t xml:space="preserve">  Add South Kentucky Base Rate increase - Energy</t>
  </si>
  <si>
    <t xml:space="preserve">  Reduction in FAC revenues</t>
  </si>
  <si>
    <t xml:space="preserve">  Base Rate increase - Demand</t>
  </si>
  <si>
    <t xml:space="preserve">  Base Rate increase - Energy</t>
  </si>
  <si>
    <t xml:space="preserve">  Adjusted Revenues  </t>
  </si>
  <si>
    <t>Total FAC avoided by South Kentucky (sign change to reflect reduction)</t>
  </si>
  <si>
    <t>Total FAC "shifted" to other Members</t>
  </si>
  <si>
    <t>Change in South Kentucky FAC due to recalculation</t>
  </si>
  <si>
    <t>Net effect to South Kentucky FAC</t>
  </si>
  <si>
    <t>Change in South Kentucky billing</t>
  </si>
  <si>
    <t xml:space="preserve">  Total FAC revenue reduction to Members - 12 month</t>
  </si>
  <si>
    <t xml:space="preserve">  Final Adjusted average Member revenues</t>
  </si>
  <si>
    <t xml:space="preserve">  Total increase in Demand revenues to Members - 12 month</t>
  </si>
  <si>
    <t xml:space="preserve">  Total increase in Energy revenues to Members - 12 month</t>
  </si>
  <si>
    <t xml:space="preserve">  Total revenue increases</t>
  </si>
  <si>
    <t>Summary of Detailed Calculations</t>
  </si>
  <si>
    <t>Potential Pressure on Margins</t>
  </si>
  <si>
    <t>Change in</t>
  </si>
  <si>
    <t>Environ. Surch.</t>
  </si>
  <si>
    <t>Member</t>
  </si>
  <si>
    <t>South Kentucky:</t>
  </si>
  <si>
    <t xml:space="preserve">  Initial Bill Reduction</t>
  </si>
  <si>
    <t xml:space="preserve">  Share of FAC and</t>
  </si>
  <si>
    <t xml:space="preserve">    Surcharge</t>
  </si>
  <si>
    <t xml:space="preserve">  Net Effect</t>
  </si>
  <si>
    <t>"Before Rate Case" Scenario - Annual Impacts</t>
  </si>
  <si>
    <t>Percentage Change from Actual</t>
  </si>
  <si>
    <t>Base Revenues</t>
  </si>
  <si>
    <t>Actual Revenues</t>
  </si>
  <si>
    <t>Base &amp; FAC</t>
  </si>
  <si>
    <t>Base Only</t>
  </si>
  <si>
    <t xml:space="preserve">Before Adjustment - </t>
  </si>
  <si>
    <t>Change in Surcharge -</t>
  </si>
  <si>
    <t xml:space="preserve">  Percentage Increase</t>
  </si>
  <si>
    <t>"After Rate Case" Scenario - Annual Impacts</t>
  </si>
  <si>
    <t xml:space="preserve">  Share of Base Rates,</t>
  </si>
  <si>
    <t xml:space="preserve">    FAC, and Surcharge</t>
  </si>
  <si>
    <t>Increase in Base Rates to Members</t>
  </si>
  <si>
    <t>Calculation of Bill Impact of 38.6 MW under Amendment 3</t>
  </si>
  <si>
    <t>Cost Reduction Percentage:</t>
  </si>
  <si>
    <t>Note:  South Kentucky Cost Reduction is estimated at 3.38%.  It follows that costs would be lower if the energy to provide were also lower.  This reduction results in a "shift" of the FAC that nearly matches the net change to South Kentucky.</t>
  </si>
  <si>
    <t>Percentage Adjustment to Energy</t>
  </si>
  <si>
    <t>Monthly Fuel Expense</t>
  </si>
  <si>
    <t>Monthly O&amp;M Expenses</t>
  </si>
  <si>
    <t xml:space="preserve">  Total</t>
  </si>
  <si>
    <t>Cost of Electric Service</t>
  </si>
  <si>
    <t>Percentage Adjustment</t>
  </si>
  <si>
    <t>SoKentuckyAmend3-2017 58MW Var Adj.xlsx</t>
  </si>
  <si>
    <t>Differences (After - Before)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</si>
</sst>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164" formatCode="&quot;$&quot;#,##0.000000_);[Red]\(&quot;$&quot;#,##0.000000\)"/>
    <numFmt numFmtId="165" formatCode="0.0000%"/>
    <numFmt numFmtId="166" formatCode="&quot;$&quot;#,##0.00000_);[Red]\(&quot;$&quot;#,##0.00000\)"/>
    <numFmt numFmtId="167" formatCode="0.000%"/>
  </numFmts>
  <fonts count="4" x14ac:knownFonts="1">
    <font>
      <sz val="11"/>
      <color theme="1"/>
      <name val="Arial"/>
      <family val="2"/>
    </font>
    <font>
      <b/>
      <sz val="11"/>
      <color theme="1"/>
      <name val="Arial"/>
      <family val="2"/>
    </font>
    <font>
      <b/>
      <i/>
      <sz val="11"/>
      <color theme="1"/>
      <name val="Arial"/>
      <family val="2"/>
    </font>
    <font>
      <sz val="11"/>
      <color theme="1"/>
      <name val="Arial"/>
      <family val="2"/>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9" fontId="3" fillId="0" borderId="0" applyFont="0" applyFill="0" applyBorder="0" applyAlignment="0" applyProtection="0"/>
  </cellStyleXfs>
  <cellXfs count="37">
    <xf numFmtId="0" fontId="0" fillId="0" borderId="0" xfId="0"/>
    <xf numFmtId="38" fontId="0" fillId="0" borderId="0" xfId="0" applyNumberFormat="1"/>
    <xf numFmtId="0" fontId="1" fillId="0" borderId="0" xfId="0" applyFont="1"/>
    <xf numFmtId="0" fontId="0" fillId="0" borderId="0" xfId="0" applyAlignment="1">
      <alignment horizontal="center"/>
    </xf>
    <xf numFmtId="0" fontId="0" fillId="0" borderId="4" xfId="0" applyBorder="1" applyAlignment="1">
      <alignment horizontal="center"/>
    </xf>
    <xf numFmtId="6" fontId="0" fillId="0" borderId="0" xfId="0" applyNumberFormat="1"/>
    <xf numFmtId="10" fontId="0" fillId="0" borderId="0" xfId="0" applyNumberFormat="1"/>
    <xf numFmtId="8" fontId="0" fillId="0" borderId="0" xfId="0" applyNumberFormat="1"/>
    <xf numFmtId="40" fontId="0" fillId="0" borderId="0" xfId="0" applyNumberFormat="1"/>
    <xf numFmtId="164" fontId="0" fillId="0" borderId="0" xfId="0" applyNumberFormat="1"/>
    <xf numFmtId="165" fontId="0" fillId="0" borderId="0" xfId="0" applyNumberFormat="1"/>
    <xf numFmtId="8" fontId="0" fillId="2" borderId="0" xfId="0" applyNumberFormat="1" applyFill="1"/>
    <xf numFmtId="165" fontId="0" fillId="2" borderId="0" xfId="0" applyNumberFormat="1" applyFill="1"/>
    <xf numFmtId="0" fontId="0" fillId="2" borderId="0" xfId="0" applyFill="1"/>
    <xf numFmtId="0" fontId="0" fillId="2" borderId="0" xfId="0" applyFill="1" applyAlignment="1">
      <alignment horizontal="center"/>
    </xf>
    <xf numFmtId="17" fontId="0" fillId="0" borderId="0" xfId="0" quotePrefix="1" applyNumberFormat="1"/>
    <xf numFmtId="0" fontId="0" fillId="0" borderId="0" xfId="0" quotePrefix="1"/>
    <xf numFmtId="0" fontId="0" fillId="0" borderId="4" xfId="0" applyFill="1" applyBorder="1" applyAlignment="1">
      <alignment horizontal="center"/>
    </xf>
    <xf numFmtId="0" fontId="2" fillId="0" borderId="0" xfId="0" applyFont="1"/>
    <xf numFmtId="0" fontId="0" fillId="0" borderId="0" xfId="0" applyBorder="1" applyAlignment="1">
      <alignment horizontal="center"/>
    </xf>
    <xf numFmtId="166" fontId="0" fillId="0" borderId="0" xfId="0" applyNumberFormat="1"/>
    <xf numFmtId="0" fontId="0" fillId="0" borderId="6" xfId="0" applyBorder="1"/>
    <xf numFmtId="0" fontId="0" fillId="0" borderId="5" xfId="0" applyBorder="1"/>
    <xf numFmtId="6" fontId="0" fillId="0" borderId="5" xfId="0" applyNumberFormat="1" applyBorder="1"/>
    <xf numFmtId="38" fontId="0" fillId="0" borderId="5" xfId="0" applyNumberFormat="1" applyBorder="1"/>
    <xf numFmtId="166" fontId="0" fillId="0" borderId="5" xfId="0" applyNumberFormat="1" applyBorder="1"/>
    <xf numFmtId="0" fontId="0" fillId="0" borderId="0" xfId="0" applyAlignment="1">
      <alignment horizontal="right"/>
    </xf>
    <xf numFmtId="0" fontId="0" fillId="0" borderId="7" xfId="0" applyFill="1" applyBorder="1" applyAlignment="1">
      <alignment horizontal="center"/>
    </xf>
    <xf numFmtId="167" fontId="0" fillId="0" borderId="0" xfId="0" applyNumberFormat="1"/>
    <xf numFmtId="6" fontId="0" fillId="0" borderId="8" xfId="0" applyNumberFormat="1" applyBorder="1"/>
    <xf numFmtId="6" fontId="0" fillId="0" borderId="9" xfId="0" applyNumberFormat="1" applyBorder="1"/>
    <xf numFmtId="6" fontId="0" fillId="0" borderId="0" xfId="0" applyNumberFormat="1" applyBorder="1"/>
    <xf numFmtId="0" fontId="0" fillId="0" borderId="0" xfId="0" applyBorder="1"/>
    <xf numFmtId="167" fontId="0" fillId="0" borderId="0" xfId="1" applyNumberFormat="1" applyFont="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80" zoomScaleNormal="80" workbookViewId="0">
      <selection activeCell="B2" sqref="B2"/>
    </sheetView>
  </sheetViews>
  <sheetFormatPr defaultColWidth="15.625" defaultRowHeight="14.25" x14ac:dyDescent="0.2"/>
  <cols>
    <col min="1" max="1" width="4.625" customWidth="1"/>
  </cols>
  <sheetData>
    <row r="1" spans="1:15" x14ac:dyDescent="0.2">
      <c r="A1" s="1">
        <v>1</v>
      </c>
      <c r="B1" t="s">
        <v>206</v>
      </c>
    </row>
    <row r="2" spans="1:15" x14ac:dyDescent="0.2">
      <c r="A2" s="1">
        <f>A1+1</f>
        <v>2</v>
      </c>
      <c r="B2" t="s">
        <v>0</v>
      </c>
    </row>
    <row r="3" spans="1:15" x14ac:dyDescent="0.2">
      <c r="A3" s="1">
        <f t="shared" ref="A3:A71" si="0">A2+1</f>
        <v>3</v>
      </c>
    </row>
    <row r="4" spans="1:15" x14ac:dyDescent="0.2">
      <c r="A4" s="1">
        <f t="shared" si="0"/>
        <v>4</v>
      </c>
      <c r="B4" s="18" t="s">
        <v>83</v>
      </c>
    </row>
    <row r="5" spans="1:15" x14ac:dyDescent="0.2">
      <c r="A5" s="1">
        <f t="shared" si="0"/>
        <v>5</v>
      </c>
    </row>
    <row r="6" spans="1:15" ht="15" x14ac:dyDescent="0.25">
      <c r="A6" s="1">
        <f t="shared" si="0"/>
        <v>6</v>
      </c>
      <c r="B6" s="2" t="s">
        <v>48</v>
      </c>
    </row>
    <row r="7" spans="1:15" x14ac:dyDescent="0.2">
      <c r="A7" s="1">
        <f t="shared" si="0"/>
        <v>7</v>
      </c>
    </row>
    <row r="8" spans="1:15" x14ac:dyDescent="0.2">
      <c r="A8" s="1">
        <f t="shared" si="0"/>
        <v>8</v>
      </c>
      <c r="E8" s="34" t="s">
        <v>4</v>
      </c>
      <c r="F8" s="35"/>
      <c r="G8" s="35"/>
      <c r="H8" s="36"/>
      <c r="I8" s="34" t="s">
        <v>24</v>
      </c>
      <c r="J8" s="35"/>
      <c r="K8" s="35"/>
      <c r="L8" s="35"/>
      <c r="M8" s="36"/>
      <c r="N8" s="3" t="s">
        <v>9</v>
      </c>
      <c r="O8" s="3" t="s">
        <v>10</v>
      </c>
    </row>
    <row r="9" spans="1:15" ht="15" thickBot="1" x14ac:dyDescent="0.25">
      <c r="A9" s="1">
        <f t="shared" si="0"/>
        <v>9</v>
      </c>
      <c r="B9" s="4" t="s">
        <v>1</v>
      </c>
      <c r="C9" s="4" t="s">
        <v>2</v>
      </c>
      <c r="D9" s="4" t="s">
        <v>3</v>
      </c>
      <c r="E9" s="4" t="s">
        <v>5</v>
      </c>
      <c r="F9" s="4" t="s">
        <v>6</v>
      </c>
      <c r="G9" s="4" t="s">
        <v>7</v>
      </c>
      <c r="H9" s="4" t="s">
        <v>8</v>
      </c>
      <c r="I9" s="4" t="s">
        <v>5</v>
      </c>
      <c r="J9" s="4" t="s">
        <v>6</v>
      </c>
      <c r="K9" s="4" t="s">
        <v>25</v>
      </c>
      <c r="L9" s="4" t="s">
        <v>7</v>
      </c>
      <c r="M9" s="4" t="s">
        <v>8</v>
      </c>
      <c r="N9" s="4" t="s">
        <v>1</v>
      </c>
      <c r="O9" s="4" t="s">
        <v>11</v>
      </c>
    </row>
    <row r="10" spans="1:15" x14ac:dyDescent="0.2">
      <c r="A10" s="1">
        <f t="shared" si="0"/>
        <v>10</v>
      </c>
    </row>
    <row r="11" spans="1:15" x14ac:dyDescent="0.2">
      <c r="A11" s="1">
        <f t="shared" si="0"/>
        <v>11</v>
      </c>
      <c r="B11" s="15" t="s">
        <v>49</v>
      </c>
      <c r="C11" s="1">
        <v>318654</v>
      </c>
      <c r="D11" s="1">
        <v>136642060</v>
      </c>
      <c r="E11" s="5">
        <f>H11-G11-F11</f>
        <v>8625709</v>
      </c>
      <c r="F11" s="5">
        <v>-534275</v>
      </c>
      <c r="G11" s="5">
        <v>1614239</v>
      </c>
      <c r="H11" s="5">
        <v>9705673</v>
      </c>
      <c r="I11" s="7">
        <f>ROUND((E11/D11)*1000,2)</f>
        <v>63.13</v>
      </c>
      <c r="J11" s="7">
        <f>ROUND((F11/D11)*1000,2)</f>
        <v>-3.91</v>
      </c>
      <c r="K11" s="7">
        <f>I11+J11</f>
        <v>59.22</v>
      </c>
      <c r="L11" s="7">
        <f>ROUND((G11/D11)*1000,2)</f>
        <v>11.81</v>
      </c>
      <c r="M11" s="7">
        <f>K11+L11</f>
        <v>71.03</v>
      </c>
      <c r="N11" s="1">
        <v>31</v>
      </c>
      <c r="O11" s="6">
        <f>ROUND(D11/(C11*24*N11),4)</f>
        <v>0.57640000000000002</v>
      </c>
    </row>
    <row r="12" spans="1:15" x14ac:dyDescent="0.2">
      <c r="A12" s="1">
        <f t="shared" si="0"/>
        <v>12</v>
      </c>
    </row>
    <row r="13" spans="1:15" x14ac:dyDescent="0.2">
      <c r="A13" s="1">
        <f t="shared" si="0"/>
        <v>13</v>
      </c>
      <c r="B13" t="s">
        <v>12</v>
      </c>
      <c r="C13" s="1">
        <v>369429</v>
      </c>
      <c r="D13" s="1">
        <v>128653435</v>
      </c>
      <c r="E13" s="5">
        <f>H13-G13-F13</f>
        <v>8543212</v>
      </c>
      <c r="F13" s="5">
        <v>-414935</v>
      </c>
      <c r="G13" s="5">
        <v>1375301</v>
      </c>
      <c r="H13" s="5">
        <v>9503578</v>
      </c>
      <c r="I13" s="7">
        <f>ROUND((E13/D13)*1000,2)</f>
        <v>66.400000000000006</v>
      </c>
      <c r="J13" s="7">
        <f>ROUND((F13/D13)*1000,2)</f>
        <v>-3.23</v>
      </c>
      <c r="K13" s="7">
        <f>I13+J13</f>
        <v>63.170000000000009</v>
      </c>
      <c r="L13" s="7">
        <f>ROUND((G13/D13)*1000,2)</f>
        <v>10.69</v>
      </c>
      <c r="M13" s="7">
        <f>K13+L13</f>
        <v>73.860000000000014</v>
      </c>
      <c r="N13" s="1">
        <v>31</v>
      </c>
      <c r="O13" s="6">
        <f>ROUND(D13/(C13*24*N13),4)</f>
        <v>0.46810000000000002</v>
      </c>
    </row>
    <row r="14" spans="1:15" x14ac:dyDescent="0.2">
      <c r="A14" s="1">
        <f t="shared" si="0"/>
        <v>14</v>
      </c>
      <c r="C14" s="1"/>
      <c r="D14" s="1"/>
      <c r="E14" s="5"/>
      <c r="F14" s="5"/>
      <c r="G14" s="5"/>
      <c r="H14" s="5"/>
      <c r="I14" s="7"/>
      <c r="J14" s="7"/>
      <c r="K14" s="7"/>
      <c r="L14" s="7"/>
      <c r="M14" s="7"/>
      <c r="N14" s="1"/>
      <c r="O14" s="6"/>
    </row>
    <row r="15" spans="1:15" x14ac:dyDescent="0.2">
      <c r="A15" s="1">
        <f t="shared" si="0"/>
        <v>15</v>
      </c>
      <c r="B15" t="s">
        <v>13</v>
      </c>
      <c r="C15" s="1">
        <v>299188</v>
      </c>
      <c r="D15" s="1">
        <v>102221559</v>
      </c>
      <c r="E15" s="5">
        <f>H15-G15-F15</f>
        <v>6839011</v>
      </c>
      <c r="F15" s="5">
        <v>-405227</v>
      </c>
      <c r="G15" s="5">
        <v>721225</v>
      </c>
      <c r="H15" s="5">
        <v>7155009</v>
      </c>
      <c r="I15" s="7">
        <f>ROUND((E15/D15)*1000,2)</f>
        <v>66.900000000000006</v>
      </c>
      <c r="J15" s="7">
        <f>ROUND((F15/D15)*1000,2)</f>
        <v>-3.96</v>
      </c>
      <c r="K15" s="7">
        <f>I15+J15</f>
        <v>62.940000000000005</v>
      </c>
      <c r="L15" s="7">
        <f>ROUND((G15/D15)*1000,2)</f>
        <v>7.06</v>
      </c>
      <c r="M15" s="7">
        <f>K15+L15</f>
        <v>70</v>
      </c>
      <c r="N15" s="1">
        <v>28</v>
      </c>
      <c r="O15" s="6">
        <f>ROUND(D15/(C15*24*N15),4)</f>
        <v>0.50839999999999996</v>
      </c>
    </row>
    <row r="16" spans="1:15" x14ac:dyDescent="0.2">
      <c r="A16" s="1">
        <f t="shared" si="0"/>
        <v>16</v>
      </c>
      <c r="C16" s="1"/>
      <c r="D16" s="1"/>
      <c r="E16" s="5"/>
      <c r="F16" s="5"/>
      <c r="G16" s="5"/>
      <c r="H16" s="5"/>
      <c r="I16" s="7"/>
      <c r="J16" s="7"/>
      <c r="K16" s="7"/>
      <c r="L16" s="7"/>
      <c r="M16" s="7"/>
      <c r="N16" s="1"/>
      <c r="O16" s="6"/>
    </row>
    <row r="17" spans="1:15" x14ac:dyDescent="0.2">
      <c r="A17" s="1">
        <f t="shared" si="0"/>
        <v>17</v>
      </c>
      <c r="B17" t="s">
        <v>14</v>
      </c>
      <c r="C17" s="1">
        <v>307956</v>
      </c>
      <c r="D17" s="1">
        <v>108841661</v>
      </c>
      <c r="E17" s="5">
        <f>H17-G17-F17</f>
        <v>7214288</v>
      </c>
      <c r="F17" s="5">
        <v>-802352</v>
      </c>
      <c r="G17" s="5">
        <v>786104</v>
      </c>
      <c r="H17" s="5">
        <v>7198040</v>
      </c>
      <c r="I17" s="7">
        <f>ROUND((E17/D17)*1000,2)</f>
        <v>66.28</v>
      </c>
      <c r="J17" s="7">
        <f>ROUND((F17/D17)*1000,2)</f>
        <v>-7.37</v>
      </c>
      <c r="K17" s="7">
        <f>I17+J17</f>
        <v>58.910000000000004</v>
      </c>
      <c r="L17" s="7">
        <f>ROUND((G17/D17)*1000,2)</f>
        <v>7.22</v>
      </c>
      <c r="M17" s="7">
        <f>K17+L17</f>
        <v>66.13000000000001</v>
      </c>
      <c r="N17" s="1">
        <v>31</v>
      </c>
      <c r="O17" s="6">
        <f>ROUND(D17/(C17*24*N17),4)</f>
        <v>0.47499999999999998</v>
      </c>
    </row>
    <row r="18" spans="1:15" x14ac:dyDescent="0.2">
      <c r="A18" s="1">
        <f t="shared" si="0"/>
        <v>18</v>
      </c>
      <c r="C18" s="1"/>
      <c r="D18" s="1"/>
      <c r="E18" s="5"/>
      <c r="F18" s="5"/>
      <c r="G18" s="5"/>
      <c r="H18" s="5"/>
      <c r="I18" s="7"/>
      <c r="J18" s="7"/>
      <c r="K18" s="7"/>
      <c r="L18" s="7"/>
      <c r="M18" s="7"/>
      <c r="N18" s="1"/>
      <c r="O18" s="6"/>
    </row>
    <row r="19" spans="1:15" x14ac:dyDescent="0.2">
      <c r="A19" s="1">
        <f t="shared" si="0"/>
        <v>19</v>
      </c>
      <c r="B19" t="s">
        <v>15</v>
      </c>
      <c r="C19" s="1">
        <v>182567</v>
      </c>
      <c r="D19" s="1">
        <v>85645592</v>
      </c>
      <c r="E19" s="5">
        <f>H19-G19-F19</f>
        <v>5345732</v>
      </c>
      <c r="F19" s="5">
        <v>-415147</v>
      </c>
      <c r="G19" s="5">
        <v>775585</v>
      </c>
      <c r="H19" s="5">
        <v>5706170</v>
      </c>
      <c r="I19" s="7">
        <f>ROUND((E19/D19)*1000,2)</f>
        <v>62.42</v>
      </c>
      <c r="J19" s="7">
        <f>ROUND((F19/D19)*1000,2)</f>
        <v>-4.8499999999999996</v>
      </c>
      <c r="K19" s="7">
        <f>I19+J19</f>
        <v>57.57</v>
      </c>
      <c r="L19" s="7">
        <f>ROUND((G19/D19)*1000,2)</f>
        <v>9.06</v>
      </c>
      <c r="M19" s="7">
        <f>K19+L19</f>
        <v>66.63</v>
      </c>
      <c r="N19" s="1">
        <v>30</v>
      </c>
      <c r="O19" s="6">
        <f>ROUND(D19/(C19*24*N19),4)</f>
        <v>0.65159999999999996</v>
      </c>
    </row>
    <row r="20" spans="1:15" x14ac:dyDescent="0.2">
      <c r="A20" s="1">
        <f t="shared" si="0"/>
        <v>20</v>
      </c>
      <c r="C20" s="1"/>
      <c r="D20" s="1"/>
      <c r="E20" s="5"/>
      <c r="F20" s="5"/>
      <c r="G20" s="5"/>
      <c r="H20" s="5"/>
      <c r="I20" s="7"/>
      <c r="J20" s="7"/>
      <c r="K20" s="7"/>
      <c r="L20" s="7"/>
      <c r="M20" s="7"/>
      <c r="N20" s="1"/>
      <c r="O20" s="6"/>
    </row>
    <row r="21" spans="1:15" x14ac:dyDescent="0.2">
      <c r="A21" s="1">
        <f t="shared" si="0"/>
        <v>21</v>
      </c>
      <c r="B21" t="s">
        <v>16</v>
      </c>
      <c r="C21" s="1">
        <v>193943</v>
      </c>
      <c r="D21" s="1">
        <v>91076403</v>
      </c>
      <c r="E21" s="5">
        <f>H21-G21-F21</f>
        <v>5759714</v>
      </c>
      <c r="F21" s="5">
        <v>-484072</v>
      </c>
      <c r="G21" s="5">
        <v>812453</v>
      </c>
      <c r="H21" s="5">
        <v>6088095</v>
      </c>
      <c r="I21" s="7">
        <f>ROUND((E21/D21)*1000,2)</f>
        <v>63.24</v>
      </c>
      <c r="J21" s="7">
        <f>ROUND((F21/D21)*1000,2)</f>
        <v>-5.32</v>
      </c>
      <c r="K21" s="7">
        <f>I21+J21</f>
        <v>57.92</v>
      </c>
      <c r="L21" s="7">
        <f>ROUND((G21/D21)*1000,2)</f>
        <v>8.92</v>
      </c>
      <c r="M21" s="7">
        <f>K21+L21</f>
        <v>66.84</v>
      </c>
      <c r="N21" s="1">
        <v>31</v>
      </c>
      <c r="O21" s="6">
        <f>ROUND(D21/(C21*24*N21),4)</f>
        <v>0.63119999999999998</v>
      </c>
    </row>
    <row r="22" spans="1:15" x14ac:dyDescent="0.2">
      <c r="A22" s="1">
        <f t="shared" si="0"/>
        <v>22</v>
      </c>
      <c r="C22" s="1"/>
      <c r="D22" s="1"/>
      <c r="E22" s="5"/>
      <c r="F22" s="5"/>
      <c r="G22" s="5"/>
      <c r="H22" s="5"/>
      <c r="I22" s="7"/>
      <c r="J22" s="7"/>
      <c r="K22" s="7"/>
      <c r="L22" s="7"/>
      <c r="M22" s="7"/>
      <c r="N22" s="1"/>
      <c r="O22" s="6"/>
    </row>
    <row r="23" spans="1:15" x14ac:dyDescent="0.2">
      <c r="A23" s="1">
        <f t="shared" si="0"/>
        <v>23</v>
      </c>
      <c r="B23" t="s">
        <v>17</v>
      </c>
      <c r="C23" s="1">
        <v>223253</v>
      </c>
      <c r="D23" s="1">
        <v>99979261</v>
      </c>
      <c r="E23" s="5">
        <f>H23-G23-F23</f>
        <v>6389751</v>
      </c>
      <c r="F23" s="5">
        <v>-503627</v>
      </c>
      <c r="G23" s="5">
        <v>1168985</v>
      </c>
      <c r="H23" s="5">
        <v>7055109</v>
      </c>
      <c r="I23" s="7">
        <f>ROUND((E23/D23)*1000,2)</f>
        <v>63.91</v>
      </c>
      <c r="J23" s="7">
        <f>ROUND((F23/D23)*1000,2)</f>
        <v>-5.04</v>
      </c>
      <c r="K23" s="7">
        <f>I23+J23</f>
        <v>58.87</v>
      </c>
      <c r="L23" s="7">
        <f>ROUND((G23/D23)*1000,2)</f>
        <v>11.69</v>
      </c>
      <c r="M23" s="7">
        <f>K23+L23</f>
        <v>70.56</v>
      </c>
      <c r="N23" s="1">
        <v>30</v>
      </c>
      <c r="O23" s="6">
        <f>ROUND(D23/(C23*24*N23),4)</f>
        <v>0.622</v>
      </c>
    </row>
    <row r="24" spans="1:15" x14ac:dyDescent="0.2">
      <c r="A24" s="1">
        <f t="shared" si="0"/>
        <v>24</v>
      </c>
      <c r="C24" s="1"/>
      <c r="D24" s="1"/>
      <c r="E24" s="5"/>
      <c r="F24" s="5"/>
      <c r="G24" s="5"/>
      <c r="H24" s="5"/>
      <c r="I24" s="7"/>
      <c r="J24" s="7"/>
      <c r="K24" s="7"/>
      <c r="L24" s="7"/>
      <c r="M24" s="7"/>
      <c r="N24" s="1"/>
      <c r="O24" s="6"/>
    </row>
    <row r="25" spans="1:15" x14ac:dyDescent="0.2">
      <c r="A25" s="1">
        <f t="shared" si="0"/>
        <v>25</v>
      </c>
      <c r="B25" t="s">
        <v>18</v>
      </c>
      <c r="C25" s="1">
        <v>248069</v>
      </c>
      <c r="D25" s="1">
        <v>118121139</v>
      </c>
      <c r="E25" s="5">
        <f>H25-G25-F25</f>
        <v>7445705</v>
      </c>
      <c r="F25" s="5">
        <v>-769674</v>
      </c>
      <c r="G25" s="5">
        <v>1210364</v>
      </c>
      <c r="H25" s="5">
        <v>7886395</v>
      </c>
      <c r="I25" s="7">
        <f>ROUND((E25/D25)*1000,2)</f>
        <v>63.03</v>
      </c>
      <c r="J25" s="7">
        <f>ROUND((F25/D25)*1000,2)</f>
        <v>-6.52</v>
      </c>
      <c r="K25" s="7">
        <f>I25+J25</f>
        <v>56.510000000000005</v>
      </c>
      <c r="L25" s="7">
        <f>ROUND((G25/D25)*1000,2)</f>
        <v>10.25</v>
      </c>
      <c r="M25" s="7">
        <f>K25+L25</f>
        <v>66.760000000000005</v>
      </c>
      <c r="N25" s="1">
        <v>31</v>
      </c>
      <c r="O25" s="6">
        <f>ROUND(D25/(C25*24*N25),4)</f>
        <v>0.64</v>
      </c>
    </row>
    <row r="26" spans="1:15" x14ac:dyDescent="0.2">
      <c r="A26" s="1">
        <f t="shared" si="0"/>
        <v>26</v>
      </c>
      <c r="C26" s="1"/>
      <c r="D26" s="1"/>
      <c r="E26" s="5"/>
      <c r="F26" s="5"/>
      <c r="G26" s="5"/>
      <c r="H26" s="5"/>
      <c r="I26" s="7"/>
      <c r="J26" s="7"/>
      <c r="K26" s="7"/>
      <c r="L26" s="7"/>
      <c r="M26" s="7"/>
      <c r="N26" s="1"/>
      <c r="O26" s="6"/>
    </row>
    <row r="27" spans="1:15" x14ac:dyDescent="0.2">
      <c r="A27" s="1">
        <f t="shared" si="0"/>
        <v>27</v>
      </c>
      <c r="B27" t="s">
        <v>19</v>
      </c>
      <c r="C27" s="1">
        <v>229842</v>
      </c>
      <c r="D27" s="1">
        <v>108641725</v>
      </c>
      <c r="E27" s="5">
        <f>H27-G27-F27</f>
        <v>6857145</v>
      </c>
      <c r="F27" s="5">
        <v>-574720</v>
      </c>
      <c r="G27" s="5">
        <v>1115132</v>
      </c>
      <c r="H27" s="5">
        <v>7397557</v>
      </c>
      <c r="I27" s="7">
        <f>ROUND((E27/D27)*1000,2)</f>
        <v>63.12</v>
      </c>
      <c r="J27" s="7">
        <f>ROUND((F27/D27)*1000,2)</f>
        <v>-5.29</v>
      </c>
      <c r="K27" s="7">
        <f>I27+J27</f>
        <v>57.83</v>
      </c>
      <c r="L27" s="7">
        <f>ROUND((G27/D27)*1000,2)</f>
        <v>10.26</v>
      </c>
      <c r="M27" s="7">
        <f>K27+L27</f>
        <v>68.09</v>
      </c>
      <c r="N27" s="1">
        <v>31</v>
      </c>
      <c r="O27" s="6">
        <f>ROUND(D27/(C27*24*N27),4)</f>
        <v>0.63529999999999998</v>
      </c>
    </row>
    <row r="28" spans="1:15" x14ac:dyDescent="0.2">
      <c r="A28" s="1">
        <f t="shared" si="0"/>
        <v>28</v>
      </c>
      <c r="C28" s="1"/>
      <c r="D28" s="1"/>
      <c r="E28" s="5"/>
      <c r="F28" s="5"/>
      <c r="G28" s="5"/>
      <c r="H28" s="5"/>
      <c r="I28" s="7"/>
      <c r="J28" s="7"/>
      <c r="K28" s="7"/>
      <c r="L28" s="7"/>
      <c r="M28" s="7"/>
      <c r="N28" s="1"/>
      <c r="O28" s="6"/>
    </row>
    <row r="29" spans="1:15" x14ac:dyDescent="0.2">
      <c r="A29" s="1">
        <f t="shared" si="0"/>
        <v>29</v>
      </c>
      <c r="B29" t="s">
        <v>20</v>
      </c>
      <c r="C29" s="1">
        <v>196183</v>
      </c>
      <c r="D29" s="1">
        <v>90491676</v>
      </c>
      <c r="E29" s="5">
        <f>H29-G29-F29</f>
        <v>5528857</v>
      </c>
      <c r="F29" s="5">
        <v>-633995</v>
      </c>
      <c r="G29" s="5">
        <v>777795</v>
      </c>
      <c r="H29" s="5">
        <v>5672657</v>
      </c>
      <c r="I29" s="7">
        <f>ROUND((E29/D29)*1000,2)</f>
        <v>61.1</v>
      </c>
      <c r="J29" s="7">
        <f>ROUND((F29/D29)*1000,2)</f>
        <v>-7.01</v>
      </c>
      <c r="K29" s="7">
        <f>I29+J29</f>
        <v>54.09</v>
      </c>
      <c r="L29" s="7">
        <f>ROUND((G29/D29)*1000,2)</f>
        <v>8.6</v>
      </c>
      <c r="M29" s="7">
        <f>K29+L29</f>
        <v>62.690000000000005</v>
      </c>
      <c r="N29" s="1">
        <v>30</v>
      </c>
      <c r="O29" s="6">
        <f>ROUND(D29/(C29*24*N29),4)</f>
        <v>0.64059999999999995</v>
      </c>
    </row>
    <row r="30" spans="1:15" x14ac:dyDescent="0.2">
      <c r="A30" s="1">
        <f t="shared" si="0"/>
        <v>30</v>
      </c>
      <c r="C30" s="1"/>
      <c r="D30" s="1"/>
      <c r="E30" s="5"/>
      <c r="F30" s="5"/>
      <c r="G30" s="5"/>
      <c r="H30" s="5"/>
      <c r="I30" s="7"/>
      <c r="J30" s="7"/>
      <c r="K30" s="7"/>
      <c r="L30" s="7"/>
      <c r="M30" s="7"/>
      <c r="N30" s="1"/>
      <c r="O30" s="6"/>
    </row>
    <row r="31" spans="1:15" x14ac:dyDescent="0.2">
      <c r="A31" s="1">
        <f t="shared" si="0"/>
        <v>31</v>
      </c>
      <c r="B31" t="s">
        <v>21</v>
      </c>
      <c r="C31" s="1">
        <v>242393</v>
      </c>
      <c r="D31" s="1">
        <v>92870513</v>
      </c>
      <c r="E31" s="5">
        <f>H31-G31-F31</f>
        <v>5824776</v>
      </c>
      <c r="F31" s="5">
        <v>-246721</v>
      </c>
      <c r="G31" s="5">
        <v>977832</v>
      </c>
      <c r="H31" s="5">
        <v>6555887</v>
      </c>
      <c r="I31" s="7">
        <f>ROUND((E31/D31)*1000,2)</f>
        <v>62.72</v>
      </c>
      <c r="J31" s="7">
        <f>ROUND((F31/D31)*1000,2)</f>
        <v>-2.66</v>
      </c>
      <c r="K31" s="7">
        <f>I31+J31</f>
        <v>60.06</v>
      </c>
      <c r="L31" s="7">
        <f>ROUND((G31/D31)*1000,2)</f>
        <v>10.53</v>
      </c>
      <c r="M31" s="7">
        <f>K31+L31</f>
        <v>70.59</v>
      </c>
      <c r="N31" s="1">
        <v>31</v>
      </c>
      <c r="O31" s="6">
        <f>ROUND(D31/(C31*24*N31),4)</f>
        <v>0.51500000000000001</v>
      </c>
    </row>
    <row r="32" spans="1:15" x14ac:dyDescent="0.2">
      <c r="A32" s="1">
        <f t="shared" si="0"/>
        <v>32</v>
      </c>
      <c r="C32" s="1"/>
      <c r="D32" s="1"/>
      <c r="E32" s="5"/>
      <c r="F32" s="5"/>
      <c r="G32" s="5"/>
      <c r="H32" s="5"/>
      <c r="I32" s="7"/>
      <c r="J32" s="7"/>
      <c r="K32" s="7"/>
      <c r="L32" s="7"/>
      <c r="M32" s="7"/>
      <c r="N32" s="1"/>
      <c r="O32" s="6"/>
    </row>
    <row r="33" spans="1:15" x14ac:dyDescent="0.2">
      <c r="A33" s="1">
        <f t="shared" si="0"/>
        <v>33</v>
      </c>
      <c r="B33" t="s">
        <v>22</v>
      </c>
      <c r="C33" s="1">
        <v>275950</v>
      </c>
      <c r="D33" s="1">
        <v>105154553</v>
      </c>
      <c r="E33" s="5">
        <f>H33-G33-F33</f>
        <v>6587296</v>
      </c>
      <c r="F33" s="5">
        <v>-342493</v>
      </c>
      <c r="G33" s="5">
        <v>1280809</v>
      </c>
      <c r="H33" s="5">
        <v>7525612</v>
      </c>
      <c r="I33" s="7">
        <f>ROUND((E33/D33)*1000,2)</f>
        <v>62.64</v>
      </c>
      <c r="J33" s="7">
        <f>ROUND((F33/D33)*1000,2)</f>
        <v>-3.26</v>
      </c>
      <c r="K33" s="7">
        <f>I33+J33</f>
        <v>59.38</v>
      </c>
      <c r="L33" s="7">
        <f>ROUND((G33/D33)*1000,2)</f>
        <v>12.18</v>
      </c>
      <c r="M33" s="7">
        <f>K33+L33</f>
        <v>71.56</v>
      </c>
      <c r="N33" s="1">
        <v>30</v>
      </c>
      <c r="O33" s="6">
        <f>ROUND(D33/(C33*24*N33),4)</f>
        <v>0.52929999999999999</v>
      </c>
    </row>
    <row r="34" spans="1:15" x14ac:dyDescent="0.2">
      <c r="A34" s="1">
        <f t="shared" si="0"/>
        <v>34</v>
      </c>
      <c r="C34" s="1"/>
      <c r="D34" s="1"/>
      <c r="E34" s="5"/>
      <c r="F34" s="5"/>
      <c r="G34" s="5"/>
      <c r="H34" s="5"/>
      <c r="I34" s="7"/>
      <c r="J34" s="7"/>
      <c r="K34" s="7"/>
      <c r="L34" s="7"/>
      <c r="M34" s="7"/>
      <c r="N34" s="1"/>
      <c r="O34" s="6"/>
    </row>
    <row r="35" spans="1:15" x14ac:dyDescent="0.2">
      <c r="A35" s="1">
        <f t="shared" si="0"/>
        <v>35</v>
      </c>
      <c r="B35" t="s">
        <v>23</v>
      </c>
      <c r="C35" s="1">
        <f>SUM(C11:C33)</f>
        <v>3087427</v>
      </c>
      <c r="D35" s="1">
        <f>SUM(D11:D33)</f>
        <v>1268339577</v>
      </c>
      <c r="E35" s="5">
        <f>SUM(E11:E33)</f>
        <v>80961196</v>
      </c>
      <c r="F35" s="5">
        <f t="shared" ref="F35:H35" si="1">SUM(F11:F33)</f>
        <v>-6127238</v>
      </c>
      <c r="G35" s="5">
        <f t="shared" si="1"/>
        <v>12615824</v>
      </c>
      <c r="H35" s="5">
        <f t="shared" si="1"/>
        <v>87449782</v>
      </c>
      <c r="I35" s="7">
        <f>ROUND((E35/D35)*1000,2)</f>
        <v>63.83</v>
      </c>
      <c r="J35" s="7">
        <f>ROUND((F35/D35)*1000,2)</f>
        <v>-4.83</v>
      </c>
      <c r="K35" s="7">
        <f>I35+J35</f>
        <v>59</v>
      </c>
      <c r="L35" s="7">
        <f>ROUND((G35/D35)*1000,2)</f>
        <v>9.9499999999999993</v>
      </c>
      <c r="M35" s="7">
        <f>K35+L35</f>
        <v>68.95</v>
      </c>
      <c r="N35" s="8">
        <f>ROUND(SUM(N11:N33)/12,2)</f>
        <v>30.42</v>
      </c>
      <c r="O35" s="6">
        <f>ROUND(D35/(C35*24*N35),4)</f>
        <v>0.56269999999999998</v>
      </c>
    </row>
    <row r="36" spans="1:15" x14ac:dyDescent="0.2">
      <c r="A36" s="1">
        <f t="shared" si="0"/>
        <v>36</v>
      </c>
      <c r="C36" s="1"/>
      <c r="D36" s="1"/>
      <c r="E36" s="5"/>
      <c r="F36" s="5"/>
      <c r="G36" s="5"/>
      <c r="H36" s="5"/>
      <c r="I36" s="7"/>
      <c r="J36" s="7"/>
      <c r="K36" s="7"/>
      <c r="L36" s="7"/>
      <c r="M36" s="7"/>
      <c r="N36" s="1"/>
      <c r="O36" s="6"/>
    </row>
    <row r="37" spans="1:15" x14ac:dyDescent="0.2">
      <c r="A37" s="1">
        <f t="shared" si="0"/>
        <v>37</v>
      </c>
      <c r="C37" s="1"/>
      <c r="D37" s="1"/>
      <c r="E37" s="5"/>
      <c r="F37" s="5"/>
      <c r="G37" s="5"/>
      <c r="H37" s="5"/>
      <c r="I37" s="7"/>
      <c r="J37" s="7"/>
      <c r="K37" s="7"/>
      <c r="L37" s="7"/>
      <c r="M37" s="7"/>
      <c r="N37" s="1"/>
      <c r="O37" s="6"/>
    </row>
    <row r="38" spans="1:15" x14ac:dyDescent="0.2">
      <c r="A38" s="1">
        <f t="shared" si="0"/>
        <v>38</v>
      </c>
      <c r="C38" s="1"/>
      <c r="D38" s="1"/>
      <c r="E38" s="5"/>
      <c r="F38" s="5"/>
      <c r="G38" s="5"/>
      <c r="H38" s="5"/>
      <c r="I38" s="7"/>
      <c r="J38" s="7"/>
      <c r="K38" s="7"/>
      <c r="L38" s="7"/>
      <c r="M38" s="7"/>
      <c r="N38" s="1"/>
      <c r="O38" s="6"/>
    </row>
    <row r="39" spans="1:15" ht="15" x14ac:dyDescent="0.25">
      <c r="A39" s="1">
        <f t="shared" si="0"/>
        <v>39</v>
      </c>
      <c r="B39" s="2" t="s">
        <v>50</v>
      </c>
      <c r="C39" s="1"/>
      <c r="D39" s="1"/>
      <c r="E39" s="5"/>
      <c r="F39" s="5"/>
      <c r="G39" s="5"/>
      <c r="H39" s="5"/>
      <c r="I39" s="7"/>
      <c r="J39" s="7"/>
      <c r="K39" s="7"/>
      <c r="L39" s="7"/>
      <c r="M39" s="7"/>
      <c r="N39" s="1"/>
      <c r="O39" s="6"/>
    </row>
    <row r="40" spans="1:15" x14ac:dyDescent="0.2">
      <c r="A40" s="1">
        <f t="shared" si="0"/>
        <v>40</v>
      </c>
      <c r="C40" s="1"/>
      <c r="D40" s="1"/>
      <c r="E40" s="5"/>
      <c r="F40" s="5"/>
      <c r="G40" s="5"/>
      <c r="H40" s="5"/>
      <c r="I40" s="7"/>
      <c r="J40" s="7"/>
      <c r="K40" s="7"/>
      <c r="L40" s="7"/>
      <c r="M40" s="7"/>
      <c r="N40" s="1"/>
      <c r="O40" s="6"/>
    </row>
    <row r="41" spans="1:15" x14ac:dyDescent="0.2">
      <c r="A41" s="1">
        <f t="shared" si="0"/>
        <v>41</v>
      </c>
      <c r="E41" s="34" t="s">
        <v>4</v>
      </c>
      <c r="F41" s="35"/>
      <c r="G41" s="35"/>
      <c r="H41" s="36"/>
      <c r="I41" s="34" t="s">
        <v>24</v>
      </c>
      <c r="J41" s="35"/>
      <c r="K41" s="35"/>
      <c r="L41" s="35"/>
      <c r="M41" s="36"/>
      <c r="N41" s="3" t="s">
        <v>9</v>
      </c>
      <c r="O41" s="3" t="s">
        <v>10</v>
      </c>
    </row>
    <row r="42" spans="1:15" ht="15" thickBot="1" x14ac:dyDescent="0.25">
      <c r="A42" s="1">
        <f t="shared" si="0"/>
        <v>42</v>
      </c>
      <c r="B42" s="4" t="s">
        <v>1</v>
      </c>
      <c r="C42" s="4" t="s">
        <v>2</v>
      </c>
      <c r="D42" s="4" t="s">
        <v>3</v>
      </c>
      <c r="E42" s="4" t="s">
        <v>5</v>
      </c>
      <c r="F42" s="4" t="s">
        <v>6</v>
      </c>
      <c r="G42" s="4" t="s">
        <v>7</v>
      </c>
      <c r="H42" s="4" t="s">
        <v>8</v>
      </c>
      <c r="I42" s="4" t="s">
        <v>5</v>
      </c>
      <c r="J42" s="4" t="s">
        <v>6</v>
      </c>
      <c r="K42" s="4" t="s">
        <v>25</v>
      </c>
      <c r="L42" s="4" t="s">
        <v>7</v>
      </c>
      <c r="M42" s="4" t="s">
        <v>8</v>
      </c>
      <c r="N42" s="4" t="s">
        <v>1</v>
      </c>
      <c r="O42" s="4" t="s">
        <v>11</v>
      </c>
    </row>
    <row r="43" spans="1:15" x14ac:dyDescent="0.2">
      <c r="A43" s="1">
        <f t="shared" si="0"/>
        <v>43</v>
      </c>
      <c r="C43" s="1"/>
      <c r="D43" s="1"/>
      <c r="E43" s="5"/>
      <c r="F43" s="5"/>
      <c r="G43" s="5"/>
      <c r="H43" s="5"/>
      <c r="I43" s="7"/>
      <c r="J43" s="7"/>
      <c r="K43" s="7"/>
      <c r="L43" s="7"/>
      <c r="M43" s="7"/>
      <c r="N43" s="1"/>
      <c r="O43" s="6"/>
    </row>
    <row r="44" spans="1:15" x14ac:dyDescent="0.2">
      <c r="A44" s="1">
        <f t="shared" si="0"/>
        <v>44</v>
      </c>
      <c r="B44" s="15" t="s">
        <v>49</v>
      </c>
      <c r="C44" s="1">
        <f>C11-'Calculation on 58MW'!D20</f>
        <v>260654</v>
      </c>
      <c r="D44" s="1">
        <f>D11-'Calculation on 58MW'!E20</f>
        <v>93490060</v>
      </c>
      <c r="E44" s="5">
        <f>E11-'Calculation on 58MW'!P20</f>
        <v>6197067</v>
      </c>
      <c r="F44" s="5">
        <f>F11-'Calculation on 58MW'!Q20</f>
        <v>-365119</v>
      </c>
      <c r="G44" s="5">
        <f>G11-'Calculation on 58MW'!S20</f>
        <v>1163472</v>
      </c>
      <c r="H44" s="5">
        <f>E44+F44+G44</f>
        <v>6995420</v>
      </c>
      <c r="I44" s="7">
        <f>ROUND((E44/D44)*1000,2)</f>
        <v>66.290000000000006</v>
      </c>
      <c r="J44" s="7">
        <f>ROUND((F44/D44)*1000,2)</f>
        <v>-3.91</v>
      </c>
      <c r="K44" s="7">
        <f>I44+J44</f>
        <v>62.38000000000001</v>
      </c>
      <c r="L44" s="7">
        <f>ROUND((G44/D44)*1000,2)</f>
        <v>12.44</v>
      </c>
      <c r="M44" s="7">
        <f>K44+L44</f>
        <v>74.820000000000007</v>
      </c>
      <c r="N44" s="1">
        <v>31</v>
      </c>
      <c r="O44" s="6">
        <f>ROUND(D44/(C44*24*N44),4)</f>
        <v>0.48209999999999997</v>
      </c>
    </row>
    <row r="45" spans="1:15" x14ac:dyDescent="0.2">
      <c r="A45" s="1">
        <f t="shared" si="0"/>
        <v>45</v>
      </c>
      <c r="C45" s="1"/>
      <c r="D45" s="1"/>
      <c r="E45" s="5"/>
      <c r="F45" s="5"/>
      <c r="G45" s="5"/>
      <c r="H45" s="5"/>
      <c r="I45" s="7"/>
      <c r="J45" s="7"/>
      <c r="K45" s="7"/>
      <c r="L45" s="7"/>
      <c r="M45" s="7"/>
      <c r="N45" s="1"/>
      <c r="O45" s="6"/>
    </row>
    <row r="46" spans="1:15" x14ac:dyDescent="0.2">
      <c r="A46" s="1">
        <f t="shared" si="0"/>
        <v>46</v>
      </c>
      <c r="B46" t="s">
        <v>12</v>
      </c>
      <c r="C46" s="1">
        <f>C13-'Calculation on 58MW'!D22</f>
        <v>311429</v>
      </c>
      <c r="D46" s="1">
        <f>D13-'Calculation on 58MW'!E22</f>
        <v>85501435</v>
      </c>
      <c r="E46" s="5">
        <f>E13-'Calculation on 58MW'!P22</f>
        <v>6114570</v>
      </c>
      <c r="F46" s="5">
        <f>F13-'Calculation on 58MW'!Q22</f>
        <v>-275554</v>
      </c>
      <c r="G46" s="5">
        <f>G13-'Calculation on 58MW'!S22</f>
        <v>987958</v>
      </c>
      <c r="H46" s="5">
        <f>E46+F46+G46</f>
        <v>6826974</v>
      </c>
      <c r="I46" s="7">
        <f>ROUND((E46/D46)*1000,2)</f>
        <v>71.510000000000005</v>
      </c>
      <c r="J46" s="7">
        <f>ROUND((F46/D46)*1000,2)</f>
        <v>-3.22</v>
      </c>
      <c r="K46" s="7">
        <f>I46+J46</f>
        <v>68.290000000000006</v>
      </c>
      <c r="L46" s="7">
        <f>ROUND((G46/D46)*1000,2)</f>
        <v>11.55</v>
      </c>
      <c r="M46" s="7">
        <f>K46+L46</f>
        <v>79.84</v>
      </c>
      <c r="N46" s="1">
        <v>31</v>
      </c>
      <c r="O46" s="6">
        <f>ROUND(D46/(C46*24*N46),4)</f>
        <v>0.36899999999999999</v>
      </c>
    </row>
    <row r="47" spans="1:15" x14ac:dyDescent="0.2">
      <c r="A47" s="1">
        <f t="shared" si="0"/>
        <v>47</v>
      </c>
      <c r="I47" s="7"/>
      <c r="J47" s="7"/>
      <c r="K47" s="7"/>
      <c r="L47" s="7"/>
      <c r="M47" s="7"/>
      <c r="N47" s="1"/>
      <c r="O47" s="6"/>
    </row>
    <row r="48" spans="1:15" x14ac:dyDescent="0.2">
      <c r="A48" s="1">
        <f t="shared" si="0"/>
        <v>48</v>
      </c>
      <c r="B48" t="s">
        <v>13</v>
      </c>
      <c r="C48" s="1">
        <f>C15-'Calculation on 58MW'!D24</f>
        <v>241188</v>
      </c>
      <c r="D48" s="1">
        <f>D15-'Calculation on 58MW'!E24</f>
        <v>63245559</v>
      </c>
      <c r="E48" s="5">
        <f>E15-'Calculation on 58MW'!P24</f>
        <v>4611609</v>
      </c>
      <c r="F48" s="5">
        <f>F15-'Calculation on 58MW'!Q24</f>
        <v>-250103</v>
      </c>
      <c r="G48" s="5">
        <f>G15-'Calculation on 58MW'!S24</f>
        <v>488923</v>
      </c>
      <c r="H48" s="5">
        <f>E48+F48+G48</f>
        <v>4850429</v>
      </c>
      <c r="I48" s="7">
        <f>ROUND((E48/D48)*1000,2)</f>
        <v>72.92</v>
      </c>
      <c r="J48" s="7">
        <f>ROUND((F48/D48)*1000,2)</f>
        <v>-3.95</v>
      </c>
      <c r="K48" s="7">
        <f>I48+J48</f>
        <v>68.97</v>
      </c>
      <c r="L48" s="7">
        <f>ROUND((G48/D48)*1000,2)</f>
        <v>7.73</v>
      </c>
      <c r="M48" s="7">
        <f>K48+L48</f>
        <v>76.7</v>
      </c>
      <c r="N48" s="1">
        <v>28</v>
      </c>
      <c r="O48" s="6">
        <f>ROUND(D48/(C48*24*N48),4)</f>
        <v>0.39019999999999999</v>
      </c>
    </row>
    <row r="49" spans="1:15" x14ac:dyDescent="0.2">
      <c r="A49" s="1">
        <f t="shared" si="0"/>
        <v>49</v>
      </c>
      <c r="I49" s="7"/>
      <c r="J49" s="7"/>
      <c r="K49" s="7"/>
      <c r="L49" s="7"/>
      <c r="M49" s="7"/>
      <c r="N49" s="1"/>
      <c r="O49" s="6"/>
    </row>
    <row r="50" spans="1:15" x14ac:dyDescent="0.2">
      <c r="A50" s="1">
        <f t="shared" si="0"/>
        <v>50</v>
      </c>
      <c r="B50" t="s">
        <v>14</v>
      </c>
      <c r="C50" s="1">
        <f>C17-'Calculation on 58MW'!D26</f>
        <v>249956</v>
      </c>
      <c r="D50" s="1">
        <f>D17-'Calculation on 58MW'!E26</f>
        <v>65689661</v>
      </c>
      <c r="E50" s="5">
        <f>E17-'Calculation on 58MW'!P26</f>
        <v>4785646</v>
      </c>
      <c r="F50" s="5">
        <f>F17-'Calculation on 58MW'!Q26</f>
        <v>-483459</v>
      </c>
      <c r="G50" s="5">
        <f>G17-'Calculation on 58MW'!S26</f>
        <v>527449</v>
      </c>
      <c r="H50" s="5">
        <f>E50+F50+G50</f>
        <v>4829636</v>
      </c>
      <c r="I50" s="7">
        <f>ROUND((E50/D50)*1000,2)</f>
        <v>72.849999999999994</v>
      </c>
      <c r="J50" s="7">
        <f>ROUND((F50/D50)*1000,2)</f>
        <v>-7.36</v>
      </c>
      <c r="K50" s="7">
        <f>I50+J50</f>
        <v>65.489999999999995</v>
      </c>
      <c r="L50" s="7">
        <f>ROUND((G50/D50)*1000,2)</f>
        <v>8.0299999999999994</v>
      </c>
      <c r="M50" s="7">
        <f>K50+L50</f>
        <v>73.52</v>
      </c>
      <c r="N50" s="1">
        <v>31</v>
      </c>
      <c r="O50" s="6">
        <f>ROUND(D50/(C50*24*N50),4)</f>
        <v>0.35320000000000001</v>
      </c>
    </row>
    <row r="51" spans="1:15" x14ac:dyDescent="0.2">
      <c r="A51" s="1">
        <f t="shared" si="0"/>
        <v>51</v>
      </c>
      <c r="I51" s="7"/>
      <c r="J51" s="7"/>
      <c r="K51" s="7"/>
      <c r="L51" s="7"/>
      <c r="M51" s="7"/>
      <c r="N51" s="1"/>
      <c r="O51" s="6"/>
    </row>
    <row r="52" spans="1:15" x14ac:dyDescent="0.2">
      <c r="A52" s="1">
        <f t="shared" si="0"/>
        <v>52</v>
      </c>
      <c r="B52" t="s">
        <v>15</v>
      </c>
      <c r="C52" s="1">
        <f>C19-'Calculation on 58MW'!D28</f>
        <v>124567</v>
      </c>
      <c r="D52" s="1">
        <f>D19-'Calculation on 58MW'!E28</f>
        <v>43885592</v>
      </c>
      <c r="E52" s="5">
        <f>E19-'Calculation on 58MW'!P28</f>
        <v>2984170</v>
      </c>
      <c r="F52" s="5">
        <f>F19-'Calculation on 58MW'!Q28</f>
        <v>-212193</v>
      </c>
      <c r="G52" s="5">
        <f>G19-'Calculation on 58MW'!S28</f>
        <v>436036</v>
      </c>
      <c r="H52" s="5">
        <f>E52+F52+G52</f>
        <v>3208013</v>
      </c>
      <c r="I52" s="7">
        <f>ROUND((E52/D52)*1000,2)</f>
        <v>68</v>
      </c>
      <c r="J52" s="7">
        <f>ROUND((F52/D52)*1000,2)</f>
        <v>-4.84</v>
      </c>
      <c r="K52" s="7">
        <f>I52+J52</f>
        <v>63.16</v>
      </c>
      <c r="L52" s="7">
        <f>ROUND((G52/D52)*1000,2)</f>
        <v>9.94</v>
      </c>
      <c r="M52" s="7">
        <f>K52+L52</f>
        <v>73.099999999999994</v>
      </c>
      <c r="N52" s="1">
        <v>30</v>
      </c>
      <c r="O52" s="6">
        <f>ROUND(D52/(C52*24*N52),4)</f>
        <v>0.48930000000000001</v>
      </c>
    </row>
    <row r="53" spans="1:15" x14ac:dyDescent="0.2">
      <c r="A53" s="1">
        <f t="shared" si="0"/>
        <v>53</v>
      </c>
      <c r="I53" s="7"/>
      <c r="J53" s="7"/>
      <c r="K53" s="7"/>
      <c r="L53" s="7"/>
      <c r="M53" s="7"/>
      <c r="N53" s="1"/>
      <c r="O53" s="6"/>
    </row>
    <row r="54" spans="1:15" x14ac:dyDescent="0.2">
      <c r="A54" s="1">
        <f t="shared" si="0"/>
        <v>54</v>
      </c>
      <c r="B54" t="s">
        <v>16</v>
      </c>
      <c r="C54" s="1">
        <f>C21-'Calculation on 58MW'!D30</f>
        <v>135943</v>
      </c>
      <c r="D54" s="1">
        <f>D21-'Calculation on 58MW'!E30</f>
        <v>47924403</v>
      </c>
      <c r="E54" s="5">
        <f>E21-'Calculation on 58MW'!P30</f>
        <v>3299709</v>
      </c>
      <c r="F54" s="5">
        <f>F21-'Calculation on 58MW'!Q30</f>
        <v>-254503</v>
      </c>
      <c r="G54" s="5">
        <f>G21-'Calculation on 58MW'!S30</f>
        <v>468966</v>
      </c>
      <c r="H54" s="5">
        <f>E54+F54+G54</f>
        <v>3514172</v>
      </c>
      <c r="I54" s="7">
        <f>ROUND((E54/D54)*1000,2)</f>
        <v>68.849999999999994</v>
      </c>
      <c r="J54" s="7">
        <f>ROUND((F54/D54)*1000,2)</f>
        <v>-5.31</v>
      </c>
      <c r="K54" s="7">
        <f>I54+J54</f>
        <v>63.539999999999992</v>
      </c>
      <c r="L54" s="7">
        <f>ROUND((G54/D54)*1000,2)</f>
        <v>9.7899999999999991</v>
      </c>
      <c r="M54" s="7">
        <f>K54+L54</f>
        <v>73.329999999999984</v>
      </c>
      <c r="N54" s="1">
        <v>31</v>
      </c>
      <c r="O54" s="6">
        <f>ROUND(D54/(C54*24*N54),4)</f>
        <v>0.4738</v>
      </c>
    </row>
    <row r="55" spans="1:15" x14ac:dyDescent="0.2">
      <c r="A55" s="1">
        <f t="shared" si="0"/>
        <v>55</v>
      </c>
      <c r="I55" s="7"/>
      <c r="J55" s="7"/>
      <c r="K55" s="7"/>
      <c r="L55" s="7"/>
      <c r="M55" s="7"/>
      <c r="N55" s="1"/>
      <c r="O55" s="6"/>
    </row>
    <row r="56" spans="1:15" x14ac:dyDescent="0.2">
      <c r="A56" s="1">
        <f t="shared" si="0"/>
        <v>56</v>
      </c>
      <c r="B56" t="s">
        <v>17</v>
      </c>
      <c r="C56" s="1">
        <f>C23-'Calculation on 58MW'!D32</f>
        <v>165253</v>
      </c>
      <c r="D56" s="1">
        <f>D23-'Calculation on 58MW'!E32</f>
        <v>58219261</v>
      </c>
      <c r="E56" s="5">
        <f>E23-'Calculation on 58MW'!P32</f>
        <v>3997837</v>
      </c>
      <c r="F56" s="5">
        <f>F23-'Calculation on 58MW'!Q32</f>
        <v>-292739</v>
      </c>
      <c r="G56" s="5">
        <f>G23-'Calculation on 58MW'!S32</f>
        <v>735833</v>
      </c>
      <c r="H56" s="5">
        <f>E56+F56+G56</f>
        <v>4440931</v>
      </c>
      <c r="I56" s="7">
        <f>ROUND((E56/D56)*1000,2)</f>
        <v>68.67</v>
      </c>
      <c r="J56" s="7">
        <f>ROUND((F56/D56)*1000,2)</f>
        <v>-5.03</v>
      </c>
      <c r="K56" s="7">
        <f>I56+J56</f>
        <v>63.64</v>
      </c>
      <c r="L56" s="7">
        <f>ROUND((G56/D56)*1000,2)</f>
        <v>12.64</v>
      </c>
      <c r="M56" s="7">
        <f>K56+L56</f>
        <v>76.28</v>
      </c>
      <c r="N56" s="1">
        <v>30</v>
      </c>
      <c r="O56" s="6">
        <f>ROUND(D56/(C56*24*N56),4)</f>
        <v>0.48930000000000001</v>
      </c>
    </row>
    <row r="57" spans="1:15" x14ac:dyDescent="0.2">
      <c r="A57" s="1">
        <f t="shared" si="0"/>
        <v>57</v>
      </c>
      <c r="I57" s="7"/>
      <c r="J57" s="7"/>
      <c r="K57" s="7"/>
      <c r="L57" s="7"/>
      <c r="M57" s="7"/>
      <c r="N57" s="1"/>
      <c r="O57" s="6"/>
    </row>
    <row r="58" spans="1:15" x14ac:dyDescent="0.2">
      <c r="A58" s="1">
        <f t="shared" si="0"/>
        <v>58</v>
      </c>
      <c r="B58" t="s">
        <v>18</v>
      </c>
      <c r="C58" s="1">
        <f>C25-'Calculation on 58MW'!D34</f>
        <v>190069</v>
      </c>
      <c r="D58" s="1">
        <f>D25-'Calculation on 58MW'!E34</f>
        <v>74969139</v>
      </c>
      <c r="E58" s="5">
        <f>E25-'Calculation on 58MW'!P34</f>
        <v>4985700</v>
      </c>
      <c r="F58" s="5">
        <f>F25-'Calculation on 58MW'!Q34</f>
        <v>-487891</v>
      </c>
      <c r="G58" s="5">
        <f>G25-'Calculation on 58MW'!S34</f>
        <v>815452</v>
      </c>
      <c r="H58" s="5">
        <f>E58+F58+G58</f>
        <v>5313261</v>
      </c>
      <c r="I58" s="7">
        <f>ROUND((E58/D58)*1000,2)</f>
        <v>66.5</v>
      </c>
      <c r="J58" s="7">
        <f>ROUND((F58/D58)*1000,2)</f>
        <v>-6.51</v>
      </c>
      <c r="K58" s="7">
        <f>I58+J58</f>
        <v>59.99</v>
      </c>
      <c r="L58" s="7">
        <f>ROUND((G58/D58)*1000,2)</f>
        <v>10.88</v>
      </c>
      <c r="M58" s="7">
        <f>K58+L58</f>
        <v>70.87</v>
      </c>
      <c r="N58" s="1">
        <v>31</v>
      </c>
      <c r="O58" s="6">
        <f>ROUND(D58/(C58*24*N58),4)</f>
        <v>0.53010000000000002</v>
      </c>
    </row>
    <row r="59" spans="1:15" x14ac:dyDescent="0.2">
      <c r="A59" s="1">
        <f t="shared" si="0"/>
        <v>59</v>
      </c>
      <c r="I59" s="7"/>
      <c r="J59" s="7"/>
      <c r="K59" s="7"/>
      <c r="L59" s="7"/>
      <c r="M59" s="7"/>
      <c r="N59" s="1"/>
      <c r="O59" s="6"/>
    </row>
    <row r="60" spans="1:15" x14ac:dyDescent="0.2">
      <c r="A60" s="1">
        <f t="shared" si="0"/>
        <v>60</v>
      </c>
      <c r="B60" t="s">
        <v>19</v>
      </c>
      <c r="C60" s="1">
        <f>C27-'Calculation on 58MW'!D36</f>
        <v>171842</v>
      </c>
      <c r="D60" s="1">
        <f>D27-'Calculation on 58MW'!E36</f>
        <v>65489725</v>
      </c>
      <c r="E60" s="5">
        <f>E27-'Calculation on 58MW'!P36</f>
        <v>4397140</v>
      </c>
      <c r="F60" s="5">
        <f>F27-'Calculation on 58MW'!Q36</f>
        <v>-346014</v>
      </c>
      <c r="G60" s="5">
        <f>G27-'Calculation on 58MW'!S36</f>
        <v>719076</v>
      </c>
      <c r="H60" s="5">
        <f>E60+F60+G60</f>
        <v>4770202</v>
      </c>
      <c r="I60" s="7">
        <f>ROUND((E60/D60)*1000,2)</f>
        <v>67.14</v>
      </c>
      <c r="J60" s="7">
        <f>ROUND((F60/D60)*1000,2)</f>
        <v>-5.28</v>
      </c>
      <c r="K60" s="7">
        <f>I60+J60</f>
        <v>61.86</v>
      </c>
      <c r="L60" s="7">
        <f>ROUND((G60/D60)*1000,2)</f>
        <v>10.98</v>
      </c>
      <c r="M60" s="7">
        <f>K60+L60</f>
        <v>72.84</v>
      </c>
      <c r="N60" s="1">
        <v>31</v>
      </c>
      <c r="O60" s="6">
        <f>ROUND(D60/(C60*24*N60),4)</f>
        <v>0.51219999999999999</v>
      </c>
    </row>
    <row r="61" spans="1:15" x14ac:dyDescent="0.2">
      <c r="A61" s="1">
        <f t="shared" si="0"/>
        <v>61</v>
      </c>
      <c r="I61" s="7"/>
      <c r="J61" s="7"/>
      <c r="K61" s="7"/>
      <c r="L61" s="7"/>
      <c r="M61" s="7"/>
      <c r="N61" s="1"/>
      <c r="O61" s="6"/>
    </row>
    <row r="62" spans="1:15" x14ac:dyDescent="0.2">
      <c r="A62" s="1">
        <f t="shared" si="0"/>
        <v>62</v>
      </c>
      <c r="B62" t="s">
        <v>20</v>
      </c>
      <c r="C62" s="1">
        <f>C29-'Calculation on 58MW'!D38</f>
        <v>138183</v>
      </c>
      <c r="D62" s="1">
        <f>D29-'Calculation on 58MW'!E38</f>
        <v>48731676</v>
      </c>
      <c r="E62" s="5">
        <f>E29-'Calculation on 58MW'!P38</f>
        <v>3236333</v>
      </c>
      <c r="F62" s="5">
        <f>F29-'Calculation on 58MW'!Q38</f>
        <v>-340005</v>
      </c>
      <c r="G62" s="5">
        <f>G29-'Calculation on 58MW'!S38</f>
        <v>460228</v>
      </c>
      <c r="H62" s="5">
        <f>E62+F62+G62</f>
        <v>3356556</v>
      </c>
      <c r="I62" s="7">
        <f>ROUND((E62/D62)*1000,2)</f>
        <v>66.41</v>
      </c>
      <c r="J62" s="7">
        <f>ROUND((F62/D62)*1000,2)</f>
        <v>-6.98</v>
      </c>
      <c r="K62" s="7">
        <f>I62+J62</f>
        <v>59.429999999999993</v>
      </c>
      <c r="L62" s="7">
        <f>ROUND((G62/D62)*1000,2)</f>
        <v>9.44</v>
      </c>
      <c r="M62" s="7">
        <f>K62+L62</f>
        <v>68.86999999999999</v>
      </c>
      <c r="N62" s="1">
        <v>30</v>
      </c>
      <c r="O62" s="6">
        <f>ROUND(D62/(C62*24*N62),4)</f>
        <v>0.48980000000000001</v>
      </c>
    </row>
    <row r="63" spans="1:15" x14ac:dyDescent="0.2">
      <c r="A63" s="1">
        <f t="shared" si="0"/>
        <v>63</v>
      </c>
      <c r="I63" s="7"/>
      <c r="J63" s="7"/>
      <c r="K63" s="7"/>
      <c r="L63" s="7"/>
      <c r="M63" s="7"/>
      <c r="N63" s="1"/>
      <c r="O63" s="6"/>
    </row>
    <row r="64" spans="1:15" x14ac:dyDescent="0.2">
      <c r="A64" s="1">
        <f t="shared" si="0"/>
        <v>64</v>
      </c>
      <c r="B64" t="s">
        <v>21</v>
      </c>
      <c r="C64" s="1">
        <f>C31-'Calculation on 58MW'!D40</f>
        <v>184393</v>
      </c>
      <c r="D64" s="1">
        <f>D31-'Calculation on 58MW'!E40</f>
        <v>49718513</v>
      </c>
      <c r="E64" s="5">
        <f>E31-'Calculation on 58MW'!P40</f>
        <v>3498836</v>
      </c>
      <c r="F64" s="5">
        <f>F31-'Calculation on 58MW'!Q40</f>
        <v>-131505</v>
      </c>
      <c r="G64" s="5">
        <f>G31-'Calculation on 58MW'!S40</f>
        <v>590292</v>
      </c>
      <c r="H64" s="5">
        <f>E64+F64+G64</f>
        <v>3957623</v>
      </c>
      <c r="I64" s="7">
        <f>ROUND((E64/D64)*1000,2)</f>
        <v>70.37</v>
      </c>
      <c r="J64" s="7">
        <f>ROUND((F64/D64)*1000,2)</f>
        <v>-2.64</v>
      </c>
      <c r="K64" s="7">
        <f>I64+J64</f>
        <v>67.73</v>
      </c>
      <c r="L64" s="7">
        <f>ROUND((G64/D64)*1000,2)</f>
        <v>11.87</v>
      </c>
      <c r="M64" s="7">
        <f>K64+L64</f>
        <v>79.600000000000009</v>
      </c>
      <c r="N64" s="1">
        <v>31</v>
      </c>
      <c r="O64" s="6">
        <f>ROUND(D64/(C64*24*N64),4)</f>
        <v>0.3624</v>
      </c>
    </row>
    <row r="65" spans="1:15" x14ac:dyDescent="0.2">
      <c r="A65" s="1">
        <f t="shared" si="0"/>
        <v>65</v>
      </c>
      <c r="I65" s="7"/>
      <c r="J65" s="7"/>
      <c r="K65" s="7"/>
      <c r="L65" s="7"/>
      <c r="M65" s="7"/>
      <c r="N65" s="1"/>
      <c r="O65" s="6"/>
    </row>
    <row r="66" spans="1:15" x14ac:dyDescent="0.2">
      <c r="A66" s="1">
        <f t="shared" si="0"/>
        <v>66</v>
      </c>
      <c r="B66" t="s">
        <v>22</v>
      </c>
      <c r="C66" s="1">
        <f>C33-'Calculation on 58MW'!D42</f>
        <v>217950</v>
      </c>
      <c r="D66" s="1">
        <f>D33-'Calculation on 58MW'!E42</f>
        <v>63394553</v>
      </c>
      <c r="E66" s="5">
        <f>E33-'Calculation on 58MW'!P42</f>
        <v>4325123</v>
      </c>
      <c r="F66" s="5">
        <f>F33-'Calculation on 58MW'!Q42</f>
        <v>-205520</v>
      </c>
      <c r="G66" s="5">
        <f>G33-'Calculation on 58MW'!S42</f>
        <v>844930</v>
      </c>
      <c r="H66" s="5">
        <f>E66+F66+G66</f>
        <v>4964533</v>
      </c>
      <c r="I66" s="7">
        <f>ROUND((E66/D66)*1000,2)</f>
        <v>68.23</v>
      </c>
      <c r="J66" s="7">
        <f>ROUND((F66/D66)*1000,2)</f>
        <v>-3.24</v>
      </c>
      <c r="K66" s="7">
        <f>I66+J66</f>
        <v>64.990000000000009</v>
      </c>
      <c r="L66" s="7">
        <f>ROUND((G66/D66)*1000,2)</f>
        <v>13.33</v>
      </c>
      <c r="M66" s="7">
        <f>K66+L66</f>
        <v>78.320000000000007</v>
      </c>
      <c r="N66" s="1">
        <v>30</v>
      </c>
      <c r="O66" s="6">
        <f>ROUND(D66/(C66*24*N66),4)</f>
        <v>0.40400000000000003</v>
      </c>
    </row>
    <row r="67" spans="1:15" x14ac:dyDescent="0.2">
      <c r="A67" s="1">
        <f t="shared" si="0"/>
        <v>67</v>
      </c>
      <c r="I67" s="7"/>
      <c r="J67" s="7"/>
      <c r="K67" s="7"/>
      <c r="L67" s="7"/>
      <c r="M67" s="7"/>
      <c r="N67" s="1"/>
      <c r="O67" s="6"/>
    </row>
    <row r="68" spans="1:15" x14ac:dyDescent="0.2">
      <c r="A68" s="1">
        <f t="shared" si="0"/>
        <v>68</v>
      </c>
      <c r="B68" t="s">
        <v>23</v>
      </c>
      <c r="C68" s="1">
        <f>SUM(C44:C66)</f>
        <v>2391427</v>
      </c>
      <c r="D68" s="1">
        <f>SUM(D44:D66)</f>
        <v>760259577</v>
      </c>
      <c r="E68" s="5">
        <f>SUM(E44:E66)</f>
        <v>52433740</v>
      </c>
      <c r="F68" s="5">
        <f t="shared" ref="F68:H68" si="2">SUM(F44:F66)</f>
        <v>-3644605</v>
      </c>
      <c r="G68" s="5">
        <f t="shared" si="2"/>
        <v>8238615</v>
      </c>
      <c r="H68" s="5">
        <f t="shared" si="2"/>
        <v>57027750</v>
      </c>
      <c r="I68" s="7">
        <f>ROUND((E68/D68)*1000,2)</f>
        <v>68.97</v>
      </c>
      <c r="J68" s="7">
        <f>ROUND((F68/D68)*1000,2)</f>
        <v>-4.79</v>
      </c>
      <c r="K68" s="7">
        <f>I68+J68</f>
        <v>64.179999999999993</v>
      </c>
      <c r="L68" s="7">
        <f>ROUND((G68/D68)*1000,2)</f>
        <v>10.84</v>
      </c>
      <c r="M68" s="7">
        <f>K68+L68</f>
        <v>75.02</v>
      </c>
      <c r="N68" s="8">
        <f>ROUND(SUM(N44:N66)/12,2)</f>
        <v>30.42</v>
      </c>
      <c r="O68" s="6">
        <f>ROUND(D68/(C68*24*N68),4)</f>
        <v>0.43540000000000001</v>
      </c>
    </row>
    <row r="69" spans="1:15" x14ac:dyDescent="0.2">
      <c r="A69" s="1">
        <f t="shared" si="0"/>
        <v>69</v>
      </c>
    </row>
    <row r="70" spans="1:15" x14ac:dyDescent="0.2">
      <c r="A70" s="1">
        <f t="shared" si="0"/>
        <v>70</v>
      </c>
    </row>
    <row r="71" spans="1:15" x14ac:dyDescent="0.2">
      <c r="A71" s="1">
        <f t="shared" si="0"/>
        <v>71</v>
      </c>
    </row>
    <row r="72" spans="1:15" ht="15" x14ac:dyDescent="0.25">
      <c r="A72" s="1">
        <f t="shared" ref="A72:A116" si="3">A71+1</f>
        <v>72</v>
      </c>
      <c r="B72" s="2" t="s">
        <v>46</v>
      </c>
    </row>
    <row r="73" spans="1:15" x14ac:dyDescent="0.2">
      <c r="A73" s="1">
        <f t="shared" si="3"/>
        <v>73</v>
      </c>
    </row>
    <row r="74" spans="1:15" x14ac:dyDescent="0.2">
      <c r="A74" s="1">
        <f t="shared" si="3"/>
        <v>74</v>
      </c>
      <c r="E74" s="34" t="s">
        <v>4</v>
      </c>
      <c r="F74" s="35"/>
      <c r="G74" s="35"/>
      <c r="H74" s="36"/>
      <c r="I74" s="34" t="s">
        <v>24</v>
      </c>
      <c r="J74" s="35"/>
      <c r="K74" s="35"/>
      <c r="L74" s="35"/>
      <c r="M74" s="36"/>
      <c r="N74" s="3"/>
      <c r="O74" s="3" t="s">
        <v>10</v>
      </c>
    </row>
    <row r="75" spans="1:15" ht="15" thickBot="1" x14ac:dyDescent="0.25">
      <c r="A75" s="1">
        <f t="shared" si="3"/>
        <v>75</v>
      </c>
      <c r="B75" s="4" t="s">
        <v>1</v>
      </c>
      <c r="C75" s="4" t="s">
        <v>2</v>
      </c>
      <c r="D75" s="4" t="s">
        <v>3</v>
      </c>
      <c r="E75" s="4" t="s">
        <v>5</v>
      </c>
      <c r="F75" s="4" t="s">
        <v>6</v>
      </c>
      <c r="G75" s="4" t="s">
        <v>7</v>
      </c>
      <c r="H75" s="4" t="s">
        <v>8</v>
      </c>
      <c r="I75" s="4" t="s">
        <v>5</v>
      </c>
      <c r="J75" s="4" t="s">
        <v>6</v>
      </c>
      <c r="K75" s="4" t="s">
        <v>25</v>
      </c>
      <c r="L75" s="4" t="s">
        <v>7</v>
      </c>
      <c r="M75" s="4" t="s">
        <v>8</v>
      </c>
      <c r="N75" s="4"/>
      <c r="O75" s="4" t="s">
        <v>11</v>
      </c>
    </row>
    <row r="76" spans="1:15" x14ac:dyDescent="0.2">
      <c r="A76" s="1">
        <f t="shared" si="3"/>
        <v>76</v>
      </c>
    </row>
    <row r="77" spans="1:15" x14ac:dyDescent="0.2">
      <c r="A77" s="1">
        <f t="shared" si="3"/>
        <v>77</v>
      </c>
      <c r="B77" s="15" t="s">
        <v>49</v>
      </c>
      <c r="C77" s="1">
        <f>C44-C11</f>
        <v>-58000</v>
      </c>
      <c r="D77" s="1">
        <f>D44-D11</f>
        <v>-43152000</v>
      </c>
      <c r="E77" s="5">
        <f>E44-E11</f>
        <v>-2428642</v>
      </c>
      <c r="F77" s="5">
        <f t="shared" ref="F77:H77" si="4">F44-F11</f>
        <v>169156</v>
      </c>
      <c r="G77" s="5">
        <f t="shared" si="4"/>
        <v>-450767</v>
      </c>
      <c r="H77" s="5">
        <f t="shared" si="4"/>
        <v>-2710253</v>
      </c>
      <c r="I77" s="7">
        <f>I44-I11</f>
        <v>3.1600000000000037</v>
      </c>
      <c r="J77" s="11">
        <f t="shared" ref="J77:M77" si="5">J44-J11</f>
        <v>0</v>
      </c>
      <c r="K77" s="7">
        <f t="shared" si="5"/>
        <v>3.1600000000000108</v>
      </c>
      <c r="L77" s="7">
        <f t="shared" si="5"/>
        <v>0.62999999999999901</v>
      </c>
      <c r="M77" s="7">
        <f t="shared" si="5"/>
        <v>3.7900000000000063</v>
      </c>
      <c r="O77" s="6">
        <f>O44-O11</f>
        <v>-9.430000000000005E-2</v>
      </c>
    </row>
    <row r="78" spans="1:15" x14ac:dyDescent="0.2">
      <c r="A78" s="1">
        <f t="shared" si="3"/>
        <v>78</v>
      </c>
      <c r="B78" s="15"/>
      <c r="C78" s="10">
        <f>ROUND(C77/C11,6)</f>
        <v>-0.18201600000000001</v>
      </c>
      <c r="D78" s="10">
        <f t="shared" ref="D78:M78" si="6">ROUND(D77/D11,6)</f>
        <v>-0.315803</v>
      </c>
      <c r="E78" s="10">
        <f t="shared" si="6"/>
        <v>-0.281559</v>
      </c>
      <c r="F78" s="10">
        <f t="shared" si="6"/>
        <v>-0.316608</v>
      </c>
      <c r="G78" s="10">
        <f t="shared" si="6"/>
        <v>-0.27924399999999999</v>
      </c>
      <c r="H78" s="10">
        <f t="shared" si="6"/>
        <v>-0.27924399999999999</v>
      </c>
      <c r="I78" s="10">
        <f t="shared" si="6"/>
        <v>5.0055000000000002E-2</v>
      </c>
      <c r="J78" s="12">
        <f t="shared" si="6"/>
        <v>0</v>
      </c>
      <c r="K78" s="10">
        <f t="shared" si="6"/>
        <v>5.3359999999999998E-2</v>
      </c>
      <c r="L78" s="10">
        <f t="shared" si="6"/>
        <v>5.3344999999999997E-2</v>
      </c>
      <c r="M78" s="10">
        <f t="shared" si="6"/>
        <v>5.3358000000000003E-2</v>
      </c>
      <c r="N78" s="10"/>
      <c r="O78" s="10">
        <f>ROUND(O77/O11,6)</f>
        <v>-0.163602</v>
      </c>
    </row>
    <row r="79" spans="1:15" x14ac:dyDescent="0.2">
      <c r="A79" s="1">
        <f t="shared" si="3"/>
        <v>79</v>
      </c>
      <c r="J79" s="13"/>
    </row>
    <row r="80" spans="1:15" x14ac:dyDescent="0.2">
      <c r="A80" s="1">
        <f t="shared" si="3"/>
        <v>80</v>
      </c>
      <c r="B80" t="s">
        <v>12</v>
      </c>
      <c r="C80" s="1">
        <f t="shared" ref="C80:M80" si="7">C46-C13</f>
        <v>-58000</v>
      </c>
      <c r="D80" s="1">
        <f t="shared" si="7"/>
        <v>-43152000</v>
      </c>
      <c r="E80" s="5">
        <f t="shared" si="7"/>
        <v>-2428642</v>
      </c>
      <c r="F80" s="5">
        <f t="shared" si="7"/>
        <v>139381</v>
      </c>
      <c r="G80" s="5">
        <f t="shared" si="7"/>
        <v>-387343</v>
      </c>
      <c r="H80" s="5">
        <f t="shared" si="7"/>
        <v>-2676604</v>
      </c>
      <c r="I80" s="7">
        <f t="shared" si="7"/>
        <v>5.1099999999999994</v>
      </c>
      <c r="J80" s="11">
        <f t="shared" si="7"/>
        <v>9.9999999999997868E-3</v>
      </c>
      <c r="K80" s="7">
        <f t="shared" si="7"/>
        <v>5.1199999999999974</v>
      </c>
      <c r="L80" s="7">
        <f t="shared" si="7"/>
        <v>0.86000000000000121</v>
      </c>
      <c r="M80" s="7">
        <f t="shared" si="7"/>
        <v>5.9799999999999898</v>
      </c>
      <c r="O80" s="6">
        <f>O46-O13</f>
        <v>-9.9100000000000021E-2</v>
      </c>
    </row>
    <row r="81" spans="1:15" x14ac:dyDescent="0.2">
      <c r="A81" s="1">
        <f t="shared" si="3"/>
        <v>81</v>
      </c>
      <c r="C81" s="10">
        <f t="shared" ref="C81:H81" si="8">ROUND(C80/C13,6)</f>
        <v>-0.156999</v>
      </c>
      <c r="D81" s="10">
        <f t="shared" si="8"/>
        <v>-0.33541300000000002</v>
      </c>
      <c r="E81" s="10">
        <f t="shared" si="8"/>
        <v>-0.284277</v>
      </c>
      <c r="F81" s="10">
        <f t="shared" si="8"/>
        <v>-0.33590999999999999</v>
      </c>
      <c r="G81" s="10">
        <f t="shared" si="8"/>
        <v>-0.281642</v>
      </c>
      <c r="H81" s="10">
        <f t="shared" si="8"/>
        <v>-0.281642</v>
      </c>
      <c r="I81" s="10">
        <f t="shared" ref="I81:O81" si="9">ROUND(I80/I13,6)</f>
        <v>7.6957999999999999E-2</v>
      </c>
      <c r="J81" s="12">
        <f t="shared" si="9"/>
        <v>-3.0959999999999998E-3</v>
      </c>
      <c r="K81" s="10">
        <f t="shared" si="9"/>
        <v>8.1050999999999998E-2</v>
      </c>
      <c r="L81" s="10">
        <f t="shared" si="9"/>
        <v>8.0449000000000007E-2</v>
      </c>
      <c r="M81" s="10">
        <f t="shared" si="9"/>
        <v>8.0963999999999994E-2</v>
      </c>
      <c r="N81" s="10"/>
      <c r="O81" s="10">
        <f t="shared" si="9"/>
        <v>-0.21170700000000001</v>
      </c>
    </row>
    <row r="82" spans="1:15" x14ac:dyDescent="0.2">
      <c r="A82" s="1">
        <f t="shared" si="3"/>
        <v>82</v>
      </c>
      <c r="J82" s="13"/>
    </row>
    <row r="83" spans="1:15" x14ac:dyDescent="0.2">
      <c r="A83" s="1">
        <f t="shared" si="3"/>
        <v>83</v>
      </c>
      <c r="B83" t="s">
        <v>13</v>
      </c>
      <c r="C83" s="1">
        <f>C48-C15</f>
        <v>-58000</v>
      </c>
      <c r="D83" s="1">
        <f>D48-D15</f>
        <v>-38976000</v>
      </c>
      <c r="E83" s="5">
        <f>E48-E15</f>
        <v>-2227402</v>
      </c>
      <c r="F83" s="5">
        <f t="shared" ref="F83:H83" si="10">F48-F15</f>
        <v>155124</v>
      </c>
      <c r="G83" s="5">
        <f t="shared" si="10"/>
        <v>-232302</v>
      </c>
      <c r="H83" s="5">
        <f t="shared" si="10"/>
        <v>-2304580</v>
      </c>
      <c r="I83" s="7">
        <f>I48-I15</f>
        <v>6.019999999999996</v>
      </c>
      <c r="J83" s="11">
        <f t="shared" ref="J83:M83" si="11">J48-J15</f>
        <v>9.9999999999997868E-3</v>
      </c>
      <c r="K83" s="7">
        <f t="shared" si="11"/>
        <v>6.029999999999994</v>
      </c>
      <c r="L83" s="7">
        <f t="shared" si="11"/>
        <v>0.67000000000000082</v>
      </c>
      <c r="M83" s="7">
        <f t="shared" si="11"/>
        <v>6.7000000000000028</v>
      </c>
      <c r="O83" s="6">
        <f>O48-O15</f>
        <v>-0.11819999999999997</v>
      </c>
    </row>
    <row r="84" spans="1:15" x14ac:dyDescent="0.2">
      <c r="A84" s="1">
        <f t="shared" si="3"/>
        <v>84</v>
      </c>
      <c r="C84" s="10">
        <f>ROUND(C83/C15,6)</f>
        <v>-0.193858</v>
      </c>
      <c r="D84" s="10">
        <f t="shared" ref="D84:M84" si="12">ROUND(D83/D15,6)</f>
        <v>-0.38128899999999999</v>
      </c>
      <c r="E84" s="10">
        <f t="shared" si="12"/>
        <v>-0.32569100000000001</v>
      </c>
      <c r="F84" s="10">
        <f t="shared" si="12"/>
        <v>-0.38280799999999998</v>
      </c>
      <c r="G84" s="10">
        <f t="shared" si="12"/>
        <v>-0.32209399999999999</v>
      </c>
      <c r="H84" s="10">
        <f t="shared" si="12"/>
        <v>-0.32209300000000002</v>
      </c>
      <c r="I84" s="10">
        <f t="shared" si="12"/>
        <v>8.9984999999999996E-2</v>
      </c>
      <c r="J84" s="12">
        <f t="shared" si="12"/>
        <v>-2.5249999999999999E-3</v>
      </c>
      <c r="K84" s="10">
        <f t="shared" si="12"/>
        <v>9.5806000000000002E-2</v>
      </c>
      <c r="L84" s="10">
        <f t="shared" si="12"/>
        <v>9.4900999999999999E-2</v>
      </c>
      <c r="M84" s="10">
        <f t="shared" si="12"/>
        <v>9.5713999999999994E-2</v>
      </c>
      <c r="N84" s="10"/>
      <c r="O84" s="10">
        <f>ROUND(O83/O15,6)</f>
        <v>-0.23249400000000001</v>
      </c>
    </row>
    <row r="85" spans="1:15" x14ac:dyDescent="0.2">
      <c r="A85" s="1">
        <f t="shared" si="3"/>
        <v>85</v>
      </c>
      <c r="J85" s="13"/>
    </row>
    <row r="86" spans="1:15" x14ac:dyDescent="0.2">
      <c r="A86" s="1">
        <f t="shared" si="3"/>
        <v>86</v>
      </c>
      <c r="B86" t="s">
        <v>14</v>
      </c>
      <c r="C86" s="1">
        <f>C50-C17</f>
        <v>-58000</v>
      </c>
      <c r="D86" s="1">
        <f>D50-D17</f>
        <v>-43152000</v>
      </c>
      <c r="E86" s="5">
        <f>E50-E17</f>
        <v>-2428642</v>
      </c>
      <c r="F86" s="5">
        <f t="shared" ref="F86:H86" si="13">F50-F17</f>
        <v>318893</v>
      </c>
      <c r="G86" s="5">
        <f t="shared" si="13"/>
        <v>-258655</v>
      </c>
      <c r="H86" s="5">
        <f t="shared" si="13"/>
        <v>-2368404</v>
      </c>
      <c r="I86" s="7">
        <f>I50-I17</f>
        <v>6.5699999999999932</v>
      </c>
      <c r="J86" s="11">
        <f t="shared" ref="J86:M86" si="14">J50-J17</f>
        <v>9.9999999999997868E-3</v>
      </c>
      <c r="K86" s="7">
        <f t="shared" si="14"/>
        <v>6.5799999999999912</v>
      </c>
      <c r="L86" s="7">
        <f t="shared" si="14"/>
        <v>0.80999999999999961</v>
      </c>
      <c r="M86" s="7">
        <f t="shared" si="14"/>
        <v>7.3899999999999864</v>
      </c>
      <c r="O86" s="6">
        <f>O50-O17</f>
        <v>-0.12179999999999996</v>
      </c>
    </row>
    <row r="87" spans="1:15" x14ac:dyDescent="0.2">
      <c r="A87" s="1">
        <f t="shared" si="3"/>
        <v>87</v>
      </c>
      <c r="C87" s="10">
        <f>ROUND(C86/C17,6)</f>
        <v>-0.18833900000000001</v>
      </c>
      <c r="D87" s="10">
        <f t="shared" ref="D87:M87" si="15">ROUND(D86/D17,6)</f>
        <v>-0.39646599999999999</v>
      </c>
      <c r="E87" s="10">
        <f t="shared" si="15"/>
        <v>-0.33664300000000003</v>
      </c>
      <c r="F87" s="10">
        <f t="shared" si="15"/>
        <v>-0.39744800000000002</v>
      </c>
      <c r="G87" s="10">
        <f t="shared" si="15"/>
        <v>-0.32903399999999999</v>
      </c>
      <c r="H87" s="10">
        <f t="shared" si="15"/>
        <v>-0.32903500000000002</v>
      </c>
      <c r="I87" s="10">
        <f t="shared" si="15"/>
        <v>9.9125000000000005E-2</v>
      </c>
      <c r="J87" s="12">
        <f t="shared" si="15"/>
        <v>-1.3569999999999999E-3</v>
      </c>
      <c r="K87" s="10">
        <f t="shared" si="15"/>
        <v>0.111696</v>
      </c>
      <c r="L87" s="10">
        <f t="shared" si="15"/>
        <v>0.112188</v>
      </c>
      <c r="M87" s="10">
        <f t="shared" si="15"/>
        <v>0.11175</v>
      </c>
      <c r="N87" s="10"/>
      <c r="O87" s="10">
        <f>ROUND(O86/O17,6)</f>
        <v>-0.25642100000000001</v>
      </c>
    </row>
    <row r="88" spans="1:15" x14ac:dyDescent="0.2">
      <c r="A88" s="1">
        <f t="shared" si="3"/>
        <v>88</v>
      </c>
      <c r="J88" s="13"/>
    </row>
    <row r="89" spans="1:15" x14ac:dyDescent="0.2">
      <c r="A89" s="1">
        <f t="shared" si="3"/>
        <v>89</v>
      </c>
      <c r="B89" t="s">
        <v>15</v>
      </c>
      <c r="C89" s="1">
        <f>C52-C19</f>
        <v>-58000</v>
      </c>
      <c r="D89" s="1">
        <f>D52-D19</f>
        <v>-41760000</v>
      </c>
      <c r="E89" s="5">
        <f>E52-E19</f>
        <v>-2361562</v>
      </c>
      <c r="F89" s="5">
        <f t="shared" ref="F89:H89" si="16">F52-F19</f>
        <v>202954</v>
      </c>
      <c r="G89" s="5">
        <f t="shared" si="16"/>
        <v>-339549</v>
      </c>
      <c r="H89" s="5">
        <f t="shared" si="16"/>
        <v>-2498157</v>
      </c>
      <c r="I89" s="7">
        <f>I52-I19</f>
        <v>5.5799999999999983</v>
      </c>
      <c r="J89" s="11">
        <f t="shared" ref="J89:M89" si="17">J52-J19</f>
        <v>9.9999999999997868E-3</v>
      </c>
      <c r="K89" s="7">
        <f t="shared" si="17"/>
        <v>5.5899999999999963</v>
      </c>
      <c r="L89" s="7">
        <f t="shared" si="17"/>
        <v>0.87999999999999901</v>
      </c>
      <c r="M89" s="7">
        <f t="shared" si="17"/>
        <v>6.4699999999999989</v>
      </c>
      <c r="O89" s="6">
        <f>O52-O19</f>
        <v>-0.16229999999999994</v>
      </c>
    </row>
    <row r="90" spans="1:15" x14ac:dyDescent="0.2">
      <c r="A90" s="1">
        <f t="shared" si="3"/>
        <v>90</v>
      </c>
      <c r="C90" s="10">
        <f>ROUND(C89/C19,6)</f>
        <v>-0.31769199999999997</v>
      </c>
      <c r="D90" s="10">
        <f t="shared" ref="D90:M90" si="18">ROUND(D89/D19,6)</f>
        <v>-0.487591</v>
      </c>
      <c r="E90" s="10">
        <f t="shared" si="18"/>
        <v>-0.44176599999999999</v>
      </c>
      <c r="F90" s="10">
        <f t="shared" si="18"/>
        <v>-0.488873</v>
      </c>
      <c r="G90" s="10">
        <f t="shared" si="18"/>
        <v>-0.43779699999999999</v>
      </c>
      <c r="H90" s="10">
        <f t="shared" si="18"/>
        <v>-0.43779899999999999</v>
      </c>
      <c r="I90" s="10">
        <f t="shared" si="18"/>
        <v>8.9394000000000001E-2</v>
      </c>
      <c r="J90" s="12">
        <f t="shared" si="18"/>
        <v>-2.062E-3</v>
      </c>
      <c r="K90" s="10">
        <f t="shared" si="18"/>
        <v>9.7099000000000005E-2</v>
      </c>
      <c r="L90" s="10">
        <f t="shared" si="18"/>
        <v>9.7129999999999994E-2</v>
      </c>
      <c r="M90" s="10">
        <f t="shared" si="18"/>
        <v>9.7102999999999995E-2</v>
      </c>
      <c r="N90" s="10"/>
      <c r="O90" s="10">
        <f>ROUND(O89/O19,6)</f>
        <v>-0.24907899999999999</v>
      </c>
    </row>
    <row r="91" spans="1:15" x14ac:dyDescent="0.2">
      <c r="A91" s="1">
        <f t="shared" si="3"/>
        <v>91</v>
      </c>
      <c r="J91" s="13"/>
    </row>
    <row r="92" spans="1:15" x14ac:dyDescent="0.2">
      <c r="A92" s="1">
        <f t="shared" si="3"/>
        <v>92</v>
      </c>
      <c r="B92" t="s">
        <v>16</v>
      </c>
      <c r="C92" s="1">
        <f>C54-C21</f>
        <v>-58000</v>
      </c>
      <c r="D92" s="1">
        <f>D54-D21</f>
        <v>-43152000</v>
      </c>
      <c r="E92" s="5">
        <f>E54-E21</f>
        <v>-2460005</v>
      </c>
      <c r="F92" s="5">
        <f t="shared" ref="F92:H92" si="19">F54-F21</f>
        <v>229569</v>
      </c>
      <c r="G92" s="5">
        <f t="shared" si="19"/>
        <v>-343487</v>
      </c>
      <c r="H92" s="5">
        <f t="shared" si="19"/>
        <v>-2573923</v>
      </c>
      <c r="I92" s="7">
        <f>I54-I21</f>
        <v>5.6099999999999923</v>
      </c>
      <c r="J92" s="11">
        <f t="shared" ref="J92:M92" si="20">J54-J21</f>
        <v>1.0000000000000675E-2</v>
      </c>
      <c r="K92" s="7">
        <f t="shared" si="20"/>
        <v>5.6199999999999903</v>
      </c>
      <c r="L92" s="7">
        <f t="shared" si="20"/>
        <v>0.86999999999999922</v>
      </c>
      <c r="M92" s="7">
        <f t="shared" si="20"/>
        <v>6.4899999999999807</v>
      </c>
      <c r="O92" s="6">
        <f>O54-O21</f>
        <v>-0.15739999999999998</v>
      </c>
    </row>
    <row r="93" spans="1:15" x14ac:dyDescent="0.2">
      <c r="A93" s="1">
        <f t="shared" si="3"/>
        <v>93</v>
      </c>
      <c r="C93" s="10">
        <f>ROUND(C92/C21,6)</f>
        <v>-0.29905700000000002</v>
      </c>
      <c r="D93" s="10">
        <f t="shared" ref="D93:M93" si="21">ROUND(D92/D21,6)</f>
        <v>-0.4738</v>
      </c>
      <c r="E93" s="10">
        <f t="shared" si="21"/>
        <v>-0.42710500000000001</v>
      </c>
      <c r="F93" s="10">
        <f t="shared" si="21"/>
        <v>-0.474246</v>
      </c>
      <c r="G93" s="10">
        <f t="shared" si="21"/>
        <v>-0.42277799999999999</v>
      </c>
      <c r="H93" s="10">
        <f t="shared" si="21"/>
        <v>-0.42277999999999999</v>
      </c>
      <c r="I93" s="10">
        <f t="shared" si="21"/>
        <v>8.8709999999999997E-2</v>
      </c>
      <c r="J93" s="12">
        <f t="shared" si="21"/>
        <v>-1.8799999999999999E-3</v>
      </c>
      <c r="K93" s="10">
        <f t="shared" si="21"/>
        <v>9.7030000000000005E-2</v>
      </c>
      <c r="L93" s="10">
        <f t="shared" si="21"/>
        <v>9.7533999999999996E-2</v>
      </c>
      <c r="M93" s="10">
        <f t="shared" si="21"/>
        <v>9.7098000000000004E-2</v>
      </c>
      <c r="N93" s="10"/>
      <c r="O93" s="10">
        <f>ROUND(O92/O21,6)</f>
        <v>-0.249366</v>
      </c>
    </row>
    <row r="94" spans="1:15" x14ac:dyDescent="0.2">
      <c r="A94" s="1">
        <f t="shared" si="3"/>
        <v>94</v>
      </c>
      <c r="J94" s="13"/>
    </row>
    <row r="95" spans="1:15" x14ac:dyDescent="0.2">
      <c r="A95" s="1">
        <f t="shared" si="3"/>
        <v>95</v>
      </c>
      <c r="B95" t="s">
        <v>17</v>
      </c>
      <c r="C95" s="1">
        <f>C56-C23</f>
        <v>-58000</v>
      </c>
      <c r="D95" s="1">
        <f t="shared" ref="D95:M95" si="22">D56-D23</f>
        <v>-41760000</v>
      </c>
      <c r="E95" s="5">
        <f t="shared" si="22"/>
        <v>-2391914</v>
      </c>
      <c r="F95" s="5">
        <f t="shared" si="22"/>
        <v>210888</v>
      </c>
      <c r="G95" s="5">
        <f t="shared" si="22"/>
        <v>-433152</v>
      </c>
      <c r="H95" s="5">
        <f t="shared" si="22"/>
        <v>-2614178</v>
      </c>
      <c r="I95" s="7">
        <f t="shared" si="22"/>
        <v>4.7600000000000051</v>
      </c>
      <c r="J95" s="11">
        <f t="shared" si="22"/>
        <v>9.9999999999997868E-3</v>
      </c>
      <c r="K95" s="7">
        <f t="shared" si="22"/>
        <v>4.7700000000000031</v>
      </c>
      <c r="L95" s="7">
        <f t="shared" si="22"/>
        <v>0.95000000000000107</v>
      </c>
      <c r="M95" s="7">
        <f t="shared" si="22"/>
        <v>5.7199999999999989</v>
      </c>
      <c r="O95" s="6">
        <f>O56-O23</f>
        <v>-0.13269999999999998</v>
      </c>
    </row>
    <row r="96" spans="1:15" x14ac:dyDescent="0.2">
      <c r="A96" s="1">
        <f t="shared" si="3"/>
        <v>96</v>
      </c>
      <c r="C96" s="10">
        <f>ROUND(C95/C23,6)</f>
        <v>-0.259795</v>
      </c>
      <c r="D96" s="10">
        <f t="shared" ref="D96:M96" si="23">ROUND(D95/D23,6)</f>
        <v>-0.41768699999999997</v>
      </c>
      <c r="E96" s="10">
        <f t="shared" si="23"/>
        <v>-0.374336</v>
      </c>
      <c r="F96" s="10">
        <f t="shared" si="23"/>
        <v>-0.418738</v>
      </c>
      <c r="G96" s="10">
        <f t="shared" si="23"/>
        <v>-0.37053700000000001</v>
      </c>
      <c r="H96" s="10">
        <f t="shared" si="23"/>
        <v>-0.37053700000000001</v>
      </c>
      <c r="I96" s="10">
        <f t="shared" si="23"/>
        <v>7.4480000000000005E-2</v>
      </c>
      <c r="J96" s="12">
        <f t="shared" si="23"/>
        <v>-1.9840000000000001E-3</v>
      </c>
      <c r="K96" s="10">
        <f t="shared" si="23"/>
        <v>8.1026000000000001E-2</v>
      </c>
      <c r="L96" s="10">
        <f t="shared" si="23"/>
        <v>8.1266000000000005E-2</v>
      </c>
      <c r="M96" s="10">
        <f t="shared" si="23"/>
        <v>8.1065999999999999E-2</v>
      </c>
      <c r="N96" s="10"/>
      <c r="O96" s="10">
        <f>ROUND(O95/O23,6)</f>
        <v>-0.21334400000000001</v>
      </c>
    </row>
    <row r="97" spans="1:15" x14ac:dyDescent="0.2">
      <c r="A97" s="1">
        <f t="shared" si="3"/>
        <v>97</v>
      </c>
      <c r="J97" s="13"/>
    </row>
    <row r="98" spans="1:15" x14ac:dyDescent="0.2">
      <c r="A98" s="1">
        <f t="shared" si="3"/>
        <v>98</v>
      </c>
      <c r="B98" t="s">
        <v>18</v>
      </c>
      <c r="C98" s="1">
        <f>C58-C25</f>
        <v>-58000</v>
      </c>
      <c r="D98" s="1">
        <f t="shared" ref="D98:O98" si="24">D58-D25</f>
        <v>-43152000</v>
      </c>
      <c r="E98" s="5">
        <f t="shared" si="24"/>
        <v>-2460005</v>
      </c>
      <c r="F98" s="5">
        <f t="shared" si="24"/>
        <v>281783</v>
      </c>
      <c r="G98" s="5">
        <f t="shared" si="24"/>
        <v>-394912</v>
      </c>
      <c r="H98" s="5">
        <f t="shared" si="24"/>
        <v>-2573134</v>
      </c>
      <c r="I98" s="7">
        <f t="shared" si="24"/>
        <v>3.4699999999999989</v>
      </c>
      <c r="J98" s="11">
        <f t="shared" si="24"/>
        <v>9.9999999999997868E-3</v>
      </c>
      <c r="K98" s="7">
        <f t="shared" si="24"/>
        <v>3.4799999999999969</v>
      </c>
      <c r="L98" s="7">
        <f t="shared" si="24"/>
        <v>0.63000000000000078</v>
      </c>
      <c r="M98" s="7">
        <f t="shared" si="24"/>
        <v>4.1099999999999994</v>
      </c>
      <c r="O98" s="6">
        <f t="shared" si="24"/>
        <v>-0.1099</v>
      </c>
    </row>
    <row r="99" spans="1:15" x14ac:dyDescent="0.2">
      <c r="A99" s="1">
        <f t="shared" si="3"/>
        <v>99</v>
      </c>
      <c r="C99" s="10">
        <f>ROUND(C98/C25,6)</f>
        <v>-0.23380600000000001</v>
      </c>
      <c r="D99" s="10">
        <f t="shared" ref="D99:M99" si="25">ROUND(D98/D25,6)</f>
        <v>-0.36531999999999998</v>
      </c>
      <c r="E99" s="10">
        <f t="shared" si="25"/>
        <v>-0.33039200000000002</v>
      </c>
      <c r="F99" s="10">
        <f t="shared" si="25"/>
        <v>-0.36610700000000002</v>
      </c>
      <c r="G99" s="10">
        <f t="shared" si="25"/>
        <v>-0.32627499999999998</v>
      </c>
      <c r="H99" s="10">
        <f t="shared" si="25"/>
        <v>-0.32627499999999998</v>
      </c>
      <c r="I99" s="10">
        <f t="shared" si="25"/>
        <v>5.5052999999999998E-2</v>
      </c>
      <c r="J99" s="12">
        <f t="shared" si="25"/>
        <v>-1.534E-3</v>
      </c>
      <c r="K99" s="10">
        <f t="shared" si="25"/>
        <v>6.1581999999999998E-2</v>
      </c>
      <c r="L99" s="10">
        <f t="shared" si="25"/>
        <v>6.1462999999999997E-2</v>
      </c>
      <c r="M99" s="10">
        <f t="shared" si="25"/>
        <v>6.1564000000000001E-2</v>
      </c>
      <c r="N99" s="10"/>
      <c r="O99" s="10">
        <f>ROUND(O98/O25,6)</f>
        <v>-0.17171900000000001</v>
      </c>
    </row>
    <row r="100" spans="1:15" x14ac:dyDescent="0.2">
      <c r="A100" s="1">
        <f t="shared" si="3"/>
        <v>100</v>
      </c>
      <c r="J100" s="13"/>
    </row>
    <row r="101" spans="1:15" x14ac:dyDescent="0.2">
      <c r="A101" s="1">
        <f t="shared" si="3"/>
        <v>101</v>
      </c>
      <c r="B101" t="s">
        <v>19</v>
      </c>
      <c r="C101" s="1">
        <f>C60-C27</f>
        <v>-58000</v>
      </c>
      <c r="D101" s="1">
        <f t="shared" ref="D101:O101" si="26">D60-D27</f>
        <v>-43152000</v>
      </c>
      <c r="E101" s="5">
        <f t="shared" si="26"/>
        <v>-2460005</v>
      </c>
      <c r="F101" s="5">
        <f t="shared" si="26"/>
        <v>228706</v>
      </c>
      <c r="G101" s="5">
        <f t="shared" si="26"/>
        <v>-396056</v>
      </c>
      <c r="H101" s="5">
        <f t="shared" si="26"/>
        <v>-2627355</v>
      </c>
      <c r="I101" s="7">
        <f t="shared" si="26"/>
        <v>4.0200000000000031</v>
      </c>
      <c r="J101" s="11">
        <f t="shared" si="26"/>
        <v>9.9999999999997868E-3</v>
      </c>
      <c r="K101" s="7">
        <f t="shared" si="26"/>
        <v>4.0300000000000011</v>
      </c>
      <c r="L101" s="7">
        <f t="shared" si="26"/>
        <v>0.72000000000000064</v>
      </c>
      <c r="M101" s="7">
        <f t="shared" si="26"/>
        <v>4.75</v>
      </c>
      <c r="N101" s="7"/>
      <c r="O101" s="6">
        <f t="shared" si="26"/>
        <v>-0.12309999999999999</v>
      </c>
    </row>
    <row r="102" spans="1:15" x14ac:dyDescent="0.2">
      <c r="A102" s="1">
        <f t="shared" si="3"/>
        <v>102</v>
      </c>
      <c r="C102" s="10">
        <f>ROUND(C101/C27,6)</f>
        <v>-0.25234699999999999</v>
      </c>
      <c r="D102" s="10">
        <f t="shared" ref="D102:M102" si="27">ROUND(D101/D27,6)</f>
        <v>-0.39719500000000002</v>
      </c>
      <c r="E102" s="10">
        <f t="shared" si="27"/>
        <v>-0.35875099999999999</v>
      </c>
      <c r="F102" s="10">
        <f t="shared" si="27"/>
        <v>-0.39794299999999999</v>
      </c>
      <c r="G102" s="10">
        <f t="shared" si="27"/>
        <v>-0.35516500000000001</v>
      </c>
      <c r="H102" s="10">
        <f t="shared" si="27"/>
        <v>-0.35516500000000001</v>
      </c>
      <c r="I102" s="10">
        <f t="shared" si="27"/>
        <v>6.3687999999999995E-2</v>
      </c>
      <c r="J102" s="12">
        <f t="shared" si="27"/>
        <v>-1.89E-3</v>
      </c>
      <c r="K102" s="10">
        <f t="shared" si="27"/>
        <v>6.9686999999999999E-2</v>
      </c>
      <c r="L102" s="10">
        <f t="shared" si="27"/>
        <v>7.0175000000000001E-2</v>
      </c>
      <c r="M102" s="10">
        <f t="shared" si="27"/>
        <v>6.9761000000000004E-2</v>
      </c>
      <c r="N102" s="10"/>
      <c r="O102" s="10">
        <f>ROUND(O101/O27,6)</f>
        <v>-0.19376699999999999</v>
      </c>
    </row>
    <row r="103" spans="1:15" x14ac:dyDescent="0.2">
      <c r="A103" s="1">
        <f t="shared" si="3"/>
        <v>103</v>
      </c>
      <c r="J103" s="13"/>
    </row>
    <row r="104" spans="1:15" x14ac:dyDescent="0.2">
      <c r="A104" s="1">
        <f t="shared" si="3"/>
        <v>104</v>
      </c>
      <c r="B104" t="s">
        <v>20</v>
      </c>
      <c r="C104" s="1">
        <f>C62-C29</f>
        <v>-58000</v>
      </c>
      <c r="D104" s="1">
        <f t="shared" ref="D104:O104" si="28">D62-D29</f>
        <v>-41760000</v>
      </c>
      <c r="E104" s="5">
        <f t="shared" si="28"/>
        <v>-2292524</v>
      </c>
      <c r="F104" s="5">
        <f t="shared" si="28"/>
        <v>293990</v>
      </c>
      <c r="G104" s="5">
        <f t="shared" si="28"/>
        <v>-317567</v>
      </c>
      <c r="H104" s="5">
        <f t="shared" si="28"/>
        <v>-2316101</v>
      </c>
      <c r="I104" s="7">
        <f t="shared" si="28"/>
        <v>5.3099999999999952</v>
      </c>
      <c r="J104" s="11">
        <f t="shared" si="28"/>
        <v>2.9999999999999361E-2</v>
      </c>
      <c r="K104" s="7">
        <f t="shared" si="28"/>
        <v>5.3399999999999892</v>
      </c>
      <c r="L104" s="7">
        <f t="shared" si="28"/>
        <v>0.83999999999999986</v>
      </c>
      <c r="M104" s="7">
        <f t="shared" si="28"/>
        <v>6.1799999999999855</v>
      </c>
      <c r="N104" s="7"/>
      <c r="O104" s="6">
        <f t="shared" si="28"/>
        <v>-0.15079999999999993</v>
      </c>
    </row>
    <row r="105" spans="1:15" x14ac:dyDescent="0.2">
      <c r="A105" s="1">
        <f t="shared" si="3"/>
        <v>105</v>
      </c>
      <c r="C105" s="10">
        <f>ROUND(C104/C29,6)</f>
        <v>-0.29564200000000002</v>
      </c>
      <c r="D105" s="10">
        <f t="shared" ref="D105:O105" si="29">ROUND(D104/D29,6)</f>
        <v>-0.46147899999999997</v>
      </c>
      <c r="E105" s="10">
        <f t="shared" si="29"/>
        <v>-0.41464699999999999</v>
      </c>
      <c r="F105" s="10">
        <f t="shared" si="29"/>
        <v>-0.46371000000000001</v>
      </c>
      <c r="G105" s="10">
        <f t="shared" si="29"/>
        <v>-0.40829100000000002</v>
      </c>
      <c r="H105" s="10">
        <f t="shared" si="29"/>
        <v>-0.40829199999999999</v>
      </c>
      <c r="I105" s="10">
        <f t="shared" si="29"/>
        <v>8.6906999999999998E-2</v>
      </c>
      <c r="J105" s="12">
        <f t="shared" si="29"/>
        <v>-4.28E-3</v>
      </c>
      <c r="K105" s="10">
        <f t="shared" si="29"/>
        <v>9.8724000000000006E-2</v>
      </c>
      <c r="L105" s="10">
        <f t="shared" si="29"/>
        <v>9.7673999999999997E-2</v>
      </c>
      <c r="M105" s="10">
        <f t="shared" si="29"/>
        <v>9.8580000000000001E-2</v>
      </c>
      <c r="N105" s="10"/>
      <c r="O105" s="10">
        <f t="shared" si="29"/>
        <v>-0.235404</v>
      </c>
    </row>
    <row r="106" spans="1:15" x14ac:dyDescent="0.2">
      <c r="A106" s="1">
        <f t="shared" si="3"/>
        <v>106</v>
      </c>
      <c r="J106" s="13"/>
    </row>
    <row r="107" spans="1:15" x14ac:dyDescent="0.2">
      <c r="A107" s="1">
        <f t="shared" si="3"/>
        <v>107</v>
      </c>
      <c r="B107" t="s">
        <v>21</v>
      </c>
      <c r="C107" s="1">
        <f>C64-C31</f>
        <v>-58000</v>
      </c>
      <c r="D107" s="1">
        <f t="shared" ref="D107:O107" si="30">D64-D31</f>
        <v>-43152000</v>
      </c>
      <c r="E107" s="5">
        <f t="shared" si="30"/>
        <v>-2325940</v>
      </c>
      <c r="F107" s="5">
        <f t="shared" si="30"/>
        <v>115216</v>
      </c>
      <c r="G107" s="5">
        <f t="shared" si="30"/>
        <v>-387540</v>
      </c>
      <c r="H107" s="5">
        <f t="shared" si="30"/>
        <v>-2598264</v>
      </c>
      <c r="I107" s="7">
        <f t="shared" si="30"/>
        <v>7.6500000000000057</v>
      </c>
      <c r="J107" s="11">
        <f t="shared" si="30"/>
        <v>2.0000000000000018E-2</v>
      </c>
      <c r="K107" s="7">
        <f t="shared" si="30"/>
        <v>7.6700000000000017</v>
      </c>
      <c r="L107" s="7">
        <f t="shared" si="30"/>
        <v>1.3399999999999999</v>
      </c>
      <c r="M107" s="7">
        <f t="shared" si="30"/>
        <v>9.0100000000000051</v>
      </c>
      <c r="N107" s="7"/>
      <c r="O107" s="6">
        <f t="shared" si="30"/>
        <v>-0.15260000000000001</v>
      </c>
    </row>
    <row r="108" spans="1:15" x14ac:dyDescent="0.2">
      <c r="A108" s="1">
        <f t="shared" si="3"/>
        <v>108</v>
      </c>
      <c r="C108" s="10">
        <f>ROUND(C107/C31,6)</f>
        <v>-0.23928099999999999</v>
      </c>
      <c r="D108" s="10">
        <f t="shared" ref="D108:O108" si="31">ROUND(D107/D31,6)</f>
        <v>-0.46464699999999998</v>
      </c>
      <c r="E108" s="10">
        <f t="shared" si="31"/>
        <v>-0.39931800000000001</v>
      </c>
      <c r="F108" s="10">
        <f t="shared" si="31"/>
        <v>-0.46698899999999999</v>
      </c>
      <c r="G108" s="10">
        <f t="shared" si="31"/>
        <v>-0.39632600000000001</v>
      </c>
      <c r="H108" s="10">
        <f t="shared" si="31"/>
        <v>-0.39632499999999998</v>
      </c>
      <c r="I108" s="10">
        <f t="shared" si="31"/>
        <v>0.121971</v>
      </c>
      <c r="J108" s="12">
        <f t="shared" si="31"/>
        <v>-7.5189999999999996E-3</v>
      </c>
      <c r="K108" s="10">
        <f t="shared" si="31"/>
        <v>0.12770599999999999</v>
      </c>
      <c r="L108" s="10">
        <f t="shared" si="31"/>
        <v>0.12725500000000001</v>
      </c>
      <c r="M108" s="10">
        <f t="shared" si="31"/>
        <v>0.127638</v>
      </c>
      <c r="N108" s="10"/>
      <c r="O108" s="10">
        <f t="shared" si="31"/>
        <v>-0.29631099999999999</v>
      </c>
    </row>
    <row r="109" spans="1:15" x14ac:dyDescent="0.2">
      <c r="A109" s="1">
        <f t="shared" si="3"/>
        <v>109</v>
      </c>
      <c r="J109" s="13"/>
    </row>
    <row r="110" spans="1:15" x14ac:dyDescent="0.2">
      <c r="A110" s="1">
        <f t="shared" si="3"/>
        <v>110</v>
      </c>
      <c r="B110" t="s">
        <v>22</v>
      </c>
      <c r="C110" s="1">
        <f>C66-C33</f>
        <v>-58000</v>
      </c>
      <c r="D110" s="1">
        <f t="shared" ref="D110:O110" si="32">D66-D33</f>
        <v>-41760000</v>
      </c>
      <c r="E110" s="5">
        <f t="shared" si="32"/>
        <v>-2262173</v>
      </c>
      <c r="F110" s="5">
        <f t="shared" si="32"/>
        <v>136973</v>
      </c>
      <c r="G110" s="5">
        <f t="shared" si="32"/>
        <v>-435879</v>
      </c>
      <c r="H110" s="5">
        <f t="shared" si="32"/>
        <v>-2561079</v>
      </c>
      <c r="I110" s="7">
        <f t="shared" si="32"/>
        <v>5.5900000000000034</v>
      </c>
      <c r="J110" s="11">
        <f t="shared" si="32"/>
        <v>1.9999999999999574E-2</v>
      </c>
      <c r="K110" s="7">
        <f t="shared" si="32"/>
        <v>5.6100000000000065</v>
      </c>
      <c r="L110" s="7">
        <f t="shared" si="32"/>
        <v>1.1500000000000004</v>
      </c>
      <c r="M110" s="7">
        <f t="shared" si="32"/>
        <v>6.7600000000000051</v>
      </c>
      <c r="N110" s="7"/>
      <c r="O110" s="6">
        <f t="shared" si="32"/>
        <v>-0.12529999999999997</v>
      </c>
    </row>
    <row r="111" spans="1:15" x14ac:dyDescent="0.2">
      <c r="A111" s="1">
        <f t="shared" si="3"/>
        <v>111</v>
      </c>
      <c r="C111" s="10">
        <f>ROUND(C110/C33,6)</f>
        <v>-0.21018300000000001</v>
      </c>
      <c r="D111" s="10">
        <f t="shared" ref="D111:O111" si="33">ROUND(D110/D33,6)</f>
        <v>-0.39712999999999998</v>
      </c>
      <c r="E111" s="10">
        <f t="shared" si="33"/>
        <v>-0.34341500000000003</v>
      </c>
      <c r="F111" s="10">
        <f t="shared" si="33"/>
        <v>-0.39992899999999998</v>
      </c>
      <c r="G111" s="10">
        <f t="shared" si="33"/>
        <v>-0.34031499999999998</v>
      </c>
      <c r="H111" s="10">
        <f t="shared" si="33"/>
        <v>-0.34031499999999998</v>
      </c>
      <c r="I111" s="10">
        <f t="shared" si="33"/>
        <v>8.924E-2</v>
      </c>
      <c r="J111" s="12">
        <f t="shared" si="33"/>
        <v>-6.1349999999999998E-3</v>
      </c>
      <c r="K111" s="10">
        <f t="shared" si="33"/>
        <v>9.4476000000000004E-2</v>
      </c>
      <c r="L111" s="10">
        <f t="shared" si="33"/>
        <v>9.4417000000000001E-2</v>
      </c>
      <c r="M111" s="10">
        <f t="shared" si="33"/>
        <v>9.4465999999999994E-2</v>
      </c>
      <c r="N111" s="10"/>
      <c r="O111" s="10">
        <f t="shared" si="33"/>
        <v>-0.23672799999999999</v>
      </c>
    </row>
    <row r="112" spans="1:15" x14ac:dyDescent="0.2">
      <c r="A112" s="1">
        <f t="shared" si="3"/>
        <v>112</v>
      </c>
      <c r="J112" s="13"/>
    </row>
    <row r="113" spans="1:15" x14ac:dyDescent="0.2">
      <c r="A113" s="1">
        <f t="shared" si="3"/>
        <v>113</v>
      </c>
      <c r="B113" t="s">
        <v>23</v>
      </c>
      <c r="C113" s="1">
        <f>C68-C35</f>
        <v>-696000</v>
      </c>
      <c r="D113" s="1">
        <f t="shared" ref="D113:O113" si="34">D68-D35</f>
        <v>-508080000</v>
      </c>
      <c r="E113" s="5">
        <f t="shared" si="34"/>
        <v>-28527456</v>
      </c>
      <c r="F113" s="5">
        <f t="shared" si="34"/>
        <v>2482633</v>
      </c>
      <c r="G113" s="5">
        <f t="shared" si="34"/>
        <v>-4377209</v>
      </c>
      <c r="H113" s="5">
        <f t="shared" si="34"/>
        <v>-30422032</v>
      </c>
      <c r="I113" s="7">
        <f t="shared" si="34"/>
        <v>5.1400000000000006</v>
      </c>
      <c r="J113" s="11">
        <f t="shared" si="34"/>
        <v>4.0000000000000036E-2</v>
      </c>
      <c r="K113" s="7">
        <f t="shared" si="34"/>
        <v>5.1799999999999926</v>
      </c>
      <c r="L113" s="7">
        <f t="shared" si="34"/>
        <v>0.89000000000000057</v>
      </c>
      <c r="M113" s="7">
        <f t="shared" si="34"/>
        <v>6.0699999999999932</v>
      </c>
      <c r="N113" s="7"/>
      <c r="O113" s="6">
        <f t="shared" si="34"/>
        <v>-0.12729999999999997</v>
      </c>
    </row>
    <row r="114" spans="1:15" x14ac:dyDescent="0.2">
      <c r="A114" s="1">
        <f t="shared" si="3"/>
        <v>114</v>
      </c>
      <c r="C114" s="10">
        <f>ROUND(C113/C35,6)</f>
        <v>-0.22542999999999999</v>
      </c>
      <c r="D114" s="10">
        <f t="shared" ref="D114:O114" si="35">ROUND(D113/D35,6)</f>
        <v>-0.40058700000000003</v>
      </c>
      <c r="E114" s="10">
        <f t="shared" si="35"/>
        <v>-0.35236000000000001</v>
      </c>
      <c r="F114" s="10">
        <f t="shared" si="35"/>
        <v>-0.40517999999999998</v>
      </c>
      <c r="G114" s="10">
        <f t="shared" si="35"/>
        <v>-0.34696199999999999</v>
      </c>
      <c r="H114" s="10">
        <f t="shared" si="35"/>
        <v>-0.34788000000000002</v>
      </c>
      <c r="I114" s="10">
        <f t="shared" si="35"/>
        <v>8.0526E-2</v>
      </c>
      <c r="J114" s="12">
        <f t="shared" si="35"/>
        <v>-8.2819999999999994E-3</v>
      </c>
      <c r="K114" s="10">
        <f t="shared" si="35"/>
        <v>8.7797E-2</v>
      </c>
      <c r="L114" s="10">
        <f t="shared" si="35"/>
        <v>8.9446999999999999E-2</v>
      </c>
      <c r="M114" s="10">
        <f t="shared" si="35"/>
        <v>8.8035000000000002E-2</v>
      </c>
      <c r="N114" s="10"/>
      <c r="O114" s="10">
        <f t="shared" si="35"/>
        <v>-0.22623099999999999</v>
      </c>
    </row>
    <row r="115" spans="1:15" x14ac:dyDescent="0.2">
      <c r="A115" s="1">
        <f t="shared" si="3"/>
        <v>115</v>
      </c>
    </row>
    <row r="116" spans="1:15" x14ac:dyDescent="0.2">
      <c r="A116" s="1">
        <f t="shared" si="3"/>
        <v>116</v>
      </c>
      <c r="J116" s="14" t="s">
        <v>47</v>
      </c>
    </row>
  </sheetData>
  <mergeCells count="6">
    <mergeCell ref="E74:H74"/>
    <mergeCell ref="I74:M74"/>
    <mergeCell ref="E8:H8"/>
    <mergeCell ref="I8:M8"/>
    <mergeCell ref="E41:H41"/>
    <mergeCell ref="I41:M4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zoomScale="80" zoomScaleNormal="80" workbookViewId="0">
      <selection activeCell="B1" sqref="B1"/>
    </sheetView>
  </sheetViews>
  <sheetFormatPr defaultColWidth="15.625" defaultRowHeight="14.25" x14ac:dyDescent="0.2"/>
  <cols>
    <col min="1" max="1" width="4.625" customWidth="1"/>
    <col min="3" max="3" width="8.875" customWidth="1"/>
  </cols>
  <sheetData>
    <row r="1" spans="1:5" x14ac:dyDescent="0.2">
      <c r="A1" s="1">
        <v>1</v>
      </c>
      <c r="B1" t="str">
        <f>'Billing Impact'!B1</f>
        <v>SoKentuckyAmend3-2017 58MW Var Adj.xlsx</v>
      </c>
    </row>
    <row r="2" spans="1:5" x14ac:dyDescent="0.2">
      <c r="A2" s="1">
        <f>A1+1</f>
        <v>2</v>
      </c>
      <c r="B2" t="s">
        <v>197</v>
      </c>
    </row>
    <row r="3" spans="1:5" x14ac:dyDescent="0.2">
      <c r="A3" s="1">
        <f t="shared" ref="A3:A46" si="0">A2+1</f>
        <v>3</v>
      </c>
    </row>
    <row r="4" spans="1:5" x14ac:dyDescent="0.2">
      <c r="A4" s="1">
        <f t="shared" si="0"/>
        <v>4</v>
      </c>
      <c r="B4" s="18" t="s">
        <v>83</v>
      </c>
    </row>
    <row r="5" spans="1:5" x14ac:dyDescent="0.2">
      <c r="A5" s="1">
        <f t="shared" si="0"/>
        <v>5</v>
      </c>
    </row>
    <row r="6" spans="1:5" x14ac:dyDescent="0.2">
      <c r="A6" s="1">
        <f t="shared" si="0"/>
        <v>6</v>
      </c>
      <c r="B6" t="s">
        <v>26</v>
      </c>
      <c r="C6" t="s">
        <v>27</v>
      </c>
    </row>
    <row r="7" spans="1:5" x14ac:dyDescent="0.2">
      <c r="A7" s="1">
        <f t="shared" si="0"/>
        <v>7</v>
      </c>
      <c r="C7" t="s">
        <v>28</v>
      </c>
    </row>
    <row r="8" spans="1:5" x14ac:dyDescent="0.2">
      <c r="A8" s="1">
        <f t="shared" si="0"/>
        <v>8</v>
      </c>
      <c r="C8" t="s">
        <v>29</v>
      </c>
    </row>
    <row r="9" spans="1:5" x14ac:dyDescent="0.2">
      <c r="A9" s="1">
        <f t="shared" si="0"/>
        <v>9</v>
      </c>
      <c r="D9" t="s">
        <v>30</v>
      </c>
    </row>
    <row r="10" spans="1:5" x14ac:dyDescent="0.2">
      <c r="A10" s="1">
        <f t="shared" si="0"/>
        <v>10</v>
      </c>
      <c r="D10" t="s">
        <v>31</v>
      </c>
      <c r="E10" s="6">
        <f>ROUND(10/24,4)</f>
        <v>0.41670000000000001</v>
      </c>
    </row>
    <row r="11" spans="1:5" x14ac:dyDescent="0.2">
      <c r="A11" s="1">
        <f t="shared" si="0"/>
        <v>11</v>
      </c>
      <c r="D11" t="s">
        <v>32</v>
      </c>
      <c r="E11" s="6">
        <f>ROUND(14/24,4)</f>
        <v>0.58330000000000004</v>
      </c>
    </row>
    <row r="12" spans="1:5" x14ac:dyDescent="0.2">
      <c r="A12" s="1">
        <f t="shared" si="0"/>
        <v>12</v>
      </c>
      <c r="D12" t="s">
        <v>33</v>
      </c>
      <c r="E12" s="6"/>
    </row>
    <row r="13" spans="1:5" x14ac:dyDescent="0.2">
      <c r="A13" s="1">
        <f t="shared" si="0"/>
        <v>13</v>
      </c>
      <c r="D13" t="s">
        <v>31</v>
      </c>
      <c r="E13" s="6">
        <f>ROUND(12/24,4)</f>
        <v>0.5</v>
      </c>
    </row>
    <row r="14" spans="1:5" x14ac:dyDescent="0.2">
      <c r="A14" s="1">
        <f t="shared" si="0"/>
        <v>14</v>
      </c>
      <c r="D14" t="s">
        <v>32</v>
      </c>
      <c r="E14" s="6">
        <f>ROUND(12/24,4)</f>
        <v>0.5</v>
      </c>
    </row>
    <row r="15" spans="1:5" x14ac:dyDescent="0.2">
      <c r="A15" s="1">
        <f t="shared" si="0"/>
        <v>15</v>
      </c>
    </row>
    <row r="16" spans="1:5" x14ac:dyDescent="0.2">
      <c r="A16" s="1">
        <f t="shared" si="0"/>
        <v>16</v>
      </c>
    </row>
    <row r="17" spans="1:20" x14ac:dyDescent="0.2">
      <c r="A17" s="1">
        <f t="shared" si="0"/>
        <v>17</v>
      </c>
      <c r="C17" s="3" t="s">
        <v>9</v>
      </c>
      <c r="E17" s="34" t="s">
        <v>38</v>
      </c>
      <c r="F17" s="35"/>
      <c r="G17" s="36"/>
      <c r="H17" s="34" t="s">
        <v>39</v>
      </c>
      <c r="I17" s="35"/>
      <c r="J17" s="35"/>
      <c r="K17" s="35"/>
      <c r="L17" s="36"/>
      <c r="M17" s="34" t="s">
        <v>45</v>
      </c>
      <c r="N17" s="35"/>
      <c r="O17" s="35"/>
      <c r="P17" s="35"/>
      <c r="Q17" s="35"/>
      <c r="R17" s="35"/>
      <c r="S17" s="35"/>
      <c r="T17" s="36"/>
    </row>
    <row r="18" spans="1:20" ht="15" thickBot="1" x14ac:dyDescent="0.25">
      <c r="A18" s="1">
        <f t="shared" si="0"/>
        <v>18</v>
      </c>
      <c r="B18" s="4" t="s">
        <v>1</v>
      </c>
      <c r="C18" s="4" t="s">
        <v>1</v>
      </c>
      <c r="D18" s="4" t="s">
        <v>34</v>
      </c>
      <c r="E18" s="4" t="s">
        <v>35</v>
      </c>
      <c r="F18" s="4" t="s">
        <v>36</v>
      </c>
      <c r="G18" s="4" t="s">
        <v>37</v>
      </c>
      <c r="H18" s="4" t="s">
        <v>40</v>
      </c>
      <c r="I18" s="4" t="s">
        <v>41</v>
      </c>
      <c r="J18" s="4" t="s">
        <v>42</v>
      </c>
      <c r="K18" s="4" t="s">
        <v>6</v>
      </c>
      <c r="L18" s="4" t="s">
        <v>7</v>
      </c>
      <c r="M18" s="4" t="s">
        <v>40</v>
      </c>
      <c r="N18" s="4" t="s">
        <v>41</v>
      </c>
      <c r="O18" s="4" t="s">
        <v>42</v>
      </c>
      <c r="P18" s="4" t="s">
        <v>43</v>
      </c>
      <c r="Q18" s="4" t="s">
        <v>6</v>
      </c>
      <c r="R18" s="4" t="s">
        <v>44</v>
      </c>
      <c r="S18" s="4" t="s">
        <v>7</v>
      </c>
      <c r="T18" s="4" t="s">
        <v>8</v>
      </c>
    </row>
    <row r="19" spans="1:20" x14ac:dyDescent="0.2">
      <c r="A19" s="1">
        <f t="shared" si="0"/>
        <v>19</v>
      </c>
    </row>
    <row r="20" spans="1:20" x14ac:dyDescent="0.2">
      <c r="A20" s="1">
        <f t="shared" si="0"/>
        <v>20</v>
      </c>
      <c r="B20" s="16" t="s">
        <v>49</v>
      </c>
      <c r="C20" s="1">
        <v>31</v>
      </c>
      <c r="D20" s="1">
        <v>58000</v>
      </c>
      <c r="E20" s="1">
        <f>ROUND(D20*24*C20,0)</f>
        <v>43152000</v>
      </c>
      <c r="F20" s="1">
        <f>ROUND(E20*E$10,0)</f>
        <v>17981438</v>
      </c>
      <c r="G20" s="1">
        <f>ROUND(E20*E$11,0)</f>
        <v>25170562</v>
      </c>
      <c r="H20" s="7">
        <v>6.02</v>
      </c>
      <c r="I20" s="9">
        <v>5.3279E-2</v>
      </c>
      <c r="J20" s="9">
        <v>4.4554000000000003E-2</v>
      </c>
      <c r="K20" s="9">
        <v>-3.9199999999999999E-3</v>
      </c>
      <c r="L20" s="6">
        <v>0.19950000000000001</v>
      </c>
      <c r="M20" s="5">
        <f>ROUND(D20*H20,0)</f>
        <v>349160</v>
      </c>
      <c r="N20" s="5">
        <f>ROUND(F20*I20,0)</f>
        <v>958033</v>
      </c>
      <c r="O20" s="5">
        <f>ROUND(G20*J20,0)</f>
        <v>1121449</v>
      </c>
      <c r="P20" s="5">
        <f>M20+N20+O20</f>
        <v>2428642</v>
      </c>
      <c r="Q20" s="5">
        <f>ROUND(E20*K20,0)</f>
        <v>-169156</v>
      </c>
      <c r="R20" s="5">
        <f>P20+Q20</f>
        <v>2259486</v>
      </c>
      <c r="S20" s="5">
        <f>ROUND(R20*L20,0)</f>
        <v>450767</v>
      </c>
      <c r="T20" s="5">
        <f>R20+S20</f>
        <v>2710253</v>
      </c>
    </row>
    <row r="21" spans="1:20" x14ac:dyDescent="0.2">
      <c r="A21" s="1">
        <f t="shared" si="0"/>
        <v>21</v>
      </c>
    </row>
    <row r="22" spans="1:20" x14ac:dyDescent="0.2">
      <c r="A22" s="1">
        <f t="shared" si="0"/>
        <v>22</v>
      </c>
      <c r="B22" t="s">
        <v>12</v>
      </c>
      <c r="C22" s="1">
        <v>31</v>
      </c>
      <c r="D22" s="1">
        <f>D20</f>
        <v>58000</v>
      </c>
      <c r="E22" s="1">
        <f>ROUND(D22*24*C22,0)</f>
        <v>43152000</v>
      </c>
      <c r="F22" s="1">
        <f>ROUND(E22*E$10,0)</f>
        <v>17981438</v>
      </c>
      <c r="G22" s="1">
        <f>ROUND(E22*E$11,0)</f>
        <v>25170562</v>
      </c>
      <c r="H22" s="7">
        <v>6.02</v>
      </c>
      <c r="I22" s="9">
        <v>5.3279E-2</v>
      </c>
      <c r="J22" s="9">
        <v>4.4554000000000003E-2</v>
      </c>
      <c r="K22" s="9">
        <v>-3.2299999999999998E-3</v>
      </c>
      <c r="L22" s="6">
        <v>0.16919999999999999</v>
      </c>
      <c r="M22" s="5">
        <f>ROUND(D22*H22,0)</f>
        <v>349160</v>
      </c>
      <c r="N22" s="5">
        <f>ROUND(F22*I22,0)</f>
        <v>958033</v>
      </c>
      <c r="O22" s="5">
        <f>ROUND(G22*J22,0)</f>
        <v>1121449</v>
      </c>
      <c r="P22" s="5">
        <f>M22+N22+O22</f>
        <v>2428642</v>
      </c>
      <c r="Q22" s="5">
        <f>ROUND(E22*K22,0)</f>
        <v>-139381</v>
      </c>
      <c r="R22" s="5">
        <f>P22+Q22</f>
        <v>2289261</v>
      </c>
      <c r="S22" s="5">
        <f>ROUND(R22*L22,0)</f>
        <v>387343</v>
      </c>
      <c r="T22" s="5">
        <f>R22+S22</f>
        <v>2676604</v>
      </c>
    </row>
    <row r="23" spans="1:20" x14ac:dyDescent="0.2">
      <c r="A23" s="1">
        <f t="shared" si="0"/>
        <v>23</v>
      </c>
      <c r="C23" s="1"/>
      <c r="D23" s="1"/>
      <c r="E23" s="1"/>
      <c r="F23" s="1"/>
      <c r="G23" s="1"/>
      <c r="H23" s="7"/>
      <c r="I23" s="9"/>
      <c r="J23" s="9"/>
      <c r="K23" s="9"/>
      <c r="L23" s="6"/>
      <c r="M23" s="5"/>
      <c r="N23" s="5"/>
      <c r="O23" s="5"/>
      <c r="P23" s="5"/>
      <c r="Q23" s="5"/>
      <c r="R23" s="5"/>
      <c r="S23" s="5"/>
      <c r="T23" s="5"/>
    </row>
    <row r="24" spans="1:20" x14ac:dyDescent="0.2">
      <c r="A24" s="1">
        <f t="shared" si="0"/>
        <v>24</v>
      </c>
      <c r="B24" t="s">
        <v>13</v>
      </c>
      <c r="C24" s="1">
        <v>28</v>
      </c>
      <c r="D24" s="1">
        <f>D22</f>
        <v>58000</v>
      </c>
      <c r="E24" s="1">
        <f>ROUND(D24*24*C24,0)</f>
        <v>38976000</v>
      </c>
      <c r="F24" s="1">
        <f>ROUND(E24*E$10,0)</f>
        <v>16241299</v>
      </c>
      <c r="G24" s="1">
        <f>ROUND(E24*E$11,0)</f>
        <v>22734701</v>
      </c>
      <c r="H24" s="7">
        <f>H22</f>
        <v>6.02</v>
      </c>
      <c r="I24" s="9">
        <f>I22</f>
        <v>5.3279E-2</v>
      </c>
      <c r="J24" s="9">
        <f>J22</f>
        <v>4.4554000000000003E-2</v>
      </c>
      <c r="K24" s="9">
        <v>-3.98E-3</v>
      </c>
      <c r="L24" s="6">
        <v>0.11210000000000001</v>
      </c>
      <c r="M24" s="5">
        <f>ROUND(D24*H24,0)</f>
        <v>349160</v>
      </c>
      <c r="N24" s="5">
        <f>ROUND(F24*I24,0)</f>
        <v>865320</v>
      </c>
      <c r="O24" s="5">
        <f>ROUND(G24*J24,0)</f>
        <v>1012922</v>
      </c>
      <c r="P24" s="5">
        <f>M24+N24+O24</f>
        <v>2227402</v>
      </c>
      <c r="Q24" s="5">
        <f>ROUND(E24*K24,0)</f>
        <v>-155124</v>
      </c>
      <c r="R24" s="5">
        <f>P24+Q24</f>
        <v>2072278</v>
      </c>
      <c r="S24" s="5">
        <f>ROUND(R24*L24,0)</f>
        <v>232302</v>
      </c>
      <c r="T24" s="5">
        <f>R24+S24</f>
        <v>2304580</v>
      </c>
    </row>
    <row r="25" spans="1:20" x14ac:dyDescent="0.2">
      <c r="A25" s="1">
        <f t="shared" si="0"/>
        <v>25</v>
      </c>
      <c r="C25" s="1"/>
      <c r="D25" s="1"/>
      <c r="E25" s="1"/>
      <c r="F25" s="1"/>
      <c r="G25" s="1"/>
      <c r="H25" s="7"/>
      <c r="I25" s="9"/>
      <c r="J25" s="9"/>
      <c r="K25" s="9"/>
      <c r="L25" s="6"/>
      <c r="M25" s="5"/>
      <c r="N25" s="5"/>
      <c r="O25" s="5"/>
      <c r="P25" s="5"/>
      <c r="Q25" s="5"/>
      <c r="R25" s="5"/>
      <c r="S25" s="5"/>
      <c r="T25" s="5"/>
    </row>
    <row r="26" spans="1:20" x14ac:dyDescent="0.2">
      <c r="A26" s="1">
        <f t="shared" si="0"/>
        <v>26</v>
      </c>
      <c r="B26" t="s">
        <v>14</v>
      </c>
      <c r="C26" s="1">
        <v>31</v>
      </c>
      <c r="D26" s="1">
        <f>D24</f>
        <v>58000</v>
      </c>
      <c r="E26" s="1">
        <f>ROUND(D26*24*C26,0)</f>
        <v>43152000</v>
      </c>
      <c r="F26" s="1">
        <f>ROUND(E26*E$10,0)</f>
        <v>17981438</v>
      </c>
      <c r="G26" s="1">
        <f>ROUND(E26*E$11,0)</f>
        <v>25170562</v>
      </c>
      <c r="H26" s="7">
        <f>H24</f>
        <v>6.02</v>
      </c>
      <c r="I26" s="9">
        <f>I24</f>
        <v>5.3279E-2</v>
      </c>
      <c r="J26" s="9">
        <f>J24</f>
        <v>4.4554000000000003E-2</v>
      </c>
      <c r="K26" s="9">
        <v>-7.3899999999999999E-3</v>
      </c>
      <c r="L26" s="6">
        <v>0.1226</v>
      </c>
      <c r="M26" s="5">
        <f>ROUND(D26*H26,0)</f>
        <v>349160</v>
      </c>
      <c r="N26" s="5">
        <f>ROUND(F26*I26,0)</f>
        <v>958033</v>
      </c>
      <c r="O26" s="5">
        <f>ROUND(G26*J26,0)</f>
        <v>1121449</v>
      </c>
      <c r="P26" s="5">
        <f>M26+N26+O26</f>
        <v>2428642</v>
      </c>
      <c r="Q26" s="5">
        <f>ROUND(E26*K26,0)</f>
        <v>-318893</v>
      </c>
      <c r="R26" s="5">
        <f>P26+Q26</f>
        <v>2109749</v>
      </c>
      <c r="S26" s="5">
        <f>ROUND(R26*L26,0)</f>
        <v>258655</v>
      </c>
      <c r="T26" s="5">
        <f>R26+S26</f>
        <v>2368404</v>
      </c>
    </row>
    <row r="27" spans="1:20" x14ac:dyDescent="0.2">
      <c r="A27" s="1">
        <f t="shared" si="0"/>
        <v>27</v>
      </c>
      <c r="C27" s="1"/>
      <c r="D27" s="1"/>
      <c r="E27" s="1"/>
      <c r="F27" s="1"/>
      <c r="G27" s="1"/>
      <c r="H27" s="7"/>
      <c r="I27" s="9"/>
      <c r="J27" s="9"/>
      <c r="K27" s="9"/>
      <c r="L27" s="6"/>
      <c r="M27" s="5"/>
      <c r="N27" s="5"/>
      <c r="O27" s="5"/>
      <c r="P27" s="5"/>
      <c r="Q27" s="5"/>
      <c r="R27" s="5"/>
      <c r="S27" s="5"/>
      <c r="T27" s="5"/>
    </row>
    <row r="28" spans="1:20" x14ac:dyDescent="0.2">
      <c r="A28" s="1">
        <f t="shared" si="0"/>
        <v>28</v>
      </c>
      <c r="B28" t="s">
        <v>15</v>
      </c>
      <c r="C28" s="1">
        <v>30</v>
      </c>
      <c r="D28" s="1">
        <f>D26</f>
        <v>58000</v>
      </c>
      <c r="E28" s="1">
        <f>ROUND(D28*24*C28,0)</f>
        <v>41760000</v>
      </c>
      <c r="F28" s="1">
        <f>ROUND(E28*E$10,0)</f>
        <v>17401392</v>
      </c>
      <c r="G28" s="1">
        <f>ROUND(E28*E$11,0)</f>
        <v>24358608</v>
      </c>
      <c r="H28" s="7">
        <f>H26</f>
        <v>6.02</v>
      </c>
      <c r="I28" s="9">
        <f>I26</f>
        <v>5.3279E-2</v>
      </c>
      <c r="J28" s="9">
        <f>J26</f>
        <v>4.4554000000000003E-2</v>
      </c>
      <c r="K28" s="9">
        <v>-4.8599999999999997E-3</v>
      </c>
      <c r="L28" s="6">
        <v>0.1573</v>
      </c>
      <c r="M28" s="5">
        <f>ROUND(D28*H28,0)</f>
        <v>349160</v>
      </c>
      <c r="N28" s="5">
        <f>ROUND(F28*I28,0)</f>
        <v>927129</v>
      </c>
      <c r="O28" s="5">
        <f>ROUND(G28*J28,0)</f>
        <v>1085273</v>
      </c>
      <c r="P28" s="5">
        <f>M28+N28+O28</f>
        <v>2361562</v>
      </c>
      <c r="Q28" s="5">
        <f>ROUND(E28*K28,0)</f>
        <v>-202954</v>
      </c>
      <c r="R28" s="5">
        <f>P28+Q28</f>
        <v>2158608</v>
      </c>
      <c r="S28" s="5">
        <f>ROUND(R28*L28,0)</f>
        <v>339549</v>
      </c>
      <c r="T28" s="5">
        <f>R28+S28</f>
        <v>2498157</v>
      </c>
    </row>
    <row r="29" spans="1:20" x14ac:dyDescent="0.2">
      <c r="A29" s="1">
        <f t="shared" si="0"/>
        <v>29</v>
      </c>
      <c r="C29" s="1"/>
      <c r="D29" s="1"/>
      <c r="E29" s="1"/>
      <c r="F29" s="1"/>
      <c r="G29" s="1"/>
      <c r="H29" s="7"/>
      <c r="I29" s="9"/>
      <c r="J29" s="9"/>
      <c r="K29" s="9"/>
      <c r="L29" s="6"/>
      <c r="M29" s="5"/>
      <c r="N29" s="5"/>
      <c r="O29" s="5"/>
      <c r="P29" s="5"/>
      <c r="Q29" s="5"/>
      <c r="R29" s="5"/>
      <c r="S29" s="5"/>
      <c r="T29" s="5"/>
    </row>
    <row r="30" spans="1:20" x14ac:dyDescent="0.2">
      <c r="A30" s="1">
        <f t="shared" si="0"/>
        <v>30</v>
      </c>
      <c r="B30" t="s">
        <v>16</v>
      </c>
      <c r="C30" s="1">
        <v>31</v>
      </c>
      <c r="D30" s="1">
        <f>D28</f>
        <v>58000</v>
      </c>
      <c r="E30" s="1">
        <f>ROUND(D30*24*C30,0)</f>
        <v>43152000</v>
      </c>
      <c r="F30" s="1">
        <f>ROUND(E30*E$13,0)</f>
        <v>21576000</v>
      </c>
      <c r="G30" s="1">
        <f>ROUND(E30*E$14,0)</f>
        <v>21576000</v>
      </c>
      <c r="H30" s="7">
        <f>H28</f>
        <v>6.02</v>
      </c>
      <c r="I30" s="9">
        <f>I28</f>
        <v>5.3279E-2</v>
      </c>
      <c r="J30" s="9">
        <f>J28</f>
        <v>4.4554000000000003E-2</v>
      </c>
      <c r="K30" s="9">
        <v>-5.3200000000000001E-3</v>
      </c>
      <c r="L30" s="6">
        <v>0.154</v>
      </c>
      <c r="M30" s="5">
        <f>ROUND(D30*H30,0)</f>
        <v>349160</v>
      </c>
      <c r="N30" s="5">
        <f>ROUND(F30*I30,0)</f>
        <v>1149548</v>
      </c>
      <c r="O30" s="5">
        <f>ROUND(G30*J30,0)</f>
        <v>961297</v>
      </c>
      <c r="P30" s="5">
        <f>M30+N30+O30</f>
        <v>2460005</v>
      </c>
      <c r="Q30" s="5">
        <f>ROUND(E30*K30,0)</f>
        <v>-229569</v>
      </c>
      <c r="R30" s="5">
        <f>P30+Q30</f>
        <v>2230436</v>
      </c>
      <c r="S30" s="5">
        <f>ROUND(R30*L30,0)</f>
        <v>343487</v>
      </c>
      <c r="T30" s="5">
        <f>R30+S30</f>
        <v>2573923</v>
      </c>
    </row>
    <row r="31" spans="1:20" x14ac:dyDescent="0.2">
      <c r="A31" s="1">
        <f t="shared" si="0"/>
        <v>31</v>
      </c>
      <c r="C31" s="1"/>
      <c r="D31" s="1"/>
      <c r="E31" s="1"/>
      <c r="F31" s="1"/>
      <c r="G31" s="1"/>
      <c r="H31" s="7"/>
      <c r="I31" s="9"/>
      <c r="J31" s="9"/>
      <c r="K31" s="9"/>
      <c r="L31" s="6"/>
      <c r="M31" s="5"/>
      <c r="N31" s="5"/>
      <c r="O31" s="5"/>
      <c r="P31" s="5"/>
      <c r="Q31" s="5"/>
      <c r="R31" s="5"/>
      <c r="S31" s="5"/>
      <c r="T31" s="5"/>
    </row>
    <row r="32" spans="1:20" x14ac:dyDescent="0.2">
      <c r="A32" s="1">
        <f t="shared" si="0"/>
        <v>32</v>
      </c>
      <c r="B32" t="s">
        <v>17</v>
      </c>
      <c r="C32" s="1">
        <v>30</v>
      </c>
      <c r="D32" s="1">
        <f>D30</f>
        <v>58000</v>
      </c>
      <c r="E32" s="1">
        <f>ROUND(D32*24*C32,0)</f>
        <v>41760000</v>
      </c>
      <c r="F32" s="1">
        <f>ROUND(E32*E$13,0)</f>
        <v>20880000</v>
      </c>
      <c r="G32" s="1">
        <f>ROUND(E32*E$14,0)</f>
        <v>20880000</v>
      </c>
      <c r="H32" s="7">
        <f>H30</f>
        <v>6.02</v>
      </c>
      <c r="I32" s="9">
        <f>I30</f>
        <v>5.3279E-2</v>
      </c>
      <c r="J32" s="9">
        <f>J30</f>
        <v>4.4554000000000003E-2</v>
      </c>
      <c r="K32" s="9">
        <v>-5.0499999999999998E-3</v>
      </c>
      <c r="L32" s="6">
        <v>0.1986</v>
      </c>
      <c r="M32" s="5">
        <f>ROUND(D32*H32,0)</f>
        <v>349160</v>
      </c>
      <c r="N32" s="5">
        <f>ROUND(F32*I32,0)</f>
        <v>1112466</v>
      </c>
      <c r="O32" s="5">
        <f>ROUND(G32*J32,0)</f>
        <v>930288</v>
      </c>
      <c r="P32" s="5">
        <f>M32+N32+O32</f>
        <v>2391914</v>
      </c>
      <c r="Q32" s="5">
        <f>ROUND(E32*K32,0)</f>
        <v>-210888</v>
      </c>
      <c r="R32" s="5">
        <f>P32+Q32</f>
        <v>2181026</v>
      </c>
      <c r="S32" s="5">
        <f>ROUND(R32*L32,0)</f>
        <v>433152</v>
      </c>
      <c r="T32" s="5">
        <f>R32+S32</f>
        <v>2614178</v>
      </c>
    </row>
    <row r="33" spans="1:20" x14ac:dyDescent="0.2">
      <c r="A33" s="1">
        <f t="shared" si="0"/>
        <v>33</v>
      </c>
      <c r="C33" s="1"/>
      <c r="D33" s="1"/>
      <c r="E33" s="1"/>
      <c r="F33" s="1"/>
      <c r="G33" s="1"/>
      <c r="H33" s="7"/>
      <c r="I33" s="9"/>
      <c r="J33" s="9"/>
      <c r="K33" s="9"/>
      <c r="L33" s="6"/>
      <c r="M33" s="5"/>
      <c r="N33" s="5"/>
      <c r="O33" s="5"/>
      <c r="P33" s="5"/>
      <c r="Q33" s="5"/>
      <c r="R33" s="5"/>
      <c r="S33" s="5"/>
      <c r="T33" s="5"/>
    </row>
    <row r="34" spans="1:20" x14ac:dyDescent="0.2">
      <c r="A34" s="1">
        <f t="shared" si="0"/>
        <v>34</v>
      </c>
      <c r="B34" t="s">
        <v>18</v>
      </c>
      <c r="C34" s="1">
        <v>31</v>
      </c>
      <c r="D34" s="1">
        <f>D32</f>
        <v>58000</v>
      </c>
      <c r="E34" s="1">
        <f>ROUND(D34*24*C34,0)</f>
        <v>43152000</v>
      </c>
      <c r="F34" s="1">
        <f>ROUND(E34*E$13,0)</f>
        <v>21576000</v>
      </c>
      <c r="G34" s="1">
        <f>ROUND(E34*E$14,0)</f>
        <v>21576000</v>
      </c>
      <c r="H34" s="7">
        <f>H32</f>
        <v>6.02</v>
      </c>
      <c r="I34" s="9">
        <f>I32</f>
        <v>5.3279E-2</v>
      </c>
      <c r="J34" s="9">
        <f>J32</f>
        <v>4.4554000000000003E-2</v>
      </c>
      <c r="K34" s="9">
        <v>-6.5300000000000002E-3</v>
      </c>
      <c r="L34" s="6">
        <v>0.18129999999999999</v>
      </c>
      <c r="M34" s="5">
        <f>ROUND(D34*H34,0)</f>
        <v>349160</v>
      </c>
      <c r="N34" s="5">
        <f>ROUND(F34*I34,0)</f>
        <v>1149548</v>
      </c>
      <c r="O34" s="5">
        <f>ROUND(G34*J34,0)</f>
        <v>961297</v>
      </c>
      <c r="P34" s="5">
        <f>M34+N34+O34</f>
        <v>2460005</v>
      </c>
      <c r="Q34" s="5">
        <f>ROUND(E34*K34,0)</f>
        <v>-281783</v>
      </c>
      <c r="R34" s="5">
        <f>P34+Q34</f>
        <v>2178222</v>
      </c>
      <c r="S34" s="5">
        <f>ROUND(R34*L34,0)</f>
        <v>394912</v>
      </c>
      <c r="T34" s="5">
        <f>R34+S34</f>
        <v>2573134</v>
      </c>
    </row>
    <row r="35" spans="1:20" x14ac:dyDescent="0.2">
      <c r="A35" s="1">
        <f t="shared" si="0"/>
        <v>35</v>
      </c>
      <c r="C35" s="1"/>
      <c r="D35" s="1"/>
      <c r="E35" s="1"/>
      <c r="F35" s="1"/>
      <c r="G35" s="1"/>
      <c r="H35" s="7"/>
      <c r="I35" s="9"/>
      <c r="J35" s="9"/>
      <c r="K35" s="9"/>
      <c r="L35" s="6"/>
      <c r="M35" s="5"/>
      <c r="N35" s="5"/>
      <c r="O35" s="5"/>
      <c r="P35" s="5"/>
      <c r="Q35" s="5"/>
      <c r="R35" s="5"/>
      <c r="S35" s="5"/>
      <c r="T35" s="5"/>
    </row>
    <row r="36" spans="1:20" x14ac:dyDescent="0.2">
      <c r="A36" s="1">
        <f t="shared" si="0"/>
        <v>36</v>
      </c>
      <c r="B36" t="s">
        <v>19</v>
      </c>
      <c r="C36" s="1">
        <v>31</v>
      </c>
      <c r="D36" s="1">
        <f>D34</f>
        <v>58000</v>
      </c>
      <c r="E36" s="1">
        <f>ROUND(D36*24*C36,0)</f>
        <v>43152000</v>
      </c>
      <c r="F36" s="1">
        <f>ROUND(E36*E$13,0)</f>
        <v>21576000</v>
      </c>
      <c r="G36" s="1">
        <f>ROUND(E36*E$14,0)</f>
        <v>21576000</v>
      </c>
      <c r="H36" s="7">
        <f>H34</f>
        <v>6.02</v>
      </c>
      <c r="I36" s="9">
        <f>I34</f>
        <v>5.3279E-2</v>
      </c>
      <c r="J36" s="9">
        <f>J34</f>
        <v>4.4554000000000003E-2</v>
      </c>
      <c r="K36" s="9">
        <v>-5.3E-3</v>
      </c>
      <c r="L36" s="6">
        <v>0.17749999999999999</v>
      </c>
      <c r="M36" s="5">
        <f>ROUND(D36*H36,0)</f>
        <v>349160</v>
      </c>
      <c r="N36" s="5">
        <f>ROUND(F36*I36,0)</f>
        <v>1149548</v>
      </c>
      <c r="O36" s="5">
        <f>ROUND(G36*J36,0)</f>
        <v>961297</v>
      </c>
      <c r="P36" s="5">
        <f>M36+N36+O36</f>
        <v>2460005</v>
      </c>
      <c r="Q36" s="5">
        <f>ROUND(E36*K36,0)</f>
        <v>-228706</v>
      </c>
      <c r="R36" s="5">
        <f>P36+Q36</f>
        <v>2231299</v>
      </c>
      <c r="S36" s="5">
        <f>ROUND(R36*L36,0)</f>
        <v>396056</v>
      </c>
      <c r="T36" s="5">
        <f>R36+S36</f>
        <v>2627355</v>
      </c>
    </row>
    <row r="37" spans="1:20" x14ac:dyDescent="0.2">
      <c r="A37" s="1">
        <f t="shared" si="0"/>
        <v>37</v>
      </c>
      <c r="C37" s="1"/>
      <c r="D37" s="1"/>
      <c r="E37" s="1"/>
      <c r="F37" s="1"/>
      <c r="G37" s="1"/>
      <c r="H37" s="7"/>
      <c r="I37" s="9"/>
      <c r="J37" s="9"/>
      <c r="K37" s="9"/>
      <c r="L37" s="6"/>
      <c r="M37" s="5"/>
      <c r="N37" s="5"/>
      <c r="O37" s="5"/>
      <c r="P37" s="5"/>
      <c r="Q37" s="5"/>
      <c r="R37" s="5"/>
      <c r="S37" s="5"/>
      <c r="T37" s="5"/>
    </row>
    <row r="38" spans="1:20" x14ac:dyDescent="0.2">
      <c r="A38" s="1">
        <f t="shared" si="0"/>
        <v>38</v>
      </c>
      <c r="B38" t="s">
        <v>20</v>
      </c>
      <c r="C38" s="1">
        <v>30</v>
      </c>
      <c r="D38" s="1">
        <f>D36</f>
        <v>58000</v>
      </c>
      <c r="E38" s="1">
        <f>ROUND(D38*24*C38,0)</f>
        <v>41760000</v>
      </c>
      <c r="F38" s="1">
        <f>ROUND(E38*E$13,0)</f>
        <v>20880000</v>
      </c>
      <c r="G38" s="1">
        <f>ROUND(E38*E$14,0)</f>
        <v>20880000</v>
      </c>
      <c r="H38" s="7">
        <f>H36</f>
        <v>6.02</v>
      </c>
      <c r="I38" s="9">
        <v>5.0899E-2</v>
      </c>
      <c r="J38" s="9">
        <v>4.2174000000000003E-2</v>
      </c>
      <c r="K38" s="9">
        <v>-7.0400000000000003E-3</v>
      </c>
      <c r="L38" s="6">
        <v>0.15890000000000001</v>
      </c>
      <c r="M38" s="5">
        <f>ROUND(D38*H38,0)</f>
        <v>349160</v>
      </c>
      <c r="N38" s="5">
        <f>ROUND(F38*I38,0)</f>
        <v>1062771</v>
      </c>
      <c r="O38" s="5">
        <f>ROUND(G38*J38,0)</f>
        <v>880593</v>
      </c>
      <c r="P38" s="5">
        <f>M38+N38+O38</f>
        <v>2292524</v>
      </c>
      <c r="Q38" s="5">
        <f>ROUND(E38*K38,0)</f>
        <v>-293990</v>
      </c>
      <c r="R38" s="5">
        <f>P38+Q38</f>
        <v>1998534</v>
      </c>
      <c r="S38" s="5">
        <f>ROUND(R38*L38,0)</f>
        <v>317567</v>
      </c>
      <c r="T38" s="5">
        <f>R38+S38</f>
        <v>2316101</v>
      </c>
    </row>
    <row r="39" spans="1:20" x14ac:dyDescent="0.2">
      <c r="A39" s="1">
        <f t="shared" si="0"/>
        <v>39</v>
      </c>
      <c r="C39" s="1"/>
      <c r="D39" s="1"/>
      <c r="E39" s="1"/>
      <c r="F39" s="1"/>
      <c r="G39" s="1"/>
      <c r="H39" s="7"/>
      <c r="I39" s="9"/>
      <c r="J39" s="9"/>
      <c r="K39" s="9"/>
      <c r="L39" s="6"/>
      <c r="M39" s="5"/>
      <c r="N39" s="5"/>
      <c r="O39" s="5"/>
      <c r="P39" s="5"/>
      <c r="Q39" s="5"/>
      <c r="R39" s="5"/>
      <c r="S39" s="5"/>
      <c r="T39" s="5"/>
    </row>
    <row r="40" spans="1:20" x14ac:dyDescent="0.2">
      <c r="A40" s="1">
        <f t="shared" si="0"/>
        <v>40</v>
      </c>
      <c r="B40" t="s">
        <v>21</v>
      </c>
      <c r="C40" s="1">
        <v>31</v>
      </c>
      <c r="D40" s="1">
        <f>D38</f>
        <v>58000</v>
      </c>
      <c r="E40" s="1">
        <f>ROUND(D40*24*C40,0)</f>
        <v>43152000</v>
      </c>
      <c r="F40" s="1">
        <f>ROUND(E40*E$10,0)</f>
        <v>17981438</v>
      </c>
      <c r="G40" s="1">
        <f>ROUND(E40*E$11,0)</f>
        <v>25170562</v>
      </c>
      <c r="H40" s="7">
        <f>H38</f>
        <v>6.02</v>
      </c>
      <c r="I40" s="9">
        <f>I38</f>
        <v>5.0899E-2</v>
      </c>
      <c r="J40" s="9">
        <f>J38</f>
        <v>4.2174000000000003E-2</v>
      </c>
      <c r="K40" s="9">
        <v>-2.6700000000000001E-3</v>
      </c>
      <c r="L40" s="6">
        <v>0.17530000000000001</v>
      </c>
      <c r="M40" s="5">
        <f>ROUND(D40*H40,0)</f>
        <v>349160</v>
      </c>
      <c r="N40" s="5">
        <f>ROUND(F40*I40,0)</f>
        <v>915237</v>
      </c>
      <c r="O40" s="5">
        <f>ROUND(G40*J40,0)</f>
        <v>1061543</v>
      </c>
      <c r="P40" s="5">
        <f>M40+N40+O40</f>
        <v>2325940</v>
      </c>
      <c r="Q40" s="5">
        <f>ROUND(E40*K40,0)</f>
        <v>-115216</v>
      </c>
      <c r="R40" s="5">
        <f>P40+Q40</f>
        <v>2210724</v>
      </c>
      <c r="S40" s="5">
        <f>ROUND(R40*L40,0)</f>
        <v>387540</v>
      </c>
      <c r="T40" s="5">
        <f>R40+S40</f>
        <v>2598264</v>
      </c>
    </row>
    <row r="41" spans="1:20" x14ac:dyDescent="0.2">
      <c r="A41" s="1">
        <f t="shared" si="0"/>
        <v>41</v>
      </c>
      <c r="C41" s="1"/>
      <c r="D41" s="1"/>
      <c r="E41" s="1"/>
      <c r="F41" s="1"/>
      <c r="G41" s="1"/>
      <c r="H41" s="7"/>
      <c r="I41" s="9"/>
      <c r="J41" s="9"/>
      <c r="K41" s="9"/>
      <c r="L41" s="6"/>
      <c r="M41" s="5"/>
      <c r="N41" s="5"/>
      <c r="O41" s="5"/>
      <c r="P41" s="5"/>
      <c r="Q41" s="5"/>
      <c r="R41" s="5"/>
      <c r="S41" s="5"/>
      <c r="T41" s="5"/>
    </row>
    <row r="42" spans="1:20" x14ac:dyDescent="0.2">
      <c r="A42" s="1">
        <f t="shared" si="0"/>
        <v>42</v>
      </c>
      <c r="B42" t="s">
        <v>22</v>
      </c>
      <c r="C42" s="1">
        <v>30</v>
      </c>
      <c r="D42" s="1">
        <f>D40</f>
        <v>58000</v>
      </c>
      <c r="E42" s="1">
        <f>ROUND(D42*24*C42,0)</f>
        <v>41760000</v>
      </c>
      <c r="F42" s="1">
        <f>ROUND(E42*E$10,0)</f>
        <v>17401392</v>
      </c>
      <c r="G42" s="1">
        <f>ROUND(E42*E$11,0)</f>
        <v>24358608</v>
      </c>
      <c r="H42" s="7">
        <f>H40</f>
        <v>6.02</v>
      </c>
      <c r="I42" s="9">
        <f>I40</f>
        <v>5.0899E-2</v>
      </c>
      <c r="J42" s="9">
        <f>J40</f>
        <v>4.2174000000000003E-2</v>
      </c>
      <c r="K42" s="9">
        <v>-3.2799999999999999E-3</v>
      </c>
      <c r="L42" s="6">
        <v>0.2051</v>
      </c>
      <c r="M42" s="5">
        <f>ROUND(D42*H42,0)</f>
        <v>349160</v>
      </c>
      <c r="N42" s="5">
        <f>ROUND(F42*I42,0)</f>
        <v>885713</v>
      </c>
      <c r="O42" s="5">
        <f>ROUND(G42*J42,0)</f>
        <v>1027300</v>
      </c>
      <c r="P42" s="5">
        <f>M42+N42+O42</f>
        <v>2262173</v>
      </c>
      <c r="Q42" s="5">
        <f>ROUND(E42*K42,0)</f>
        <v>-136973</v>
      </c>
      <c r="R42" s="5">
        <f>P42+Q42</f>
        <v>2125200</v>
      </c>
      <c r="S42" s="5">
        <f>ROUND(R42*L42,0)</f>
        <v>435879</v>
      </c>
      <c r="T42" s="5">
        <f>R42+S42</f>
        <v>2561079</v>
      </c>
    </row>
    <row r="43" spans="1:20" x14ac:dyDescent="0.2">
      <c r="A43" s="1">
        <f t="shared" si="0"/>
        <v>43</v>
      </c>
      <c r="D43" s="1"/>
      <c r="E43" s="1"/>
      <c r="F43" s="1"/>
      <c r="G43" s="1"/>
      <c r="H43" s="7"/>
      <c r="I43" s="9"/>
      <c r="J43" s="9"/>
      <c r="K43" s="9"/>
      <c r="L43" s="6"/>
      <c r="M43" s="5"/>
      <c r="N43" s="5"/>
      <c r="O43" s="5"/>
      <c r="P43" s="5"/>
      <c r="Q43" s="5"/>
      <c r="R43" s="5"/>
      <c r="S43" s="5"/>
      <c r="T43" s="5"/>
    </row>
    <row r="44" spans="1:20" x14ac:dyDescent="0.2">
      <c r="A44" s="1">
        <f t="shared" si="0"/>
        <v>44</v>
      </c>
      <c r="B44" t="s">
        <v>23</v>
      </c>
      <c r="D44" s="1">
        <f>SUM(D20:D42)</f>
        <v>696000</v>
      </c>
      <c r="E44" s="1">
        <f>SUM(E20:E42)</f>
        <v>508080000</v>
      </c>
      <c r="F44" s="1">
        <f t="shared" ref="F44" si="1">SUM(F20:F42)</f>
        <v>229457835</v>
      </c>
      <c r="G44" s="1">
        <f>SUM(G20:G42)</f>
        <v>278622165</v>
      </c>
      <c r="H44" s="7"/>
      <c r="I44" s="9"/>
      <c r="J44" s="9"/>
      <c r="K44" s="9"/>
      <c r="L44" s="6"/>
      <c r="M44" s="5">
        <f>SUM(M20:M42)</f>
        <v>4189920</v>
      </c>
      <c r="N44" s="5">
        <f t="shared" ref="N44:T44" si="2">SUM(N20:N42)</f>
        <v>12091379</v>
      </c>
      <c r="O44" s="5">
        <f t="shared" si="2"/>
        <v>12246157</v>
      </c>
      <c r="P44" s="5">
        <f t="shared" si="2"/>
        <v>28527456</v>
      </c>
      <c r="Q44" s="5">
        <f t="shared" si="2"/>
        <v>-2482633</v>
      </c>
      <c r="R44" s="5">
        <f t="shared" si="2"/>
        <v>26044823</v>
      </c>
      <c r="S44" s="5">
        <f t="shared" si="2"/>
        <v>4377209</v>
      </c>
      <c r="T44" s="5">
        <f t="shared" si="2"/>
        <v>30422032</v>
      </c>
    </row>
    <row r="45" spans="1:20" x14ac:dyDescent="0.2">
      <c r="A45" s="1">
        <f t="shared" si="0"/>
        <v>45</v>
      </c>
      <c r="D45" s="1"/>
      <c r="E45" s="1"/>
      <c r="F45" s="1"/>
      <c r="G45" s="1"/>
      <c r="H45" s="7"/>
      <c r="I45" s="9"/>
      <c r="J45" s="9"/>
      <c r="K45" s="9"/>
      <c r="L45" s="6"/>
      <c r="M45" s="5"/>
      <c r="N45" s="5"/>
      <c r="O45" s="5"/>
      <c r="P45" s="5"/>
      <c r="Q45" s="5"/>
      <c r="R45" s="5"/>
      <c r="S45" s="5"/>
      <c r="T45" s="5"/>
    </row>
    <row r="46" spans="1:20" x14ac:dyDescent="0.2">
      <c r="A46" s="1">
        <f t="shared" si="0"/>
        <v>46</v>
      </c>
    </row>
    <row r="47" spans="1:20" x14ac:dyDescent="0.2">
      <c r="A47" s="1"/>
    </row>
    <row r="48" spans="1:20" x14ac:dyDescent="0.2">
      <c r="A48" s="1"/>
    </row>
    <row r="49" spans="1:1" x14ac:dyDescent="0.2">
      <c r="A49" s="1"/>
    </row>
    <row r="50" spans="1:1" x14ac:dyDescent="0.2">
      <c r="A50" s="1"/>
    </row>
    <row r="51" spans="1:1" x14ac:dyDescent="0.2">
      <c r="A51" s="1"/>
    </row>
    <row r="52" spans="1:1" x14ac:dyDescent="0.2">
      <c r="A52" s="1"/>
    </row>
    <row r="53" spans="1:1" x14ac:dyDescent="0.2">
      <c r="A53" s="1"/>
    </row>
  </sheetData>
  <mergeCells count="3">
    <mergeCell ref="E17:G17"/>
    <mergeCell ref="H17:L17"/>
    <mergeCell ref="M17:T17"/>
  </mergeCells>
  <pageMargins left="0.7" right="0.7" top="0.75" bottom="0.75" header="0.3" footer="0.3"/>
  <pageSetup scale="38" orientation="landscape" r:id="rId1"/>
  <ignoredErrors>
    <ignoredError sqref="S22:S23 S41 S39 S37 S35 S33 S31 S29 S27 S25 S24 S26 S28 S30 S32 S34 S36 S38 S40 S42 S2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9"/>
  <sheetViews>
    <sheetView topLeftCell="A4" zoomScale="80" zoomScaleNormal="80" workbookViewId="0">
      <pane xSplit="2" ySplit="38" topLeftCell="C42" activePane="bottomRight" state="frozen"/>
      <selection activeCell="A4" sqref="A4"/>
      <selection pane="topRight" activeCell="C4" sqref="C4"/>
      <selection pane="bottomLeft" activeCell="A42" sqref="A42"/>
      <selection pane="bottomRight" activeCell="B1" sqref="B1"/>
    </sheetView>
  </sheetViews>
  <sheetFormatPr defaultColWidth="15.625" defaultRowHeight="14.25" x14ac:dyDescent="0.2"/>
  <cols>
    <col min="1" max="1" width="4.625" customWidth="1"/>
    <col min="2" max="2" width="26.625" customWidth="1"/>
    <col min="7" max="7" width="15.625" customWidth="1"/>
  </cols>
  <sheetData>
    <row r="1" spans="1:15" x14ac:dyDescent="0.2">
      <c r="A1" s="1">
        <v>1</v>
      </c>
      <c r="B1" t="str">
        <f>'Calculation on 58MW'!B1</f>
        <v>SoKentuckyAmend3-2017 58MW Var Adj.xlsx</v>
      </c>
    </row>
    <row r="2" spans="1:15" x14ac:dyDescent="0.2">
      <c r="A2" s="1">
        <f>A1+1</f>
        <v>2</v>
      </c>
      <c r="B2" t="s">
        <v>82</v>
      </c>
    </row>
    <row r="3" spans="1:15" x14ac:dyDescent="0.2">
      <c r="A3" s="1">
        <f t="shared" ref="A3:A68" si="0">A2+1</f>
        <v>3</v>
      </c>
    </row>
    <row r="4" spans="1:15" x14ac:dyDescent="0.2">
      <c r="A4" s="1">
        <f t="shared" si="0"/>
        <v>4</v>
      </c>
      <c r="B4" s="18" t="s">
        <v>84</v>
      </c>
    </row>
    <row r="5" spans="1:15" x14ac:dyDescent="0.2">
      <c r="A5" s="1">
        <f t="shared" si="0"/>
        <v>5</v>
      </c>
    </row>
    <row r="6" spans="1:15" ht="15" x14ac:dyDescent="0.25">
      <c r="A6" s="1">
        <f t="shared" si="0"/>
        <v>6</v>
      </c>
      <c r="B6" s="2" t="s">
        <v>85</v>
      </c>
    </row>
    <row r="7" spans="1:15" x14ac:dyDescent="0.2">
      <c r="A7" s="1">
        <f t="shared" si="0"/>
        <v>7</v>
      </c>
    </row>
    <row r="8" spans="1:15" x14ac:dyDescent="0.2">
      <c r="A8" s="1">
        <f t="shared" si="0"/>
        <v>8</v>
      </c>
      <c r="B8" s="19" t="s">
        <v>86</v>
      </c>
      <c r="C8" s="19" t="s">
        <v>87</v>
      </c>
      <c r="D8" s="19"/>
      <c r="E8" s="19"/>
      <c r="F8" s="34" t="s">
        <v>78</v>
      </c>
      <c r="G8" s="36"/>
      <c r="H8" s="34" t="s">
        <v>93</v>
      </c>
      <c r="I8" s="35"/>
      <c r="J8" s="36"/>
      <c r="K8" s="19"/>
    </row>
    <row r="9" spans="1:15" ht="15" thickBot="1" x14ac:dyDescent="0.25">
      <c r="A9" s="1">
        <f t="shared" si="0"/>
        <v>9</v>
      </c>
      <c r="B9" s="4" t="s">
        <v>1</v>
      </c>
      <c r="C9" s="4" t="s">
        <v>88</v>
      </c>
      <c r="D9" s="4" t="s">
        <v>89</v>
      </c>
      <c r="E9" s="4" t="s">
        <v>90</v>
      </c>
      <c r="F9" s="27" t="s">
        <v>115</v>
      </c>
      <c r="G9" s="27" t="s">
        <v>91</v>
      </c>
      <c r="H9" s="4" t="s">
        <v>94</v>
      </c>
      <c r="I9" s="4" t="s">
        <v>95</v>
      </c>
      <c r="J9" s="4" t="s">
        <v>96</v>
      </c>
      <c r="K9" s="4" t="s">
        <v>92</v>
      </c>
    </row>
    <row r="10" spans="1:15" x14ac:dyDescent="0.2">
      <c r="A10" s="1">
        <f t="shared" si="0"/>
        <v>10</v>
      </c>
    </row>
    <row r="11" spans="1:15" x14ac:dyDescent="0.2">
      <c r="A11" s="1">
        <f t="shared" si="0"/>
        <v>11</v>
      </c>
      <c r="B11" s="16" t="s">
        <v>97</v>
      </c>
      <c r="C11" s="20">
        <v>-3.9199999999999999E-3</v>
      </c>
      <c r="D11" s="5">
        <v>24821709</v>
      </c>
      <c r="E11" s="1">
        <v>946826738</v>
      </c>
      <c r="F11" s="5">
        <f>ROUND(D11*O$11,0)</f>
        <v>838974</v>
      </c>
      <c r="G11" s="1">
        <f>'Calculation on 58MW'!E42</f>
        <v>41760000</v>
      </c>
      <c r="H11" s="20">
        <f>ROUND((D11-F11)/(E11-G11),5)</f>
        <v>2.6499999999999999E-2</v>
      </c>
      <c r="I11" s="20">
        <v>3.014E-2</v>
      </c>
      <c r="J11" s="20">
        <f>H11-I11</f>
        <v>-3.6400000000000009E-3</v>
      </c>
      <c r="K11" s="16" t="s">
        <v>49</v>
      </c>
      <c r="M11" t="s">
        <v>198</v>
      </c>
      <c r="O11" s="6">
        <v>3.3799999999999997E-2</v>
      </c>
    </row>
    <row r="12" spans="1:15" x14ac:dyDescent="0.2">
      <c r="A12" s="1">
        <f t="shared" si="0"/>
        <v>12</v>
      </c>
      <c r="C12" s="20"/>
      <c r="D12" s="5"/>
      <c r="E12" s="1"/>
      <c r="F12" s="5"/>
      <c r="G12" s="1"/>
      <c r="H12" s="20"/>
      <c r="I12" s="20"/>
      <c r="J12" s="20"/>
    </row>
    <row r="13" spans="1:15" x14ac:dyDescent="0.2">
      <c r="A13" s="1">
        <f t="shared" si="0"/>
        <v>13</v>
      </c>
      <c r="B13" t="s">
        <v>98</v>
      </c>
      <c r="C13" s="20">
        <v>-3.2299999999999998E-3</v>
      </c>
      <c r="D13" s="5">
        <v>33601990</v>
      </c>
      <c r="E13" s="1">
        <v>1248809872</v>
      </c>
      <c r="F13" s="5">
        <f>ROUND(D13*O$11,0)</f>
        <v>1135747</v>
      </c>
      <c r="G13" s="1">
        <f>'Calculation on 58MW'!E20</f>
        <v>43152000</v>
      </c>
      <c r="H13" s="20">
        <f>ROUND((D13-F13)/(E13-G13),5)</f>
        <v>2.6929999999999999E-2</v>
      </c>
      <c r="I13" s="20">
        <v>3.014E-2</v>
      </c>
      <c r="J13" s="20">
        <f>H13-I13</f>
        <v>-3.210000000000001E-3</v>
      </c>
      <c r="K13" t="s">
        <v>99</v>
      </c>
    </row>
    <row r="14" spans="1:15" x14ac:dyDescent="0.2">
      <c r="A14" s="1">
        <f t="shared" si="0"/>
        <v>14</v>
      </c>
      <c r="C14" s="20"/>
      <c r="D14" s="5"/>
      <c r="E14" s="1"/>
      <c r="F14" s="5"/>
      <c r="G14" s="1"/>
      <c r="H14" s="20"/>
      <c r="I14" s="20"/>
      <c r="J14" s="20"/>
    </row>
    <row r="15" spans="1:15" x14ac:dyDescent="0.2">
      <c r="A15" s="1">
        <f t="shared" si="0"/>
        <v>15</v>
      </c>
      <c r="B15" t="s">
        <v>12</v>
      </c>
      <c r="C15" s="20">
        <v>-3.98E-3</v>
      </c>
      <c r="D15" s="5">
        <v>31311745</v>
      </c>
      <c r="E15" s="1">
        <v>1196786531</v>
      </c>
      <c r="F15" s="5">
        <f>ROUND(D15*O$11,0)</f>
        <v>1058337</v>
      </c>
      <c r="G15" s="1">
        <f>'Calculation on 58MW'!E22</f>
        <v>43152000</v>
      </c>
      <c r="H15" s="20">
        <f>ROUND((D15-F15)/(E15-G15),5)</f>
        <v>2.622E-2</v>
      </c>
      <c r="I15" s="20">
        <v>3.014E-2</v>
      </c>
      <c r="J15" s="20">
        <f>H15-I15</f>
        <v>-3.9199999999999999E-3</v>
      </c>
      <c r="K15" t="s">
        <v>13</v>
      </c>
    </row>
    <row r="16" spans="1:15" x14ac:dyDescent="0.2">
      <c r="A16" s="1">
        <f t="shared" si="0"/>
        <v>16</v>
      </c>
      <c r="C16" s="20"/>
      <c r="D16" s="5"/>
      <c r="E16" s="1"/>
      <c r="F16" s="5"/>
      <c r="G16" s="1"/>
      <c r="H16" s="20"/>
      <c r="I16" s="20"/>
      <c r="J16" s="20"/>
    </row>
    <row r="17" spans="1:11" x14ac:dyDescent="0.2">
      <c r="A17" s="1">
        <f t="shared" si="0"/>
        <v>17</v>
      </c>
      <c r="B17" t="s">
        <v>13</v>
      </c>
      <c r="C17" s="20">
        <v>-7.3899999999999999E-3</v>
      </c>
      <c r="D17" s="5">
        <v>22024059</v>
      </c>
      <c r="E17" s="1">
        <v>968121799</v>
      </c>
      <c r="F17" s="5">
        <f>ROUND(D17*O$11,0)</f>
        <v>744413</v>
      </c>
      <c r="G17" s="1">
        <f>'Calculation on 58MW'!E24</f>
        <v>38976000</v>
      </c>
      <c r="H17" s="20">
        <f>ROUND((D17-F17)/(E17-G17),5)</f>
        <v>2.29E-2</v>
      </c>
      <c r="I17" s="20">
        <v>3.014E-2</v>
      </c>
      <c r="J17" s="20">
        <f>H17-I17</f>
        <v>-7.2399999999999999E-3</v>
      </c>
      <c r="K17" t="s">
        <v>14</v>
      </c>
    </row>
    <row r="18" spans="1:11" x14ac:dyDescent="0.2">
      <c r="A18" s="1">
        <f t="shared" si="0"/>
        <v>18</v>
      </c>
      <c r="C18" s="20"/>
      <c r="D18" s="5"/>
      <c r="E18" s="1"/>
      <c r="F18" s="5"/>
      <c r="G18" s="1"/>
      <c r="H18" s="20"/>
      <c r="I18" s="20"/>
      <c r="J18" s="20"/>
    </row>
    <row r="19" spans="1:11" x14ac:dyDescent="0.2">
      <c r="A19" s="1">
        <f t="shared" si="0"/>
        <v>19</v>
      </c>
      <c r="B19" t="s">
        <v>14</v>
      </c>
      <c r="C19" s="20">
        <v>-4.8599999999999997E-3</v>
      </c>
      <c r="D19" s="5">
        <v>26381697</v>
      </c>
      <c r="E19" s="1">
        <v>1043768098</v>
      </c>
      <c r="F19" s="5">
        <f>ROUND(D19*O$11,0)</f>
        <v>891701</v>
      </c>
      <c r="G19" s="1">
        <f>'Calculation on 58MW'!E26</f>
        <v>43152000</v>
      </c>
      <c r="H19" s="20">
        <f>ROUND((D19-F19)/(E19-G19),5)</f>
        <v>2.547E-2</v>
      </c>
      <c r="I19" s="20">
        <v>3.014E-2</v>
      </c>
      <c r="J19" s="20">
        <f>H19-I19</f>
        <v>-4.6700000000000005E-3</v>
      </c>
      <c r="K19" t="s">
        <v>15</v>
      </c>
    </row>
    <row r="20" spans="1:11" x14ac:dyDescent="0.2">
      <c r="A20" s="1">
        <f t="shared" si="0"/>
        <v>20</v>
      </c>
      <c r="C20" s="20"/>
      <c r="D20" s="5"/>
      <c r="E20" s="1"/>
      <c r="F20" s="5"/>
      <c r="G20" s="1"/>
      <c r="H20" s="20"/>
      <c r="I20" s="20"/>
      <c r="J20" s="20"/>
    </row>
    <row r="21" spans="1:11" x14ac:dyDescent="0.2">
      <c r="A21" s="1">
        <f t="shared" si="0"/>
        <v>21</v>
      </c>
      <c r="B21" t="s">
        <v>15</v>
      </c>
      <c r="C21" s="20">
        <v>-5.3200000000000001E-3</v>
      </c>
      <c r="D21" s="5">
        <v>21237091</v>
      </c>
      <c r="E21" s="1">
        <v>855652816</v>
      </c>
      <c r="F21" s="5">
        <f>ROUND(D21*O$11,0)</f>
        <v>717814</v>
      </c>
      <c r="G21" s="1">
        <f>'Calculation on 58MW'!E28</f>
        <v>41760000</v>
      </c>
      <c r="H21" s="20">
        <f>ROUND((D21-F21)/(E21-G21),5)</f>
        <v>2.521E-2</v>
      </c>
      <c r="I21" s="20">
        <v>3.014E-2</v>
      </c>
      <c r="J21" s="20">
        <f>H21-I21</f>
        <v>-4.9300000000000004E-3</v>
      </c>
      <c r="K21" t="s">
        <v>16</v>
      </c>
    </row>
    <row r="22" spans="1:11" x14ac:dyDescent="0.2">
      <c r="A22" s="1">
        <f t="shared" si="0"/>
        <v>22</v>
      </c>
      <c r="C22" s="20"/>
      <c r="D22" s="5"/>
      <c r="E22" s="1"/>
      <c r="F22" s="5"/>
      <c r="G22" s="1"/>
      <c r="H22" s="20"/>
      <c r="I22" s="20"/>
      <c r="J22" s="20"/>
    </row>
    <row r="23" spans="1:11" x14ac:dyDescent="0.2">
      <c r="A23" s="1">
        <f t="shared" si="0"/>
        <v>23</v>
      </c>
      <c r="B23" t="s">
        <v>16</v>
      </c>
      <c r="C23" s="20">
        <v>-5.0499999999999998E-3</v>
      </c>
      <c r="D23" s="5">
        <v>23045237</v>
      </c>
      <c r="E23" s="1">
        <v>918647642</v>
      </c>
      <c r="F23" s="5">
        <f>ROUND(D23*O$11,0)</f>
        <v>778929</v>
      </c>
      <c r="G23" s="1">
        <f>'Calculation on 58MW'!E30</f>
        <v>43152000</v>
      </c>
      <c r="H23" s="20">
        <f>ROUND((D23-F23)/(E23-G23),5)</f>
        <v>2.5430000000000001E-2</v>
      </c>
      <c r="I23" s="20">
        <v>3.014E-2</v>
      </c>
      <c r="J23" s="20">
        <f>H23-I23</f>
        <v>-4.7099999999999989E-3</v>
      </c>
      <c r="K23" t="s">
        <v>17</v>
      </c>
    </row>
    <row r="24" spans="1:11" x14ac:dyDescent="0.2">
      <c r="A24" s="1">
        <f t="shared" si="0"/>
        <v>24</v>
      </c>
      <c r="C24" s="20"/>
      <c r="D24" s="5"/>
      <c r="E24" s="1"/>
      <c r="F24" s="5"/>
      <c r="G24" s="1"/>
      <c r="H24" s="20"/>
      <c r="I24" s="20"/>
      <c r="J24" s="20"/>
    </row>
    <row r="25" spans="1:11" x14ac:dyDescent="0.2">
      <c r="A25" s="1">
        <f t="shared" si="0"/>
        <v>25</v>
      </c>
      <c r="B25" t="s">
        <v>17</v>
      </c>
      <c r="C25" s="20">
        <v>-6.5300000000000002E-3</v>
      </c>
      <c r="D25" s="5">
        <v>23559503</v>
      </c>
      <c r="E25" s="1">
        <v>997714387</v>
      </c>
      <c r="F25" s="5">
        <f>ROUND(D25*O$11,0)</f>
        <v>796311</v>
      </c>
      <c r="G25" s="1">
        <f>'Calculation on 58MW'!E32</f>
        <v>41760000</v>
      </c>
      <c r="H25" s="20">
        <f>ROUND((D25-F25)/(E25-G25),5)</f>
        <v>2.3810000000000001E-2</v>
      </c>
      <c r="I25" s="20">
        <v>3.014E-2</v>
      </c>
      <c r="J25" s="20">
        <f>H25-I25</f>
        <v>-6.3299999999999988E-3</v>
      </c>
      <c r="K25" t="s">
        <v>18</v>
      </c>
    </row>
    <row r="26" spans="1:11" x14ac:dyDescent="0.2">
      <c r="A26" s="1">
        <f t="shared" si="0"/>
        <v>26</v>
      </c>
      <c r="C26" s="20"/>
      <c r="D26" s="5"/>
      <c r="E26" s="1"/>
      <c r="F26" s="5"/>
      <c r="G26" s="1"/>
      <c r="H26" s="20"/>
      <c r="I26" s="20"/>
      <c r="J26" s="20"/>
    </row>
    <row r="27" spans="1:11" x14ac:dyDescent="0.2">
      <c r="A27" s="1">
        <f t="shared" si="0"/>
        <v>27</v>
      </c>
      <c r="B27" t="s">
        <v>18</v>
      </c>
      <c r="C27" s="20">
        <v>-5.3E-3</v>
      </c>
      <c r="D27" s="5">
        <v>28417688</v>
      </c>
      <c r="E27" s="1">
        <v>1144230174</v>
      </c>
      <c r="F27" s="5">
        <f>ROUND(D27*O$11,0)</f>
        <v>960518</v>
      </c>
      <c r="G27" s="1">
        <f>'Calculation on 58MW'!E34</f>
        <v>43152000</v>
      </c>
      <c r="H27" s="20">
        <f>ROUND((D27-F27)/(E27-G27),5)</f>
        <v>2.494E-2</v>
      </c>
      <c r="I27" s="20">
        <v>3.014E-2</v>
      </c>
      <c r="J27" s="20">
        <f>H27-I27</f>
        <v>-5.1999999999999998E-3</v>
      </c>
      <c r="K27" t="s">
        <v>19</v>
      </c>
    </row>
    <row r="28" spans="1:11" x14ac:dyDescent="0.2">
      <c r="A28" s="1">
        <f t="shared" si="0"/>
        <v>28</v>
      </c>
      <c r="C28" s="20"/>
      <c r="D28" s="5"/>
      <c r="E28" s="1"/>
      <c r="F28" s="5"/>
      <c r="G28" s="1"/>
      <c r="H28" s="20"/>
      <c r="I28" s="20"/>
      <c r="J28" s="20"/>
    </row>
    <row r="29" spans="1:11" x14ac:dyDescent="0.2">
      <c r="A29" s="1">
        <f t="shared" si="0"/>
        <v>29</v>
      </c>
      <c r="B29" t="s">
        <v>19</v>
      </c>
      <c r="C29" s="20">
        <v>-7.0400000000000003E-3</v>
      </c>
      <c r="D29" s="5">
        <v>24425142</v>
      </c>
      <c r="E29" s="1">
        <v>1057217273</v>
      </c>
      <c r="F29" s="5">
        <f>ROUND(D29*O$11,0)</f>
        <v>825570</v>
      </c>
      <c r="G29" s="1">
        <f>'Calculation on 58MW'!E36</f>
        <v>43152000</v>
      </c>
      <c r="H29" s="20">
        <f>ROUND((D29-F29)/(E29-G29),5)</f>
        <v>2.3269999999999999E-2</v>
      </c>
      <c r="I29" s="20">
        <v>3.014E-2</v>
      </c>
      <c r="J29" s="20">
        <f>H29-I29</f>
        <v>-6.8700000000000011E-3</v>
      </c>
      <c r="K29" t="s">
        <v>20</v>
      </c>
    </row>
    <row r="30" spans="1:11" x14ac:dyDescent="0.2">
      <c r="A30" s="1">
        <f t="shared" si="0"/>
        <v>30</v>
      </c>
      <c r="C30" s="20"/>
      <c r="D30" s="5"/>
      <c r="E30" s="1"/>
      <c r="F30" s="5"/>
      <c r="G30" s="1"/>
      <c r="H30" s="20"/>
      <c r="I30" s="20"/>
      <c r="J30" s="20"/>
    </row>
    <row r="31" spans="1:11" x14ac:dyDescent="0.2">
      <c r="A31" s="1">
        <f t="shared" si="0"/>
        <v>31</v>
      </c>
      <c r="B31" t="s">
        <v>20</v>
      </c>
      <c r="C31" s="20">
        <v>-2.6700000000000001E-3</v>
      </c>
      <c r="D31" s="5">
        <v>22580855</v>
      </c>
      <c r="E31" s="1">
        <v>900021762</v>
      </c>
      <c r="F31" s="5">
        <f>ROUND(D31*O$11,0)</f>
        <v>763233</v>
      </c>
      <c r="G31" s="1">
        <f>'Calculation on 58MW'!E38</f>
        <v>41760000</v>
      </c>
      <c r="H31" s="20">
        <f>ROUND((D31-F31)/(E31-G31),5)</f>
        <v>2.5420000000000002E-2</v>
      </c>
      <c r="I31" s="20">
        <v>2.776E-2</v>
      </c>
      <c r="J31" s="20">
        <f>H31-I31</f>
        <v>-2.3399999999999983E-3</v>
      </c>
      <c r="K31" t="s">
        <v>21</v>
      </c>
    </row>
    <row r="32" spans="1:11" x14ac:dyDescent="0.2">
      <c r="A32" s="1">
        <f t="shared" si="0"/>
        <v>32</v>
      </c>
      <c r="F32" s="5"/>
    </row>
    <row r="33" spans="1:38" x14ac:dyDescent="0.2">
      <c r="A33" s="1">
        <f t="shared" si="0"/>
        <v>33</v>
      </c>
      <c r="B33" t="s">
        <v>21</v>
      </c>
      <c r="C33" s="20">
        <v>-3.2799999999999999E-3</v>
      </c>
      <c r="D33" s="1">
        <v>22116132</v>
      </c>
      <c r="E33" s="1">
        <v>903260380</v>
      </c>
      <c r="F33" s="5">
        <f>ROUND(D33*O$11,0)</f>
        <v>747525</v>
      </c>
      <c r="G33" s="1">
        <f>'Calculation on 58MW'!E40</f>
        <v>43152000</v>
      </c>
      <c r="H33" s="20">
        <f>ROUND((D33-F33)/(E33-G33),5)</f>
        <v>2.4840000000000001E-2</v>
      </c>
      <c r="I33" s="20">
        <v>2.776E-2</v>
      </c>
      <c r="J33" s="20">
        <f>H33-I33</f>
        <v>-2.919999999999999E-3</v>
      </c>
      <c r="K33" t="s">
        <v>22</v>
      </c>
    </row>
    <row r="34" spans="1:38" x14ac:dyDescent="0.2">
      <c r="A34" s="1">
        <f t="shared" si="0"/>
        <v>34</v>
      </c>
      <c r="F34" s="5"/>
    </row>
    <row r="35" spans="1:38" x14ac:dyDescent="0.2">
      <c r="A35" s="1">
        <f t="shared" si="0"/>
        <v>35</v>
      </c>
      <c r="B35" s="26" t="s">
        <v>114</v>
      </c>
      <c r="D35" s="5">
        <f>SUM(D11:D33)</f>
        <v>303522848</v>
      </c>
      <c r="E35" s="1">
        <f>SUM(E11:E33)</f>
        <v>12181057472</v>
      </c>
      <c r="F35" s="5">
        <f>SUM(F11:F33)</f>
        <v>10259072</v>
      </c>
      <c r="G35" s="1">
        <f>SUM(G11:G33)</f>
        <v>508080000</v>
      </c>
    </row>
    <row r="36" spans="1:38" x14ac:dyDescent="0.2">
      <c r="A36" s="1">
        <f t="shared" si="0"/>
        <v>36</v>
      </c>
    </row>
    <row r="37" spans="1:38" x14ac:dyDescent="0.2">
      <c r="A37" s="1">
        <f t="shared" si="0"/>
        <v>37</v>
      </c>
      <c r="B37" t="s">
        <v>199</v>
      </c>
    </row>
    <row r="38" spans="1:38" x14ac:dyDescent="0.2">
      <c r="A38" s="1">
        <f t="shared" si="0"/>
        <v>38</v>
      </c>
    </row>
    <row r="39" spans="1:38" x14ac:dyDescent="0.2">
      <c r="A39" s="1">
        <f t="shared" si="0"/>
        <v>39</v>
      </c>
    </row>
    <row r="40" spans="1:38" x14ac:dyDescent="0.2">
      <c r="A40" s="1">
        <f t="shared" si="0"/>
        <v>40</v>
      </c>
      <c r="C40" s="34" t="s">
        <v>52</v>
      </c>
      <c r="D40" s="36"/>
      <c r="E40" s="34" t="s">
        <v>53</v>
      </c>
      <c r="F40" s="36"/>
      <c r="G40" s="34" t="s">
        <v>54</v>
      </c>
      <c r="H40" s="36"/>
      <c r="I40" s="34" t="s">
        <v>55</v>
      </c>
      <c r="J40" s="36"/>
      <c r="K40" s="34" t="s">
        <v>56</v>
      </c>
      <c r="L40" s="36"/>
      <c r="M40" s="34" t="s">
        <v>57</v>
      </c>
      <c r="N40" s="36"/>
      <c r="O40" s="34" t="s">
        <v>58</v>
      </c>
      <c r="P40" s="36"/>
      <c r="Q40" s="34" t="s">
        <v>59</v>
      </c>
      <c r="R40" s="36"/>
      <c r="S40" s="34" t="s">
        <v>60</v>
      </c>
      <c r="T40" s="36"/>
      <c r="U40" s="34" t="s">
        <v>61</v>
      </c>
      <c r="V40" s="36"/>
      <c r="W40" s="34" t="s">
        <v>62</v>
      </c>
      <c r="X40" s="36"/>
      <c r="Y40" s="34" t="s">
        <v>63</v>
      </c>
      <c r="Z40" s="36"/>
      <c r="AA40" s="34" t="s">
        <v>64</v>
      </c>
      <c r="AB40" s="36"/>
      <c r="AC40" s="34" t="s">
        <v>65</v>
      </c>
      <c r="AD40" s="36"/>
      <c r="AE40" s="34" t="s">
        <v>66</v>
      </c>
      <c r="AF40" s="36"/>
      <c r="AG40" s="3" t="s">
        <v>76</v>
      </c>
      <c r="AH40" s="3" t="s">
        <v>106</v>
      </c>
      <c r="AI40" s="3"/>
      <c r="AJ40" s="3"/>
      <c r="AK40" s="3"/>
      <c r="AL40" s="3"/>
    </row>
    <row r="41" spans="1:38" ht="15" thickBot="1" x14ac:dyDescent="0.25">
      <c r="A41" s="1">
        <f t="shared" si="0"/>
        <v>41</v>
      </c>
      <c r="B41" s="4" t="s">
        <v>1</v>
      </c>
      <c r="C41" s="4" t="s">
        <v>100</v>
      </c>
      <c r="D41" s="4" t="s">
        <v>68</v>
      </c>
      <c r="E41" s="4" t="s">
        <v>100</v>
      </c>
      <c r="F41" s="4" t="s">
        <v>68</v>
      </c>
      <c r="G41" s="4" t="s">
        <v>100</v>
      </c>
      <c r="H41" s="4" t="s">
        <v>68</v>
      </c>
      <c r="I41" s="4" t="s">
        <v>100</v>
      </c>
      <c r="J41" s="4" t="s">
        <v>68</v>
      </c>
      <c r="K41" s="4" t="s">
        <v>100</v>
      </c>
      <c r="L41" s="4" t="s">
        <v>68</v>
      </c>
      <c r="M41" s="4" t="s">
        <v>100</v>
      </c>
      <c r="N41" s="4" t="s">
        <v>68</v>
      </c>
      <c r="O41" s="4" t="s">
        <v>100</v>
      </c>
      <c r="P41" s="4" t="s">
        <v>68</v>
      </c>
      <c r="Q41" s="4" t="s">
        <v>100</v>
      </c>
      <c r="R41" s="4" t="s">
        <v>68</v>
      </c>
      <c r="S41" s="4" t="s">
        <v>100</v>
      </c>
      <c r="T41" s="4" t="s">
        <v>68</v>
      </c>
      <c r="U41" s="4" t="s">
        <v>100</v>
      </c>
      <c r="V41" s="4" t="s">
        <v>68</v>
      </c>
      <c r="W41" s="4" t="s">
        <v>100</v>
      </c>
      <c r="X41" s="4" t="s">
        <v>68</v>
      </c>
      <c r="Y41" s="4" t="s">
        <v>100</v>
      </c>
      <c r="Z41" s="4" t="s">
        <v>68</v>
      </c>
      <c r="AA41" s="4" t="s">
        <v>100</v>
      </c>
      <c r="AB41" s="4" t="s">
        <v>68</v>
      </c>
      <c r="AC41" s="4" t="s">
        <v>100</v>
      </c>
      <c r="AD41" s="4" t="s">
        <v>68</v>
      </c>
      <c r="AE41" s="4" t="s">
        <v>100</v>
      </c>
      <c r="AF41" s="4" t="s">
        <v>68</v>
      </c>
      <c r="AG41" s="4" t="s">
        <v>68</v>
      </c>
      <c r="AH41" s="4" t="s">
        <v>107</v>
      </c>
      <c r="AI41" s="34" t="s">
        <v>112</v>
      </c>
      <c r="AJ41" s="35"/>
      <c r="AK41" s="35"/>
      <c r="AL41" s="36"/>
    </row>
    <row r="42" spans="1:38" x14ac:dyDescent="0.2">
      <c r="A42" s="1">
        <f t="shared" si="0"/>
        <v>42</v>
      </c>
      <c r="AI42" s="21"/>
    </row>
    <row r="43" spans="1:38" x14ac:dyDescent="0.2">
      <c r="A43" s="1">
        <f t="shared" si="0"/>
        <v>43</v>
      </c>
      <c r="B43" s="16" t="s">
        <v>49</v>
      </c>
      <c r="AI43" s="22"/>
    </row>
    <row r="44" spans="1:38" x14ac:dyDescent="0.2">
      <c r="A44" s="1">
        <f t="shared" si="0"/>
        <v>44</v>
      </c>
      <c r="B44" t="s">
        <v>101</v>
      </c>
      <c r="C44" s="5">
        <v>-95871</v>
      </c>
      <c r="D44" s="5"/>
      <c r="E44" s="5">
        <v>-539022</v>
      </c>
      <c r="F44" s="5"/>
      <c r="G44" s="5">
        <v>-186534</v>
      </c>
      <c r="H44" s="5"/>
      <c r="I44" s="5">
        <v>-184945</v>
      </c>
      <c r="J44" s="5"/>
      <c r="K44" s="5">
        <v>-199564</v>
      </c>
      <c r="L44" s="5"/>
      <c r="M44" s="5">
        <f>-326269-83266</f>
        <v>-409535</v>
      </c>
      <c r="N44" s="5"/>
      <c r="O44" s="5">
        <v>-103363</v>
      </c>
      <c r="P44" s="5"/>
      <c r="Q44" s="5">
        <v>-203581</v>
      </c>
      <c r="R44" s="5"/>
      <c r="S44" s="5">
        <v>-378041</v>
      </c>
      <c r="T44" s="5"/>
      <c r="U44" s="5">
        <v>-106424</v>
      </c>
      <c r="V44" s="5"/>
      <c r="W44" s="5">
        <v>-304794</v>
      </c>
      <c r="X44" s="5"/>
      <c r="Y44" s="5">
        <f>-506920-297740</f>
        <v>-804660</v>
      </c>
      <c r="Z44" s="5"/>
      <c r="AA44" s="5">
        <f>-455196+4170</f>
        <v>-451026</v>
      </c>
      <c r="AB44" s="5"/>
      <c r="AC44" s="5">
        <v>-192950</v>
      </c>
      <c r="AD44" s="5"/>
      <c r="AE44" s="5">
        <v>-193870</v>
      </c>
      <c r="AF44" s="5"/>
      <c r="AG44" s="5">
        <f>SUM(C44:AF44)</f>
        <v>-4354180</v>
      </c>
      <c r="AH44" s="5">
        <f>-4892625-(-534275)+4170</f>
        <v>-4354180</v>
      </c>
      <c r="AI44" s="23" t="s">
        <v>108</v>
      </c>
      <c r="AJ44" s="5"/>
      <c r="AK44" s="1">
        <f>136294950-G13</f>
        <v>93142950</v>
      </c>
      <c r="AL44" s="5"/>
    </row>
    <row r="45" spans="1:38" x14ac:dyDescent="0.2">
      <c r="A45" s="1">
        <f t="shared" si="0"/>
        <v>45</v>
      </c>
      <c r="B45" t="s">
        <v>102</v>
      </c>
      <c r="C45" s="1">
        <v>24457045</v>
      </c>
      <c r="D45" s="1"/>
      <c r="E45" s="1">
        <v>137506169</v>
      </c>
      <c r="F45" s="1"/>
      <c r="G45" s="1">
        <v>47585118</v>
      </c>
      <c r="H45" s="1"/>
      <c r="I45" s="1">
        <v>47179731</v>
      </c>
      <c r="J45" s="1"/>
      <c r="K45" s="1">
        <v>50908678</v>
      </c>
      <c r="L45" s="1"/>
      <c r="M45" s="1">
        <f>83232245+(20642586*1.029)</f>
        <v>104473465.994</v>
      </c>
      <c r="N45" s="1"/>
      <c r="O45" s="1">
        <v>26368237</v>
      </c>
      <c r="P45" s="1"/>
      <c r="Q45" s="1">
        <f>52107524-172960</f>
        <v>51934564</v>
      </c>
      <c r="R45" s="1"/>
      <c r="S45" s="1">
        <v>96438767</v>
      </c>
      <c r="T45" s="1"/>
      <c r="U45" s="1">
        <v>27148885</v>
      </c>
      <c r="V45" s="1"/>
      <c r="W45" s="1">
        <v>77753662</v>
      </c>
      <c r="X45" s="1"/>
      <c r="Y45" s="1">
        <f>76377422+129316475-423173</f>
        <v>205270724</v>
      </c>
      <c r="Z45" s="1"/>
      <c r="AA45" s="1">
        <f>116122013-1063707</f>
        <v>115058306</v>
      </c>
      <c r="AB45" s="1"/>
      <c r="AC45" s="1">
        <v>49222061</v>
      </c>
      <c r="AD45" s="1"/>
      <c r="AE45" s="1">
        <v>49547913</v>
      </c>
      <c r="AF45" s="1"/>
      <c r="AG45" s="1"/>
      <c r="AH45" s="1"/>
      <c r="AI45" s="24" t="s">
        <v>109</v>
      </c>
      <c r="AJ45" s="1"/>
      <c r="AK45" s="5">
        <f>ROUND(AK44*C11,0)</f>
        <v>-365120</v>
      </c>
    </row>
    <row r="46" spans="1:38" x14ac:dyDescent="0.2">
      <c r="A46" s="1">
        <f t="shared" si="0"/>
        <v>46</v>
      </c>
      <c r="B46" t="s">
        <v>103</v>
      </c>
      <c r="C46" s="20">
        <f>J11</f>
        <v>-3.6400000000000009E-3</v>
      </c>
      <c r="D46" s="20"/>
      <c r="E46" s="20">
        <f>$C46</f>
        <v>-3.6400000000000009E-3</v>
      </c>
      <c r="F46" s="20"/>
      <c r="G46" s="20">
        <f>$C46</f>
        <v>-3.6400000000000009E-3</v>
      </c>
      <c r="H46" s="20"/>
      <c r="I46" s="20">
        <f>$C46</f>
        <v>-3.6400000000000009E-3</v>
      </c>
      <c r="J46" s="20"/>
      <c r="K46" s="20">
        <f>$C46</f>
        <v>-3.6400000000000009E-3</v>
      </c>
      <c r="L46" s="20"/>
      <c r="M46" s="20">
        <f>$C46</f>
        <v>-3.6400000000000009E-3</v>
      </c>
      <c r="N46" s="20"/>
      <c r="O46" s="20">
        <f>$C46</f>
        <v>-3.6400000000000009E-3</v>
      </c>
      <c r="P46" s="20"/>
      <c r="Q46" s="20">
        <f>$C46</f>
        <v>-3.6400000000000009E-3</v>
      </c>
      <c r="R46" s="20"/>
      <c r="S46" s="20">
        <f>$C46</f>
        <v>-3.6400000000000009E-3</v>
      </c>
      <c r="T46" s="20"/>
      <c r="U46" s="20">
        <f>$C46</f>
        <v>-3.6400000000000009E-3</v>
      </c>
      <c r="V46" s="20"/>
      <c r="W46" s="20">
        <f>$C46</f>
        <v>-3.6400000000000009E-3</v>
      </c>
      <c r="X46" s="20"/>
      <c r="Y46" s="20">
        <f>$C46</f>
        <v>-3.6400000000000009E-3</v>
      </c>
      <c r="Z46" s="20"/>
      <c r="AA46" s="20">
        <f>$C46</f>
        <v>-3.6400000000000009E-3</v>
      </c>
      <c r="AB46" s="20"/>
      <c r="AC46" s="20">
        <f>$C46</f>
        <v>-3.6400000000000009E-3</v>
      </c>
      <c r="AD46" s="20"/>
      <c r="AE46" s="20">
        <f>$C46</f>
        <v>-3.6400000000000009E-3</v>
      </c>
      <c r="AF46" s="20"/>
      <c r="AG46" s="20"/>
      <c r="AH46" s="20"/>
      <c r="AI46" s="25" t="s">
        <v>110</v>
      </c>
      <c r="AJ46" s="20"/>
      <c r="AK46" s="5">
        <f>ROUND(AK44*AE46,0)</f>
        <v>-339040</v>
      </c>
    </row>
    <row r="47" spans="1:38" x14ac:dyDescent="0.2">
      <c r="A47" s="1">
        <f t="shared" si="0"/>
        <v>47</v>
      </c>
      <c r="B47" t="s">
        <v>104</v>
      </c>
      <c r="C47" s="5"/>
      <c r="D47" s="5">
        <f>ROUND(C45*C46,0)</f>
        <v>-89024</v>
      </c>
      <c r="E47" s="5"/>
      <c r="F47" s="5">
        <f>ROUND(E45*E46,0)</f>
        <v>-500522</v>
      </c>
      <c r="G47" s="5"/>
      <c r="H47" s="5">
        <f>ROUND(G45*G46,0)</f>
        <v>-173210</v>
      </c>
      <c r="I47" s="5"/>
      <c r="J47" s="5">
        <f>ROUND(I45*I46,0)</f>
        <v>-171734</v>
      </c>
      <c r="K47" s="5"/>
      <c r="L47" s="5">
        <f>ROUND(K45*K46,0)</f>
        <v>-185308</v>
      </c>
      <c r="M47" s="5"/>
      <c r="N47" s="5">
        <f>ROUND(M45*M46,0)</f>
        <v>-380283</v>
      </c>
      <c r="O47" s="5"/>
      <c r="P47" s="5">
        <f>ROUND(O45*O46,0)</f>
        <v>-95980</v>
      </c>
      <c r="Q47" s="5"/>
      <c r="R47" s="5">
        <f>ROUND(Q45*Q46,0)</f>
        <v>-189042</v>
      </c>
      <c r="S47" s="5"/>
      <c r="T47" s="5">
        <f>ROUND(S45*S46,0)</f>
        <v>-351037</v>
      </c>
      <c r="U47" s="5"/>
      <c r="V47" s="5">
        <f>ROUND(U45*U46,0)</f>
        <v>-98822</v>
      </c>
      <c r="W47" s="5"/>
      <c r="X47" s="5">
        <f>ROUND(W45*W46,0)</f>
        <v>-283023</v>
      </c>
      <c r="Y47" s="5"/>
      <c r="Z47" s="5">
        <f>ROUND(Y45*Y46,0)</f>
        <v>-747185</v>
      </c>
      <c r="AA47" s="5"/>
      <c r="AB47" s="5">
        <f>ROUND(AA45*AA46,0)</f>
        <v>-418812</v>
      </c>
      <c r="AC47" s="5"/>
      <c r="AD47" s="5">
        <f>ROUND(AC45*AC46,0)</f>
        <v>-179168</v>
      </c>
      <c r="AE47" s="5"/>
      <c r="AF47" s="5">
        <f>ROUND(AE45*AE46,0)</f>
        <v>-180354</v>
      </c>
      <c r="AG47" s="5">
        <f>SUM(D47:AF47)</f>
        <v>-4043504</v>
      </c>
      <c r="AH47" s="5"/>
      <c r="AI47" s="23" t="s">
        <v>111</v>
      </c>
      <c r="AJ47" s="5"/>
      <c r="AL47" s="5">
        <f>AK46-AK45</f>
        <v>26080</v>
      </c>
    </row>
    <row r="48" spans="1:38" x14ac:dyDescent="0.2">
      <c r="A48" s="1">
        <f t="shared" si="0"/>
        <v>48</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22"/>
    </row>
    <row r="49" spans="1:38" x14ac:dyDescent="0.2">
      <c r="A49" s="1">
        <f t="shared" si="0"/>
        <v>49</v>
      </c>
      <c r="B49" t="s">
        <v>105</v>
      </c>
      <c r="D49" s="5">
        <f>D47-C44</f>
        <v>6847</v>
      </c>
      <c r="F49" s="5">
        <f>F47-E44</f>
        <v>38500</v>
      </c>
      <c r="H49" s="5">
        <f>H47-G44</f>
        <v>13324</v>
      </c>
      <c r="J49" s="5">
        <f>J47-I44</f>
        <v>13211</v>
      </c>
      <c r="L49" s="5">
        <f>L47-K44</f>
        <v>14256</v>
      </c>
      <c r="N49" s="5">
        <f>N47-M44</f>
        <v>29252</v>
      </c>
      <c r="P49" s="5">
        <f>P47-O44</f>
        <v>7383</v>
      </c>
      <c r="R49" s="5">
        <f>R47-Q44</f>
        <v>14539</v>
      </c>
      <c r="T49" s="5">
        <f>T47-S44</f>
        <v>27004</v>
      </c>
      <c r="V49" s="5">
        <f>V47-U44</f>
        <v>7602</v>
      </c>
      <c r="X49" s="5">
        <f>X47-W44</f>
        <v>21771</v>
      </c>
      <c r="Z49" s="5">
        <f>Z47-Y44</f>
        <v>57475</v>
      </c>
      <c r="AB49" s="5">
        <f>AB47-AA44</f>
        <v>32214</v>
      </c>
      <c r="AD49" s="5">
        <f>AD47-AC44</f>
        <v>13782</v>
      </c>
      <c r="AF49" s="5">
        <f>AF47-AE44</f>
        <v>13516</v>
      </c>
      <c r="AG49" s="5">
        <f>SUM(D49:AF49)</f>
        <v>310676</v>
      </c>
      <c r="AH49" s="5"/>
      <c r="AI49" s="23"/>
      <c r="AJ49" s="5"/>
      <c r="AL49" s="5"/>
    </row>
    <row r="50" spans="1:38" x14ac:dyDescent="0.2">
      <c r="A50" s="1">
        <f t="shared" si="0"/>
        <v>50</v>
      </c>
      <c r="AI50" s="22"/>
    </row>
    <row r="51" spans="1:38" x14ac:dyDescent="0.2">
      <c r="A51" s="1">
        <f t="shared" si="0"/>
        <v>51</v>
      </c>
      <c r="B51" t="s">
        <v>12</v>
      </c>
      <c r="AI51" s="22"/>
    </row>
    <row r="52" spans="1:38" x14ac:dyDescent="0.2">
      <c r="A52" s="1">
        <f t="shared" si="0"/>
        <v>52</v>
      </c>
      <c r="B52" t="s">
        <v>101</v>
      </c>
      <c r="C52" s="5">
        <v>-72940</v>
      </c>
      <c r="D52" s="5"/>
      <c r="E52" s="5">
        <v>-429021</v>
      </c>
      <c r="F52" s="5"/>
      <c r="G52" s="5">
        <v>-143792</v>
      </c>
      <c r="H52" s="5"/>
      <c r="I52" s="5">
        <v>-141701</v>
      </c>
      <c r="J52" s="5"/>
      <c r="K52" s="5">
        <v>-156998</v>
      </c>
      <c r="L52" s="5"/>
      <c r="M52" s="5">
        <f>-253781-67412</f>
        <v>-321193</v>
      </c>
      <c r="N52" s="5"/>
      <c r="O52" s="5">
        <v>-79605</v>
      </c>
      <c r="P52" s="5"/>
      <c r="Q52" s="5">
        <v>-159186</v>
      </c>
      <c r="R52" s="5"/>
      <c r="S52" s="5">
        <v>-291156</v>
      </c>
      <c r="T52" s="5"/>
      <c r="U52" s="5">
        <v>-81371</v>
      </c>
      <c r="V52" s="5"/>
      <c r="W52" s="5">
        <v>-241834</v>
      </c>
      <c r="X52" s="5"/>
      <c r="Y52" s="5">
        <f>-399795-268193</f>
        <v>-667988</v>
      </c>
      <c r="Z52" s="5"/>
      <c r="AA52" s="5">
        <f>-357609+3060</f>
        <v>-354549</v>
      </c>
      <c r="AB52" s="5"/>
      <c r="AC52" s="5">
        <v>-156031</v>
      </c>
      <c r="AD52" s="5"/>
      <c r="AE52" s="5">
        <v>-149313</v>
      </c>
      <c r="AF52" s="5"/>
      <c r="AG52" s="5">
        <f>SUM(C52:AF52)</f>
        <v>-3446678</v>
      </c>
      <c r="AH52" s="5">
        <f>-3864673-(-414935)+3060</f>
        <v>-3446678</v>
      </c>
      <c r="AI52" s="23" t="s">
        <v>108</v>
      </c>
      <c r="AJ52" s="5"/>
      <c r="AK52" s="1">
        <f>128462914-G15</f>
        <v>85310914</v>
      </c>
      <c r="AL52" s="5"/>
    </row>
    <row r="53" spans="1:38" x14ac:dyDescent="0.2">
      <c r="A53" s="1">
        <f t="shared" si="0"/>
        <v>53</v>
      </c>
      <c r="B53" t="s">
        <v>102</v>
      </c>
      <c r="C53" s="1">
        <v>22581738</v>
      </c>
      <c r="D53" s="1"/>
      <c r="E53" s="1">
        <v>132823808</v>
      </c>
      <c r="F53" s="1"/>
      <c r="G53" s="1">
        <v>44518120</v>
      </c>
      <c r="H53" s="1"/>
      <c r="I53" s="1">
        <v>43870038</v>
      </c>
      <c r="J53" s="1"/>
      <c r="K53" s="1">
        <v>48606055</v>
      </c>
      <c r="L53" s="1"/>
      <c r="M53" s="1">
        <f>78570006+(20302290*1.028)</f>
        <v>99440760.120000005</v>
      </c>
      <c r="N53" s="1"/>
      <c r="O53" s="1">
        <v>24645811</v>
      </c>
      <c r="P53" s="1"/>
      <c r="Q53" s="1">
        <v>49283736</v>
      </c>
      <c r="R53" s="1"/>
      <c r="S53" s="1">
        <v>90142013</v>
      </c>
      <c r="T53" s="1"/>
      <c r="U53" s="1">
        <v>25192068</v>
      </c>
      <c r="V53" s="1"/>
      <c r="W53" s="1">
        <v>74871568</v>
      </c>
      <c r="X53" s="1"/>
      <c r="Y53" s="1">
        <f>83031760+123775806</f>
        <v>206807566</v>
      </c>
      <c r="Z53" s="1"/>
      <c r="AA53" s="1">
        <f>-947103+110714974</f>
        <v>109767871</v>
      </c>
      <c r="AB53" s="1"/>
      <c r="AC53" s="1">
        <v>48307283</v>
      </c>
      <c r="AD53" s="1"/>
      <c r="AE53" s="1">
        <v>46227008</v>
      </c>
      <c r="AF53" s="1"/>
      <c r="AG53" s="1"/>
      <c r="AH53" s="1"/>
      <c r="AI53" s="24" t="s">
        <v>109</v>
      </c>
      <c r="AJ53" s="1"/>
      <c r="AK53" s="5">
        <f>ROUND(AK52*C13,0)</f>
        <v>-275554</v>
      </c>
    </row>
    <row r="54" spans="1:38" x14ac:dyDescent="0.2">
      <c r="A54" s="1">
        <f t="shared" si="0"/>
        <v>54</v>
      </c>
      <c r="B54" t="s">
        <v>103</v>
      </c>
      <c r="C54" s="20">
        <f>J13</f>
        <v>-3.210000000000001E-3</v>
      </c>
      <c r="D54" s="20"/>
      <c r="E54" s="20">
        <f>$C54</f>
        <v>-3.210000000000001E-3</v>
      </c>
      <c r="F54" s="20"/>
      <c r="G54" s="20">
        <f>$C54</f>
        <v>-3.210000000000001E-3</v>
      </c>
      <c r="H54" s="20"/>
      <c r="I54" s="20">
        <f>$C54</f>
        <v>-3.210000000000001E-3</v>
      </c>
      <c r="J54" s="20"/>
      <c r="K54" s="20">
        <f>$C54</f>
        <v>-3.210000000000001E-3</v>
      </c>
      <c r="L54" s="20"/>
      <c r="M54" s="20">
        <f>$C54</f>
        <v>-3.210000000000001E-3</v>
      </c>
      <c r="N54" s="20"/>
      <c r="O54" s="20">
        <f>$C54</f>
        <v>-3.210000000000001E-3</v>
      </c>
      <c r="P54" s="20"/>
      <c r="Q54" s="20">
        <f>$C54</f>
        <v>-3.210000000000001E-3</v>
      </c>
      <c r="R54" s="20"/>
      <c r="S54" s="20">
        <f>$C54</f>
        <v>-3.210000000000001E-3</v>
      </c>
      <c r="T54" s="20"/>
      <c r="U54" s="20">
        <f>$C54</f>
        <v>-3.210000000000001E-3</v>
      </c>
      <c r="V54" s="20"/>
      <c r="W54" s="20">
        <f>$C54</f>
        <v>-3.210000000000001E-3</v>
      </c>
      <c r="X54" s="20"/>
      <c r="Y54" s="20">
        <f>$C54</f>
        <v>-3.210000000000001E-3</v>
      </c>
      <c r="Z54" s="20"/>
      <c r="AA54" s="20">
        <f>$C54</f>
        <v>-3.210000000000001E-3</v>
      </c>
      <c r="AB54" s="20"/>
      <c r="AC54" s="20">
        <f>$C54</f>
        <v>-3.210000000000001E-3</v>
      </c>
      <c r="AD54" s="20"/>
      <c r="AE54" s="20">
        <f>$C54</f>
        <v>-3.210000000000001E-3</v>
      </c>
      <c r="AF54" s="20"/>
      <c r="AG54" s="20"/>
      <c r="AH54" s="20"/>
      <c r="AI54" s="25" t="s">
        <v>110</v>
      </c>
      <c r="AJ54" s="20"/>
      <c r="AK54" s="5">
        <f>ROUND(AK52*AE54,0)</f>
        <v>-273848</v>
      </c>
    </row>
    <row r="55" spans="1:38" x14ac:dyDescent="0.2">
      <c r="A55" s="1">
        <f t="shared" si="0"/>
        <v>55</v>
      </c>
      <c r="B55" t="s">
        <v>104</v>
      </c>
      <c r="C55" s="5"/>
      <c r="D55" s="5">
        <f>ROUND(C53*C54,0)</f>
        <v>-72487</v>
      </c>
      <c r="E55" s="5"/>
      <c r="F55" s="5">
        <f>ROUND(E53*E54,0)</f>
        <v>-426364</v>
      </c>
      <c r="G55" s="5"/>
      <c r="H55" s="5">
        <f>ROUND(G53*G54,0)</f>
        <v>-142903</v>
      </c>
      <c r="I55" s="5"/>
      <c r="J55" s="5">
        <f>ROUND(I53*I54,0)</f>
        <v>-140823</v>
      </c>
      <c r="K55" s="5"/>
      <c r="L55" s="5">
        <f>ROUND(K53*K54,0)</f>
        <v>-156025</v>
      </c>
      <c r="M55" s="5"/>
      <c r="N55" s="5">
        <f>ROUND(M53*M54,0)</f>
        <v>-319205</v>
      </c>
      <c r="O55" s="5"/>
      <c r="P55" s="5">
        <f>ROUND(O53*O54,0)</f>
        <v>-79113</v>
      </c>
      <c r="Q55" s="5"/>
      <c r="R55" s="5">
        <f>ROUND(Q53*Q54,0)</f>
        <v>-158201</v>
      </c>
      <c r="S55" s="5"/>
      <c r="T55" s="5">
        <f>ROUND(S53*S54,0)</f>
        <v>-289356</v>
      </c>
      <c r="U55" s="5"/>
      <c r="V55" s="5">
        <f>ROUND(U53*U54,0)</f>
        <v>-80867</v>
      </c>
      <c r="W55" s="5"/>
      <c r="X55" s="5">
        <f>ROUND(W53*W54,0)</f>
        <v>-240338</v>
      </c>
      <c r="Y55" s="5"/>
      <c r="Z55" s="5">
        <f>ROUND(Y53*Y54,0)</f>
        <v>-663852</v>
      </c>
      <c r="AA55" s="5"/>
      <c r="AB55" s="5">
        <f>ROUND(AA53*AA54,0)</f>
        <v>-352355</v>
      </c>
      <c r="AC55" s="5"/>
      <c r="AD55" s="5">
        <f>ROUND(AC53*AC54,0)</f>
        <v>-155066</v>
      </c>
      <c r="AE55" s="5"/>
      <c r="AF55" s="5">
        <f>ROUND(AE53*AE54,0)</f>
        <v>-148389</v>
      </c>
      <c r="AG55" s="5">
        <f>SUM(D55:AF55)</f>
        <v>-3425344</v>
      </c>
      <c r="AH55" s="5"/>
      <c r="AI55" s="23" t="s">
        <v>111</v>
      </c>
      <c r="AJ55" s="5"/>
      <c r="AL55" s="5">
        <f>AK54-AK53</f>
        <v>1706</v>
      </c>
    </row>
    <row r="56" spans="1:38" x14ac:dyDescent="0.2">
      <c r="A56" s="1">
        <f t="shared" si="0"/>
        <v>56</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22"/>
    </row>
    <row r="57" spans="1:38" x14ac:dyDescent="0.2">
      <c r="A57" s="1">
        <f t="shared" si="0"/>
        <v>57</v>
      </c>
      <c r="B57" t="s">
        <v>105</v>
      </c>
      <c r="D57" s="5">
        <f>D55-C52</f>
        <v>453</v>
      </c>
      <c r="F57" s="5">
        <f>F55-E52</f>
        <v>2657</v>
      </c>
      <c r="H57" s="5">
        <f>H55-G52</f>
        <v>889</v>
      </c>
      <c r="J57" s="5">
        <f>J55-I52</f>
        <v>878</v>
      </c>
      <c r="L57" s="5">
        <f>L55-K52</f>
        <v>973</v>
      </c>
      <c r="N57" s="5">
        <f>N55-M52</f>
        <v>1988</v>
      </c>
      <c r="P57" s="5">
        <f>P55-O52</f>
        <v>492</v>
      </c>
      <c r="R57" s="5">
        <f>R55-Q52</f>
        <v>985</v>
      </c>
      <c r="T57" s="5">
        <f>T55-S52</f>
        <v>1800</v>
      </c>
      <c r="V57" s="5">
        <f>V55-U52</f>
        <v>504</v>
      </c>
      <c r="X57" s="5">
        <f>X55-W52</f>
        <v>1496</v>
      </c>
      <c r="Z57" s="5">
        <f>Z55-Y52</f>
        <v>4136</v>
      </c>
      <c r="AB57" s="5">
        <f>AB55-AA52</f>
        <v>2194</v>
      </c>
      <c r="AD57" s="5">
        <f>AD55-AC52</f>
        <v>965</v>
      </c>
      <c r="AF57" s="5">
        <f>AF55-AE52</f>
        <v>924</v>
      </c>
      <c r="AG57" s="5">
        <f>SUM(D57:AF57)</f>
        <v>21334</v>
      </c>
      <c r="AH57" s="5"/>
      <c r="AI57" s="23"/>
      <c r="AJ57" s="5"/>
      <c r="AL57" s="5"/>
    </row>
    <row r="58" spans="1:38" x14ac:dyDescent="0.2">
      <c r="A58" s="1">
        <f t="shared" si="0"/>
        <v>58</v>
      </c>
      <c r="AI58" s="22"/>
    </row>
    <row r="59" spans="1:38" x14ac:dyDescent="0.2">
      <c r="A59" s="1">
        <f t="shared" si="0"/>
        <v>59</v>
      </c>
      <c r="B59" t="s">
        <v>13</v>
      </c>
      <c r="AI59" s="22"/>
    </row>
    <row r="60" spans="1:38" x14ac:dyDescent="0.2">
      <c r="A60" s="1">
        <f t="shared" si="0"/>
        <v>60</v>
      </c>
      <c r="B60" t="s">
        <v>101</v>
      </c>
      <c r="C60" s="5">
        <v>-73381</v>
      </c>
      <c r="D60" s="5"/>
      <c r="E60" s="5">
        <v>-424389</v>
      </c>
      <c r="F60" s="5"/>
      <c r="G60" s="5">
        <v>-137867</v>
      </c>
      <c r="H60" s="5"/>
      <c r="I60" s="5">
        <v>-144659</v>
      </c>
      <c r="J60" s="5"/>
      <c r="K60" s="5">
        <v>-154869</v>
      </c>
      <c r="L60" s="5"/>
      <c r="M60" s="5">
        <f>-261577-73470</f>
        <v>-335047</v>
      </c>
      <c r="N60" s="5"/>
      <c r="O60" s="5">
        <v>-80388</v>
      </c>
      <c r="P60" s="5"/>
      <c r="Q60" s="5">
        <v>-150124</v>
      </c>
      <c r="R60" s="5"/>
      <c r="S60" s="5">
        <v>-286499</v>
      </c>
      <c r="T60" s="5"/>
      <c r="U60" s="5">
        <v>-81414</v>
      </c>
      <c r="V60" s="5"/>
      <c r="W60" s="5">
        <v>-235633</v>
      </c>
      <c r="X60" s="5"/>
      <c r="Y60" s="5">
        <f>-400395-290166</f>
        <v>-690561</v>
      </c>
      <c r="Z60" s="5"/>
      <c r="AA60" s="5">
        <f>-349967+4360</f>
        <v>-345607</v>
      </c>
      <c r="AB60" s="5"/>
      <c r="AC60" s="5">
        <v>-156925</v>
      </c>
      <c r="AD60" s="5"/>
      <c r="AE60" s="5">
        <v>-145094</v>
      </c>
      <c r="AF60" s="5"/>
      <c r="AG60" s="5">
        <f>SUM(C60:AF60)</f>
        <v>-3442457</v>
      </c>
      <c r="AH60" s="5">
        <f>-3852044-(-405227)+4360</f>
        <v>-3442457</v>
      </c>
      <c r="AI60" s="23" t="s">
        <v>108</v>
      </c>
      <c r="AJ60" s="5"/>
      <c r="AK60" s="1">
        <f>128462914-G17</f>
        <v>89486914</v>
      </c>
      <c r="AL60" s="5"/>
    </row>
    <row r="61" spans="1:38" x14ac:dyDescent="0.2">
      <c r="A61" s="1">
        <f t="shared" si="0"/>
        <v>61</v>
      </c>
      <c r="B61" t="s">
        <v>102</v>
      </c>
      <c r="C61" s="1">
        <v>18437512</v>
      </c>
      <c r="D61" s="1"/>
      <c r="E61" s="1">
        <v>106629797</v>
      </c>
      <c r="F61" s="1"/>
      <c r="G61" s="1">
        <v>34640561</v>
      </c>
      <c r="H61" s="1"/>
      <c r="I61" s="1">
        <v>36346461</v>
      </c>
      <c r="J61" s="1"/>
      <c r="K61" s="1">
        <v>38912065</v>
      </c>
      <c r="L61" s="1"/>
      <c r="M61" s="1">
        <f>65722944+(17992046*1.026)</f>
        <v>84182783.195999995</v>
      </c>
      <c r="N61" s="1"/>
      <c r="O61" s="1">
        <v>20197845</v>
      </c>
      <c r="P61" s="1"/>
      <c r="Q61" s="1">
        <v>37719752</v>
      </c>
      <c r="R61" s="1"/>
      <c r="S61" s="1">
        <v>71984951</v>
      </c>
      <c r="T61" s="1"/>
      <c r="U61" s="1">
        <v>20456200</v>
      </c>
      <c r="V61" s="1"/>
      <c r="W61" s="1">
        <v>59204075</v>
      </c>
      <c r="X61" s="1"/>
      <c r="Y61" s="1">
        <f>72906138+100601591</f>
        <v>173507729</v>
      </c>
      <c r="Z61" s="1"/>
      <c r="AA61" s="1">
        <f>-1095699+87931365</f>
        <v>86835666</v>
      </c>
      <c r="AB61" s="1"/>
      <c r="AC61" s="1">
        <v>39427945</v>
      </c>
      <c r="AD61" s="1"/>
      <c r="AE61" s="1">
        <v>36455710</v>
      </c>
      <c r="AF61" s="1"/>
      <c r="AG61" s="1"/>
      <c r="AH61" s="1"/>
      <c r="AI61" s="24" t="s">
        <v>109</v>
      </c>
      <c r="AJ61" s="1"/>
      <c r="AK61" s="5">
        <f>ROUND(AK60*C15,0)</f>
        <v>-356158</v>
      </c>
    </row>
    <row r="62" spans="1:38" x14ac:dyDescent="0.2">
      <c r="A62" s="1">
        <f t="shared" si="0"/>
        <v>62</v>
      </c>
      <c r="B62" t="s">
        <v>103</v>
      </c>
      <c r="C62" s="20">
        <f>J15</f>
        <v>-3.9199999999999999E-3</v>
      </c>
      <c r="D62" s="20"/>
      <c r="E62" s="20">
        <f>$C62</f>
        <v>-3.9199999999999999E-3</v>
      </c>
      <c r="F62" s="20"/>
      <c r="G62" s="20">
        <f>$C62</f>
        <v>-3.9199999999999999E-3</v>
      </c>
      <c r="H62" s="20"/>
      <c r="I62" s="20">
        <f>$C62</f>
        <v>-3.9199999999999999E-3</v>
      </c>
      <c r="J62" s="20"/>
      <c r="K62" s="20">
        <f>$C62</f>
        <v>-3.9199999999999999E-3</v>
      </c>
      <c r="L62" s="20"/>
      <c r="M62" s="20">
        <f>$C62</f>
        <v>-3.9199999999999999E-3</v>
      </c>
      <c r="N62" s="20"/>
      <c r="O62" s="20">
        <f>$C62</f>
        <v>-3.9199999999999999E-3</v>
      </c>
      <c r="P62" s="20"/>
      <c r="Q62" s="20">
        <f>$C62</f>
        <v>-3.9199999999999999E-3</v>
      </c>
      <c r="R62" s="20"/>
      <c r="S62" s="20">
        <f>$C62</f>
        <v>-3.9199999999999999E-3</v>
      </c>
      <c r="T62" s="20"/>
      <c r="U62" s="20">
        <f>$C62</f>
        <v>-3.9199999999999999E-3</v>
      </c>
      <c r="V62" s="20"/>
      <c r="W62" s="20">
        <f>$C62</f>
        <v>-3.9199999999999999E-3</v>
      </c>
      <c r="X62" s="20"/>
      <c r="Y62" s="20">
        <f>$C62</f>
        <v>-3.9199999999999999E-3</v>
      </c>
      <c r="Z62" s="20"/>
      <c r="AA62" s="20">
        <f>$C62</f>
        <v>-3.9199999999999999E-3</v>
      </c>
      <c r="AB62" s="20"/>
      <c r="AC62" s="20">
        <f>$C62</f>
        <v>-3.9199999999999999E-3</v>
      </c>
      <c r="AD62" s="20"/>
      <c r="AE62" s="20">
        <f>$C62</f>
        <v>-3.9199999999999999E-3</v>
      </c>
      <c r="AF62" s="20"/>
      <c r="AG62" s="20"/>
      <c r="AH62" s="20"/>
      <c r="AI62" s="25" t="s">
        <v>110</v>
      </c>
      <c r="AJ62" s="20"/>
      <c r="AK62" s="5">
        <f>ROUND(AK60*AE62,0)</f>
        <v>-350789</v>
      </c>
    </row>
    <row r="63" spans="1:38" x14ac:dyDescent="0.2">
      <c r="A63" s="1">
        <f t="shared" si="0"/>
        <v>63</v>
      </c>
      <c r="B63" t="s">
        <v>104</v>
      </c>
      <c r="C63" s="5"/>
      <c r="D63" s="5">
        <f>ROUND(C61*C62,0)</f>
        <v>-72275</v>
      </c>
      <c r="E63" s="5"/>
      <c r="F63" s="5">
        <f>ROUND(E61*E62,0)</f>
        <v>-417989</v>
      </c>
      <c r="G63" s="5"/>
      <c r="H63" s="5">
        <f>ROUND(G61*G62,0)</f>
        <v>-135791</v>
      </c>
      <c r="I63" s="5"/>
      <c r="J63" s="5">
        <f>ROUND(I61*I62,0)</f>
        <v>-142478</v>
      </c>
      <c r="K63" s="5"/>
      <c r="L63" s="5">
        <f>ROUND(K61*K62,0)</f>
        <v>-152535</v>
      </c>
      <c r="M63" s="5"/>
      <c r="N63" s="5">
        <f>ROUND(M61*M62,0)</f>
        <v>-329997</v>
      </c>
      <c r="O63" s="5"/>
      <c r="P63" s="5">
        <f>ROUND(O61*O62,0)</f>
        <v>-79176</v>
      </c>
      <c r="Q63" s="5"/>
      <c r="R63" s="5">
        <f>ROUND(Q61*Q62,0)</f>
        <v>-147861</v>
      </c>
      <c r="S63" s="5"/>
      <c r="T63" s="5">
        <f>ROUND(S61*S62,0)</f>
        <v>-282181</v>
      </c>
      <c r="U63" s="5"/>
      <c r="V63" s="5">
        <f>ROUND(U61*U62,0)</f>
        <v>-80188</v>
      </c>
      <c r="W63" s="5"/>
      <c r="X63" s="5">
        <f>ROUND(W61*W62,0)</f>
        <v>-232080</v>
      </c>
      <c r="Y63" s="5"/>
      <c r="Z63" s="5">
        <f>ROUND(Y61*Y62,0)</f>
        <v>-680150</v>
      </c>
      <c r="AA63" s="5"/>
      <c r="AB63" s="5">
        <f>ROUND(AA61*AA62,0)</f>
        <v>-340396</v>
      </c>
      <c r="AC63" s="5"/>
      <c r="AD63" s="5">
        <f>ROUND(AC61*AC62,0)</f>
        <v>-154558</v>
      </c>
      <c r="AE63" s="5"/>
      <c r="AF63" s="5">
        <f>ROUND(AE61*AE62,0)</f>
        <v>-142906</v>
      </c>
      <c r="AG63" s="5">
        <f>SUM(D63:AF63)</f>
        <v>-3390561</v>
      </c>
      <c r="AH63" s="5"/>
      <c r="AI63" s="23" t="s">
        <v>111</v>
      </c>
      <c r="AJ63" s="5"/>
      <c r="AL63" s="5">
        <f>AK62-AK61</f>
        <v>5369</v>
      </c>
    </row>
    <row r="64" spans="1:38" x14ac:dyDescent="0.2">
      <c r="A64" s="1">
        <f t="shared" si="0"/>
        <v>64</v>
      </c>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22"/>
    </row>
    <row r="65" spans="1:38" x14ac:dyDescent="0.2">
      <c r="A65" s="1">
        <f t="shared" si="0"/>
        <v>65</v>
      </c>
      <c r="B65" t="s">
        <v>105</v>
      </c>
      <c r="D65" s="5">
        <f>D63-C60</f>
        <v>1106</v>
      </c>
      <c r="F65" s="5">
        <f>F63-E60</f>
        <v>6400</v>
      </c>
      <c r="H65" s="5">
        <f>H63-G60</f>
        <v>2076</v>
      </c>
      <c r="J65" s="5">
        <f>J63-I60</f>
        <v>2181</v>
      </c>
      <c r="L65" s="5">
        <f>L63-K60</f>
        <v>2334</v>
      </c>
      <c r="N65" s="5">
        <f>N63-M60</f>
        <v>5050</v>
      </c>
      <c r="P65" s="5">
        <f>P63-O60</f>
        <v>1212</v>
      </c>
      <c r="R65" s="5">
        <f>R63-Q60</f>
        <v>2263</v>
      </c>
      <c r="T65" s="5">
        <f>T63-S60</f>
        <v>4318</v>
      </c>
      <c r="V65" s="5">
        <f>V63-U60</f>
        <v>1226</v>
      </c>
      <c r="X65" s="5">
        <f>X63-W60</f>
        <v>3553</v>
      </c>
      <c r="Z65" s="5">
        <f>Z63-Y60</f>
        <v>10411</v>
      </c>
      <c r="AB65" s="5">
        <f>AB63-AA60</f>
        <v>5211</v>
      </c>
      <c r="AD65" s="5">
        <f>AD63-AC60</f>
        <v>2367</v>
      </c>
      <c r="AF65" s="5">
        <f>AF63-AE60</f>
        <v>2188</v>
      </c>
      <c r="AG65" s="5">
        <f>SUM(D65:AF65)</f>
        <v>51896</v>
      </c>
      <c r="AH65" s="5"/>
      <c r="AI65" s="23"/>
      <c r="AJ65" s="5"/>
      <c r="AL65" s="5"/>
    </row>
    <row r="66" spans="1:38" x14ac:dyDescent="0.2">
      <c r="A66" s="1">
        <f t="shared" si="0"/>
        <v>66</v>
      </c>
      <c r="AI66" s="22"/>
    </row>
    <row r="67" spans="1:38" x14ac:dyDescent="0.2">
      <c r="A67" s="1">
        <f t="shared" si="0"/>
        <v>67</v>
      </c>
      <c r="B67" t="s">
        <v>14</v>
      </c>
      <c r="AI67" s="22"/>
    </row>
    <row r="68" spans="1:38" x14ac:dyDescent="0.2">
      <c r="A68" s="1">
        <f t="shared" si="0"/>
        <v>68</v>
      </c>
      <c r="B68" t="s">
        <v>101</v>
      </c>
      <c r="C68" s="5">
        <v>-146767</v>
      </c>
      <c r="D68" s="5"/>
      <c r="E68" s="5">
        <v>-842540</v>
      </c>
      <c r="F68" s="5"/>
      <c r="G68" s="5">
        <v>-276902</v>
      </c>
      <c r="H68" s="5"/>
      <c r="I68" s="5">
        <v>-283184</v>
      </c>
      <c r="J68" s="5"/>
      <c r="K68" s="5">
        <v>-307393</v>
      </c>
      <c r="L68" s="5"/>
      <c r="M68" s="5">
        <f>-558770-149408</f>
        <v>-708178</v>
      </c>
      <c r="N68" s="5"/>
      <c r="O68" s="5">
        <v>-163467</v>
      </c>
      <c r="P68" s="5"/>
      <c r="Q68" s="5">
        <v>-296718</v>
      </c>
      <c r="R68" s="5"/>
      <c r="S68" s="5">
        <v>-560542</v>
      </c>
      <c r="T68" s="5"/>
      <c r="U68" s="5">
        <v>-161989</v>
      </c>
      <c r="V68" s="5"/>
      <c r="W68" s="5">
        <v>-462371</v>
      </c>
      <c r="X68" s="5"/>
      <c r="Y68" s="5">
        <f>-807026-604135</f>
        <v>-1411161</v>
      </c>
      <c r="Z68" s="5"/>
      <c r="AA68" s="5">
        <f>-692321+8008</f>
        <v>-684313</v>
      </c>
      <c r="AB68" s="5"/>
      <c r="AC68" s="5">
        <v>-312056</v>
      </c>
      <c r="AD68" s="5"/>
      <c r="AE68" s="5">
        <v>-283437</v>
      </c>
      <c r="AF68" s="5"/>
      <c r="AG68" s="5">
        <f>SUM(C68:AF68)</f>
        <v>-6901018</v>
      </c>
      <c r="AH68" s="5">
        <f>-7711378-(-802352)+8008</f>
        <v>-6901018</v>
      </c>
      <c r="AI68" s="23" t="s">
        <v>108</v>
      </c>
      <c r="AJ68" s="5"/>
      <c r="AK68" s="1">
        <f>108572439-G19</f>
        <v>65420439</v>
      </c>
      <c r="AL68" s="5"/>
    </row>
    <row r="69" spans="1:38" x14ac:dyDescent="0.2">
      <c r="A69" s="1">
        <f t="shared" ref="A69:A132" si="1">A68+1</f>
        <v>69</v>
      </c>
      <c r="B69" t="s">
        <v>102</v>
      </c>
      <c r="C69" s="1">
        <v>19860344</v>
      </c>
      <c r="D69" s="1"/>
      <c r="E69" s="1">
        <v>114010911</v>
      </c>
      <c r="F69" s="1"/>
      <c r="G69" s="1">
        <v>37470155</v>
      </c>
      <c r="H69" s="1"/>
      <c r="I69" s="1">
        <v>38319927</v>
      </c>
      <c r="J69" s="1"/>
      <c r="K69" s="1">
        <v>41595972</v>
      </c>
      <c r="L69" s="1"/>
      <c r="M69" s="1">
        <f>75611363+(19705300*1.026)</f>
        <v>95829000.799999997</v>
      </c>
      <c r="N69" s="1"/>
      <c r="O69" s="1">
        <v>22119941</v>
      </c>
      <c r="P69" s="1"/>
      <c r="Q69" s="1">
        <v>40151183</v>
      </c>
      <c r="R69" s="1"/>
      <c r="S69" s="1">
        <v>75851998</v>
      </c>
      <c r="T69" s="1"/>
      <c r="U69" s="1">
        <v>21919915</v>
      </c>
      <c r="V69" s="1"/>
      <c r="W69" s="1">
        <v>62567107</v>
      </c>
      <c r="X69" s="1"/>
      <c r="Y69" s="1">
        <f>81750334+109204872</f>
        <v>190955206</v>
      </c>
      <c r="Z69" s="1"/>
      <c r="AA69" s="1">
        <f>93683519-1083643</f>
        <v>92599876</v>
      </c>
      <c r="AB69" s="1"/>
      <c r="AC69" s="1">
        <v>42226564</v>
      </c>
      <c r="AD69" s="1"/>
      <c r="AE69" s="1">
        <v>38354181</v>
      </c>
      <c r="AF69" s="1"/>
      <c r="AG69" s="1"/>
      <c r="AH69" s="1"/>
      <c r="AI69" s="24" t="s">
        <v>109</v>
      </c>
      <c r="AJ69" s="1"/>
      <c r="AK69" s="5">
        <f>ROUND(AK68*C17,0)</f>
        <v>-483457</v>
      </c>
    </row>
    <row r="70" spans="1:38" x14ac:dyDescent="0.2">
      <c r="A70" s="1">
        <f t="shared" si="1"/>
        <v>70</v>
      </c>
      <c r="B70" t="s">
        <v>103</v>
      </c>
      <c r="C70" s="20">
        <f>J17</f>
        <v>-7.2399999999999999E-3</v>
      </c>
      <c r="D70" s="20"/>
      <c r="E70" s="20">
        <f>$C70</f>
        <v>-7.2399999999999999E-3</v>
      </c>
      <c r="F70" s="20"/>
      <c r="G70" s="20">
        <f>$C70</f>
        <v>-7.2399999999999999E-3</v>
      </c>
      <c r="H70" s="20"/>
      <c r="I70" s="20">
        <f>$C70</f>
        <v>-7.2399999999999999E-3</v>
      </c>
      <c r="J70" s="20"/>
      <c r="K70" s="20">
        <f>$C70</f>
        <v>-7.2399999999999999E-3</v>
      </c>
      <c r="L70" s="20"/>
      <c r="M70" s="20">
        <f>$C70</f>
        <v>-7.2399999999999999E-3</v>
      </c>
      <c r="N70" s="20"/>
      <c r="O70" s="20">
        <f>$C70</f>
        <v>-7.2399999999999999E-3</v>
      </c>
      <c r="P70" s="20"/>
      <c r="Q70" s="20">
        <f>$C70</f>
        <v>-7.2399999999999999E-3</v>
      </c>
      <c r="R70" s="20"/>
      <c r="S70" s="20">
        <f>$C70</f>
        <v>-7.2399999999999999E-3</v>
      </c>
      <c r="T70" s="20"/>
      <c r="U70" s="20">
        <f>$C70</f>
        <v>-7.2399999999999999E-3</v>
      </c>
      <c r="V70" s="20"/>
      <c r="W70" s="20">
        <f>$C70</f>
        <v>-7.2399999999999999E-3</v>
      </c>
      <c r="X70" s="20"/>
      <c r="Y70" s="20">
        <f>$C70</f>
        <v>-7.2399999999999999E-3</v>
      </c>
      <c r="Z70" s="20"/>
      <c r="AA70" s="20">
        <f>$C70</f>
        <v>-7.2399999999999999E-3</v>
      </c>
      <c r="AB70" s="20"/>
      <c r="AC70" s="20">
        <f>$C70</f>
        <v>-7.2399999999999999E-3</v>
      </c>
      <c r="AD70" s="20"/>
      <c r="AE70" s="20">
        <f>$C70</f>
        <v>-7.2399999999999999E-3</v>
      </c>
      <c r="AF70" s="20"/>
      <c r="AG70" s="20"/>
      <c r="AH70" s="20"/>
      <c r="AI70" s="25" t="s">
        <v>110</v>
      </c>
      <c r="AJ70" s="20"/>
      <c r="AK70" s="5">
        <f>ROUND(AK68*AE70,0)</f>
        <v>-473644</v>
      </c>
    </row>
    <row r="71" spans="1:38" x14ac:dyDescent="0.2">
      <c r="A71" s="1">
        <f t="shared" si="1"/>
        <v>71</v>
      </c>
      <c r="B71" t="s">
        <v>104</v>
      </c>
      <c r="C71" s="5"/>
      <c r="D71" s="5">
        <f>ROUND(C69*C70,0)</f>
        <v>-143789</v>
      </c>
      <c r="E71" s="5"/>
      <c r="F71" s="5">
        <f>ROUND(E69*E70,0)</f>
        <v>-825439</v>
      </c>
      <c r="G71" s="5"/>
      <c r="H71" s="5">
        <f>ROUND(G69*G70,0)</f>
        <v>-271284</v>
      </c>
      <c r="I71" s="5"/>
      <c r="J71" s="5">
        <f>ROUND(I69*I70,0)</f>
        <v>-277436</v>
      </c>
      <c r="K71" s="5"/>
      <c r="L71" s="5">
        <f>ROUND(K69*K70,0)</f>
        <v>-301155</v>
      </c>
      <c r="M71" s="5"/>
      <c r="N71" s="5">
        <f>ROUND(M69*M70,0)</f>
        <v>-693802</v>
      </c>
      <c r="O71" s="5"/>
      <c r="P71" s="5">
        <f>ROUND(O69*O70,0)</f>
        <v>-160148</v>
      </c>
      <c r="Q71" s="5"/>
      <c r="R71" s="5">
        <f>ROUND(Q69*Q70,0)</f>
        <v>-290695</v>
      </c>
      <c r="S71" s="5"/>
      <c r="T71" s="5">
        <f>ROUND(S69*S70,0)</f>
        <v>-549168</v>
      </c>
      <c r="U71" s="5"/>
      <c r="V71" s="5">
        <f>ROUND(U69*U70,0)</f>
        <v>-158700</v>
      </c>
      <c r="W71" s="5"/>
      <c r="X71" s="5">
        <f>ROUND(W69*W70,0)</f>
        <v>-452986</v>
      </c>
      <c r="Y71" s="5"/>
      <c r="Z71" s="5">
        <f>ROUND(Y69*Y70,0)</f>
        <v>-1382516</v>
      </c>
      <c r="AA71" s="5"/>
      <c r="AB71" s="5">
        <f>ROUND(AA69*AA70,0)</f>
        <v>-670423</v>
      </c>
      <c r="AC71" s="5"/>
      <c r="AD71" s="5">
        <f>ROUND(AC69*AC70,0)</f>
        <v>-305720</v>
      </c>
      <c r="AE71" s="5"/>
      <c r="AF71" s="5">
        <f>ROUND(AE69*AE70,0)</f>
        <v>-277684</v>
      </c>
      <c r="AG71" s="5">
        <f>SUM(D71:AF71)</f>
        <v>-6760945</v>
      </c>
      <c r="AH71" s="5"/>
      <c r="AI71" s="23" t="s">
        <v>111</v>
      </c>
      <c r="AJ71" s="5"/>
      <c r="AL71" s="5">
        <f>AK70-AK69</f>
        <v>9813</v>
      </c>
    </row>
    <row r="72" spans="1:38" x14ac:dyDescent="0.2">
      <c r="A72" s="1">
        <f t="shared" si="1"/>
        <v>72</v>
      </c>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22"/>
    </row>
    <row r="73" spans="1:38" x14ac:dyDescent="0.2">
      <c r="A73" s="1">
        <f t="shared" si="1"/>
        <v>73</v>
      </c>
      <c r="B73" t="s">
        <v>105</v>
      </c>
      <c r="D73" s="5">
        <f>D71-C68</f>
        <v>2978</v>
      </c>
      <c r="F73" s="5">
        <f>F71-E68</f>
        <v>17101</v>
      </c>
      <c r="H73" s="5">
        <f>H71-G68</f>
        <v>5618</v>
      </c>
      <c r="J73" s="5">
        <f>J71-I68</f>
        <v>5748</v>
      </c>
      <c r="L73" s="5">
        <f>L71-K68</f>
        <v>6238</v>
      </c>
      <c r="N73" s="5">
        <f>N71-M68</f>
        <v>14376</v>
      </c>
      <c r="P73" s="5">
        <f>P71-O68</f>
        <v>3319</v>
      </c>
      <c r="R73" s="5">
        <f>R71-Q68</f>
        <v>6023</v>
      </c>
      <c r="T73" s="5">
        <f>T71-S68</f>
        <v>11374</v>
      </c>
      <c r="V73" s="5">
        <f>V71-U68</f>
        <v>3289</v>
      </c>
      <c r="X73" s="5">
        <f>X71-W68</f>
        <v>9385</v>
      </c>
      <c r="Z73" s="5">
        <f>Z71-Y68</f>
        <v>28645</v>
      </c>
      <c r="AB73" s="5">
        <f>AB71-AA68</f>
        <v>13890</v>
      </c>
      <c r="AD73" s="5">
        <f>AD71-AC68</f>
        <v>6336</v>
      </c>
      <c r="AF73" s="5">
        <f>AF71-AE68</f>
        <v>5753</v>
      </c>
      <c r="AG73" s="5">
        <f>SUM(D73:AF73)</f>
        <v>140073</v>
      </c>
      <c r="AH73" s="5"/>
      <c r="AI73" s="23"/>
      <c r="AJ73" s="5"/>
      <c r="AL73" s="5"/>
    </row>
    <row r="74" spans="1:38" x14ac:dyDescent="0.2">
      <c r="A74" s="1">
        <f t="shared" si="1"/>
        <v>74</v>
      </c>
      <c r="AI74" s="22"/>
    </row>
    <row r="75" spans="1:38" x14ac:dyDescent="0.2">
      <c r="A75" s="1">
        <f t="shared" si="1"/>
        <v>75</v>
      </c>
      <c r="B75" t="s">
        <v>15</v>
      </c>
      <c r="AI75" s="22"/>
    </row>
    <row r="76" spans="1:38" x14ac:dyDescent="0.2">
      <c r="A76" s="1">
        <f t="shared" si="1"/>
        <v>76</v>
      </c>
      <c r="B76" t="s">
        <v>101</v>
      </c>
      <c r="C76" s="5">
        <v>-70538</v>
      </c>
      <c r="D76" s="5"/>
      <c r="E76" s="5">
        <v>-441613</v>
      </c>
      <c r="F76" s="5"/>
      <c r="G76" s="5">
        <v>-136513</v>
      </c>
      <c r="H76" s="5"/>
      <c r="I76" s="5">
        <v>-141286</v>
      </c>
      <c r="J76" s="5"/>
      <c r="K76" s="5">
        <v>-166422</v>
      </c>
      <c r="L76" s="5"/>
      <c r="M76" s="5">
        <f>-303886-85559</f>
        <v>-389445</v>
      </c>
      <c r="N76" s="5"/>
      <c r="O76" s="5">
        <v>-82147</v>
      </c>
      <c r="P76" s="5"/>
      <c r="Q76" s="5">
        <v>-146694</v>
      </c>
      <c r="R76" s="5"/>
      <c r="S76" s="5">
        <v>-279883</v>
      </c>
      <c r="T76" s="5"/>
      <c r="U76" s="5">
        <v>-80817</v>
      </c>
      <c r="V76" s="5"/>
      <c r="W76" s="5">
        <v>-253921</v>
      </c>
      <c r="X76" s="5"/>
      <c r="Y76" s="5">
        <f>-446660-392257</f>
        <v>-838917</v>
      </c>
      <c r="Z76" s="5"/>
      <c r="AA76" s="5">
        <f>-392267+2190</f>
        <v>-390077</v>
      </c>
      <c r="AB76" s="5"/>
      <c r="AC76" s="5">
        <v>-172833</v>
      </c>
      <c r="AD76" s="5"/>
      <c r="AE76" s="5">
        <v>-149205</v>
      </c>
      <c r="AF76" s="5"/>
      <c r="AG76" s="5">
        <f>SUM(C76:AF76)</f>
        <v>-3740311</v>
      </c>
      <c r="AH76" s="5">
        <f>-4157648-(-415147)+2190</f>
        <v>-3740311</v>
      </c>
      <c r="AI76" s="23" t="s">
        <v>108</v>
      </c>
      <c r="AJ76" s="5"/>
      <c r="AK76" s="1">
        <f>85420752-G21</f>
        <v>43660752</v>
      </c>
      <c r="AL76" s="5"/>
    </row>
    <row r="77" spans="1:38" x14ac:dyDescent="0.2">
      <c r="A77" s="1">
        <f t="shared" si="1"/>
        <v>77</v>
      </c>
      <c r="B77" t="s">
        <v>102</v>
      </c>
      <c r="C77" s="1">
        <v>14513820</v>
      </c>
      <c r="D77" s="1"/>
      <c r="E77" s="1">
        <v>90867049</v>
      </c>
      <c r="F77" s="1"/>
      <c r="G77" s="1">
        <v>28088518</v>
      </c>
      <c r="H77" s="1"/>
      <c r="I77" s="1">
        <v>29071596</v>
      </c>
      <c r="J77" s="1"/>
      <c r="K77" s="1">
        <v>34243340</v>
      </c>
      <c r="L77" s="1"/>
      <c r="M77" s="1">
        <f>62527834+(17158550*1.026)</f>
        <v>80132506.299999997</v>
      </c>
      <c r="N77" s="1"/>
      <c r="O77" s="1">
        <v>16902808</v>
      </c>
      <c r="P77" s="1"/>
      <c r="Q77" s="1">
        <v>30183702</v>
      </c>
      <c r="R77" s="1"/>
      <c r="S77" s="1">
        <v>57588675</v>
      </c>
      <c r="T77" s="1"/>
      <c r="U77" s="1">
        <v>16628818</v>
      </c>
      <c r="V77" s="1"/>
      <c r="W77" s="1">
        <v>52247106</v>
      </c>
      <c r="X77" s="1"/>
      <c r="Y77" s="1">
        <f>80711400+91905221</f>
        <v>172616621</v>
      </c>
      <c r="Z77" s="1"/>
      <c r="AA77" s="1">
        <f>80713306-450594</f>
        <v>80262712</v>
      </c>
      <c r="AB77" s="1"/>
      <c r="AC77" s="1">
        <v>35562955</v>
      </c>
      <c r="AD77" s="1"/>
      <c r="AE77" s="1">
        <v>30700872</v>
      </c>
      <c r="AF77" s="1"/>
      <c r="AG77" s="1"/>
      <c r="AH77" s="1"/>
      <c r="AI77" s="24" t="s">
        <v>109</v>
      </c>
      <c r="AJ77" s="1"/>
      <c r="AK77" s="5">
        <f>ROUND(AK76*C19,0)</f>
        <v>-212191</v>
      </c>
    </row>
    <row r="78" spans="1:38" x14ac:dyDescent="0.2">
      <c r="A78" s="1">
        <f t="shared" si="1"/>
        <v>78</v>
      </c>
      <c r="B78" t="s">
        <v>103</v>
      </c>
      <c r="C78" s="20">
        <f>J19</f>
        <v>-4.6700000000000005E-3</v>
      </c>
      <c r="D78" s="20"/>
      <c r="E78" s="20">
        <f>$C78</f>
        <v>-4.6700000000000005E-3</v>
      </c>
      <c r="F78" s="20"/>
      <c r="G78" s="20">
        <f>$C78</f>
        <v>-4.6700000000000005E-3</v>
      </c>
      <c r="H78" s="20"/>
      <c r="I78" s="20">
        <f>$C78</f>
        <v>-4.6700000000000005E-3</v>
      </c>
      <c r="J78" s="20"/>
      <c r="K78" s="20">
        <f>$C78</f>
        <v>-4.6700000000000005E-3</v>
      </c>
      <c r="L78" s="20"/>
      <c r="M78" s="20">
        <f>$C78</f>
        <v>-4.6700000000000005E-3</v>
      </c>
      <c r="N78" s="20"/>
      <c r="O78" s="20">
        <f>$C78</f>
        <v>-4.6700000000000005E-3</v>
      </c>
      <c r="P78" s="20"/>
      <c r="Q78" s="20">
        <f>$C78</f>
        <v>-4.6700000000000005E-3</v>
      </c>
      <c r="R78" s="20"/>
      <c r="S78" s="20">
        <f>$C78</f>
        <v>-4.6700000000000005E-3</v>
      </c>
      <c r="T78" s="20"/>
      <c r="U78" s="20">
        <f>$C78</f>
        <v>-4.6700000000000005E-3</v>
      </c>
      <c r="V78" s="20"/>
      <c r="W78" s="20">
        <f>$C78</f>
        <v>-4.6700000000000005E-3</v>
      </c>
      <c r="X78" s="20"/>
      <c r="Y78" s="20">
        <f>$C78</f>
        <v>-4.6700000000000005E-3</v>
      </c>
      <c r="Z78" s="20"/>
      <c r="AA78" s="20">
        <f>$C78</f>
        <v>-4.6700000000000005E-3</v>
      </c>
      <c r="AB78" s="20"/>
      <c r="AC78" s="20">
        <f>$C78</f>
        <v>-4.6700000000000005E-3</v>
      </c>
      <c r="AD78" s="20"/>
      <c r="AE78" s="20">
        <f>$C78</f>
        <v>-4.6700000000000005E-3</v>
      </c>
      <c r="AF78" s="20"/>
      <c r="AG78" s="20"/>
      <c r="AH78" s="20"/>
      <c r="AI78" s="25" t="s">
        <v>110</v>
      </c>
      <c r="AJ78" s="20"/>
      <c r="AK78" s="5">
        <f>ROUND(AK76*AE78,0)</f>
        <v>-203896</v>
      </c>
    </row>
    <row r="79" spans="1:38" x14ac:dyDescent="0.2">
      <c r="A79" s="1">
        <f t="shared" si="1"/>
        <v>79</v>
      </c>
      <c r="B79" t="s">
        <v>104</v>
      </c>
      <c r="C79" s="5"/>
      <c r="D79" s="5">
        <f>ROUND(C77*C78,0)</f>
        <v>-67780</v>
      </c>
      <c r="E79" s="5"/>
      <c r="F79" s="5">
        <f>ROUND(E77*E78,0)</f>
        <v>-424349</v>
      </c>
      <c r="G79" s="5"/>
      <c r="H79" s="5">
        <f>ROUND(G77*G78,0)</f>
        <v>-131173</v>
      </c>
      <c r="I79" s="5"/>
      <c r="J79" s="5">
        <f>ROUND(I77*I78,0)</f>
        <v>-135764</v>
      </c>
      <c r="K79" s="5"/>
      <c r="L79" s="5">
        <f>ROUND(K77*K78,0)</f>
        <v>-159916</v>
      </c>
      <c r="M79" s="5"/>
      <c r="N79" s="5">
        <f>ROUND(M77*M78,0)</f>
        <v>-374219</v>
      </c>
      <c r="O79" s="5"/>
      <c r="P79" s="5">
        <f>ROUND(O77*O78,0)</f>
        <v>-78936</v>
      </c>
      <c r="Q79" s="5"/>
      <c r="R79" s="5">
        <f>ROUND(Q77*Q78,0)</f>
        <v>-140958</v>
      </c>
      <c r="S79" s="5"/>
      <c r="T79" s="5">
        <f>ROUND(S77*S78,0)</f>
        <v>-268939</v>
      </c>
      <c r="U79" s="5"/>
      <c r="V79" s="5">
        <f>ROUND(U77*U78,0)</f>
        <v>-77657</v>
      </c>
      <c r="W79" s="5"/>
      <c r="X79" s="5">
        <f>ROUND(W77*W78,0)</f>
        <v>-243994</v>
      </c>
      <c r="Y79" s="5"/>
      <c r="Z79" s="5">
        <f>ROUND(Y77*Y78,0)</f>
        <v>-806120</v>
      </c>
      <c r="AA79" s="5"/>
      <c r="AB79" s="5">
        <f>ROUND(AA77*AA78,0)</f>
        <v>-374827</v>
      </c>
      <c r="AC79" s="5"/>
      <c r="AD79" s="5">
        <f>ROUND(AC77*AC78,0)</f>
        <v>-166079</v>
      </c>
      <c r="AE79" s="5"/>
      <c r="AF79" s="5">
        <f>ROUND(AE77*AE78,0)</f>
        <v>-143373</v>
      </c>
      <c r="AG79" s="5">
        <f>SUM(D79:AF79)</f>
        <v>-3594084</v>
      </c>
      <c r="AH79" s="5"/>
      <c r="AI79" s="23" t="s">
        <v>111</v>
      </c>
      <c r="AJ79" s="5"/>
      <c r="AL79" s="5">
        <f>AK78-AK77</f>
        <v>8295</v>
      </c>
    </row>
    <row r="80" spans="1:38" x14ac:dyDescent="0.2">
      <c r="A80" s="1">
        <f t="shared" si="1"/>
        <v>80</v>
      </c>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22"/>
    </row>
    <row r="81" spans="1:38" x14ac:dyDescent="0.2">
      <c r="A81" s="1">
        <f t="shared" si="1"/>
        <v>81</v>
      </c>
      <c r="B81" t="s">
        <v>105</v>
      </c>
      <c r="D81" s="5">
        <f>D79-C76</f>
        <v>2758</v>
      </c>
      <c r="F81" s="5">
        <f>F79-E76</f>
        <v>17264</v>
      </c>
      <c r="H81" s="5">
        <f>H79-G76</f>
        <v>5340</v>
      </c>
      <c r="J81" s="5">
        <f>J79-I76</f>
        <v>5522</v>
      </c>
      <c r="L81" s="5">
        <f>L79-K76</f>
        <v>6506</v>
      </c>
      <c r="N81" s="5">
        <f>N79-M76</f>
        <v>15226</v>
      </c>
      <c r="P81" s="5">
        <f>P79-O76</f>
        <v>3211</v>
      </c>
      <c r="R81" s="5">
        <f>R79-Q76</f>
        <v>5736</v>
      </c>
      <c r="T81" s="5">
        <f>T79-S76</f>
        <v>10944</v>
      </c>
      <c r="V81" s="5">
        <f>V79-U76</f>
        <v>3160</v>
      </c>
      <c r="X81" s="5">
        <f>X79-W76</f>
        <v>9927</v>
      </c>
      <c r="Z81" s="5">
        <f>Z79-Y76</f>
        <v>32797</v>
      </c>
      <c r="AB81" s="5">
        <f>AB79-AA76</f>
        <v>15250</v>
      </c>
      <c r="AD81" s="5">
        <f>AD79-AC76</f>
        <v>6754</v>
      </c>
      <c r="AF81" s="5">
        <f>AF79-AE76</f>
        <v>5832</v>
      </c>
      <c r="AG81" s="5">
        <f>SUM(D81:AF81)</f>
        <v>146227</v>
      </c>
      <c r="AH81" s="5"/>
      <c r="AI81" s="23"/>
      <c r="AJ81" s="5"/>
      <c r="AL81" s="5"/>
    </row>
    <row r="82" spans="1:38" x14ac:dyDescent="0.2">
      <c r="A82" s="1">
        <f t="shared" si="1"/>
        <v>82</v>
      </c>
      <c r="AI82" s="22"/>
    </row>
    <row r="83" spans="1:38" x14ac:dyDescent="0.2">
      <c r="A83" s="1">
        <f t="shared" si="1"/>
        <v>83</v>
      </c>
      <c r="B83" t="s">
        <v>16</v>
      </c>
      <c r="AI83" s="22"/>
    </row>
    <row r="84" spans="1:38" x14ac:dyDescent="0.2">
      <c r="A84" s="1">
        <f t="shared" si="1"/>
        <v>84</v>
      </c>
      <c r="B84" t="s">
        <v>101</v>
      </c>
      <c r="C84" s="5">
        <v>-79699</v>
      </c>
      <c r="D84" s="5"/>
      <c r="E84" s="5">
        <v>-520991</v>
      </c>
      <c r="F84" s="5"/>
      <c r="G84" s="5">
        <v>-157769</v>
      </c>
      <c r="H84" s="5"/>
      <c r="I84" s="5">
        <v>-164454</v>
      </c>
      <c r="J84" s="5"/>
      <c r="K84" s="5">
        <v>-200360</v>
      </c>
      <c r="L84" s="5"/>
      <c r="M84" s="5">
        <f>-356667-92756</f>
        <v>-449423</v>
      </c>
      <c r="N84" s="5"/>
      <c r="O84" s="5">
        <v>-93571</v>
      </c>
      <c r="P84" s="5"/>
      <c r="Q84" s="5">
        <v>-172976</v>
      </c>
      <c r="R84" s="5"/>
      <c r="S84" s="5">
        <v>-322691</v>
      </c>
      <c r="T84" s="5"/>
      <c r="U84" s="5">
        <v>-90985</v>
      </c>
      <c r="V84" s="5"/>
      <c r="W84" s="5">
        <v>-303214</v>
      </c>
      <c r="X84" s="5"/>
      <c r="Y84" s="5">
        <f>-531192-454633</f>
        <v>-985825</v>
      </c>
      <c r="Z84" s="5"/>
      <c r="AA84" s="5">
        <f>-479716+3779</f>
        <v>-475937</v>
      </c>
      <c r="AB84" s="5"/>
      <c r="AC84" s="5">
        <v>-202948</v>
      </c>
      <c r="AD84" s="5"/>
      <c r="AE84" s="5">
        <v>-177660</v>
      </c>
      <c r="AF84" s="5"/>
      <c r="AG84" s="5">
        <f>SUM(C84:AF84)</f>
        <v>-4398503</v>
      </c>
      <c r="AH84" s="5">
        <f>-4886354-(-484072)+3779</f>
        <v>-4398503</v>
      </c>
      <c r="AI84" s="23" t="s">
        <v>108</v>
      </c>
      <c r="AJ84" s="5"/>
      <c r="AK84" s="1">
        <f>90991466-G23</f>
        <v>47839466</v>
      </c>
      <c r="AL84" s="5"/>
    </row>
    <row r="85" spans="1:38" x14ac:dyDescent="0.2">
      <c r="A85" s="1">
        <f t="shared" si="1"/>
        <v>85</v>
      </c>
      <c r="B85" t="s">
        <v>102</v>
      </c>
      <c r="C85" s="1">
        <v>14981058</v>
      </c>
      <c r="D85" s="1"/>
      <c r="E85" s="1">
        <v>97931162</v>
      </c>
      <c r="F85" s="1"/>
      <c r="G85" s="1">
        <v>29656150</v>
      </c>
      <c r="H85" s="1"/>
      <c r="I85" s="1">
        <v>30912627</v>
      </c>
      <c r="J85" s="1"/>
      <c r="K85" s="1">
        <v>37661515</v>
      </c>
      <c r="L85" s="1"/>
      <c r="M85" s="1">
        <f>67042560+(16976996*1.027)</f>
        <v>84477934.89199999</v>
      </c>
      <c r="N85" s="1"/>
      <c r="O85" s="1">
        <v>17588540</v>
      </c>
      <c r="P85" s="1"/>
      <c r="Q85" s="1">
        <v>32514358</v>
      </c>
      <c r="R85" s="1"/>
      <c r="S85" s="1">
        <v>60656230</v>
      </c>
      <c r="T85" s="1"/>
      <c r="U85" s="1">
        <v>17102654</v>
      </c>
      <c r="V85" s="1"/>
      <c r="W85" s="1">
        <v>56995027</v>
      </c>
      <c r="X85" s="1"/>
      <c r="Y85" s="1">
        <f>85457375+99848290</f>
        <v>185305665</v>
      </c>
      <c r="Z85" s="1"/>
      <c r="AA85" s="1">
        <f>90172271-710314</f>
        <v>89461957</v>
      </c>
      <c r="AB85" s="1"/>
      <c r="AC85" s="1">
        <v>38148240</v>
      </c>
      <c r="AD85" s="1"/>
      <c r="AE85" s="1">
        <v>33394629</v>
      </c>
      <c r="AF85" s="1"/>
      <c r="AG85" s="1"/>
      <c r="AH85" s="1"/>
      <c r="AI85" s="24" t="s">
        <v>109</v>
      </c>
      <c r="AJ85" s="1"/>
      <c r="AK85" s="5">
        <f>ROUND(AK84*C21,0)</f>
        <v>-254506</v>
      </c>
    </row>
    <row r="86" spans="1:38" x14ac:dyDescent="0.2">
      <c r="A86" s="1">
        <f t="shared" si="1"/>
        <v>86</v>
      </c>
      <c r="B86" t="s">
        <v>103</v>
      </c>
      <c r="C86" s="20">
        <f>J21</f>
        <v>-4.9300000000000004E-3</v>
      </c>
      <c r="D86" s="20"/>
      <c r="E86" s="20">
        <f>$C86</f>
        <v>-4.9300000000000004E-3</v>
      </c>
      <c r="F86" s="20"/>
      <c r="G86" s="20">
        <f>$C86</f>
        <v>-4.9300000000000004E-3</v>
      </c>
      <c r="H86" s="20"/>
      <c r="I86" s="20">
        <f>$C86</f>
        <v>-4.9300000000000004E-3</v>
      </c>
      <c r="J86" s="20"/>
      <c r="K86" s="20">
        <f>$C86</f>
        <v>-4.9300000000000004E-3</v>
      </c>
      <c r="L86" s="20"/>
      <c r="M86" s="20">
        <f>$C86</f>
        <v>-4.9300000000000004E-3</v>
      </c>
      <c r="N86" s="20"/>
      <c r="O86" s="20">
        <f>$C86</f>
        <v>-4.9300000000000004E-3</v>
      </c>
      <c r="P86" s="20"/>
      <c r="Q86" s="20">
        <f>$C86</f>
        <v>-4.9300000000000004E-3</v>
      </c>
      <c r="R86" s="20"/>
      <c r="S86" s="20">
        <f>$C86</f>
        <v>-4.9300000000000004E-3</v>
      </c>
      <c r="T86" s="20"/>
      <c r="U86" s="20">
        <f>$C86</f>
        <v>-4.9300000000000004E-3</v>
      </c>
      <c r="V86" s="20"/>
      <c r="W86" s="20">
        <f>$C86</f>
        <v>-4.9300000000000004E-3</v>
      </c>
      <c r="X86" s="20"/>
      <c r="Y86" s="20">
        <f>$C86</f>
        <v>-4.9300000000000004E-3</v>
      </c>
      <c r="Z86" s="20"/>
      <c r="AA86" s="20">
        <f>$C86</f>
        <v>-4.9300000000000004E-3</v>
      </c>
      <c r="AB86" s="20"/>
      <c r="AC86" s="20">
        <f>$C86</f>
        <v>-4.9300000000000004E-3</v>
      </c>
      <c r="AD86" s="20"/>
      <c r="AE86" s="20">
        <f>$C86</f>
        <v>-4.9300000000000004E-3</v>
      </c>
      <c r="AF86" s="20"/>
      <c r="AG86" s="20"/>
      <c r="AH86" s="20"/>
      <c r="AI86" s="25" t="s">
        <v>110</v>
      </c>
      <c r="AJ86" s="20"/>
      <c r="AK86" s="5">
        <f>ROUND(AK84*AE86,0)</f>
        <v>-235849</v>
      </c>
    </row>
    <row r="87" spans="1:38" x14ac:dyDescent="0.2">
      <c r="A87" s="1">
        <f t="shared" si="1"/>
        <v>87</v>
      </c>
      <c r="B87" t="s">
        <v>104</v>
      </c>
      <c r="C87" s="5"/>
      <c r="D87" s="5">
        <f>ROUND(C85*C86,0)</f>
        <v>-73857</v>
      </c>
      <c r="E87" s="5"/>
      <c r="F87" s="5">
        <f>ROUND(E85*E86,0)</f>
        <v>-482801</v>
      </c>
      <c r="G87" s="5"/>
      <c r="H87" s="5">
        <f>ROUND(G85*G86,0)</f>
        <v>-146205</v>
      </c>
      <c r="I87" s="5"/>
      <c r="J87" s="5">
        <f>ROUND(I85*I86,0)</f>
        <v>-152399</v>
      </c>
      <c r="K87" s="5"/>
      <c r="L87" s="5">
        <f>ROUND(K85*K86,0)</f>
        <v>-185671</v>
      </c>
      <c r="M87" s="5"/>
      <c r="N87" s="5">
        <f>ROUND(M85*M86,0)</f>
        <v>-416476</v>
      </c>
      <c r="O87" s="5"/>
      <c r="P87" s="5">
        <f>ROUND(O85*O86,0)</f>
        <v>-86712</v>
      </c>
      <c r="Q87" s="5"/>
      <c r="R87" s="5">
        <f>ROUND(Q85*Q86,0)</f>
        <v>-160296</v>
      </c>
      <c r="S87" s="5"/>
      <c r="T87" s="5">
        <f>ROUND(S85*S86,0)</f>
        <v>-299035</v>
      </c>
      <c r="U87" s="5"/>
      <c r="V87" s="5">
        <f>ROUND(U85*U86,0)</f>
        <v>-84316</v>
      </c>
      <c r="W87" s="5"/>
      <c r="X87" s="5">
        <f>ROUND(W85*W86,0)</f>
        <v>-280985</v>
      </c>
      <c r="Y87" s="5"/>
      <c r="Z87" s="5">
        <f>ROUND(Y85*Y86,0)</f>
        <v>-913557</v>
      </c>
      <c r="AA87" s="5"/>
      <c r="AB87" s="5">
        <f>ROUND(AA85*AA86,0)</f>
        <v>-441047</v>
      </c>
      <c r="AC87" s="5"/>
      <c r="AD87" s="5">
        <f>ROUND(AC85*AC86,0)</f>
        <v>-188071</v>
      </c>
      <c r="AE87" s="5"/>
      <c r="AF87" s="5">
        <f>ROUND(AE85*AE86,0)</f>
        <v>-164636</v>
      </c>
      <c r="AG87" s="5">
        <f>SUM(D87:AF87)</f>
        <v>-4076064</v>
      </c>
      <c r="AH87" s="5"/>
      <c r="AI87" s="23" t="s">
        <v>111</v>
      </c>
      <c r="AJ87" s="5"/>
      <c r="AL87" s="5">
        <f>AK86-AK85</f>
        <v>18657</v>
      </c>
    </row>
    <row r="88" spans="1:38" x14ac:dyDescent="0.2">
      <c r="A88" s="1">
        <f t="shared" si="1"/>
        <v>88</v>
      </c>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22"/>
    </row>
    <row r="89" spans="1:38" x14ac:dyDescent="0.2">
      <c r="A89" s="1">
        <f t="shared" si="1"/>
        <v>89</v>
      </c>
      <c r="B89" t="s">
        <v>105</v>
      </c>
      <c r="D89" s="5">
        <f>D87-C84</f>
        <v>5842</v>
      </c>
      <c r="F89" s="5">
        <f>F87-E84</f>
        <v>38190</v>
      </c>
      <c r="H89" s="5">
        <f>H87-G84</f>
        <v>11564</v>
      </c>
      <c r="J89" s="5">
        <f>J87-I84</f>
        <v>12055</v>
      </c>
      <c r="L89" s="5">
        <f>L87-K84</f>
        <v>14689</v>
      </c>
      <c r="N89" s="5">
        <f>N87-M84</f>
        <v>32947</v>
      </c>
      <c r="P89" s="5">
        <f>P87-O84</f>
        <v>6859</v>
      </c>
      <c r="R89" s="5">
        <f>R87-Q84</f>
        <v>12680</v>
      </c>
      <c r="T89" s="5">
        <f>T87-S84</f>
        <v>23656</v>
      </c>
      <c r="V89" s="5">
        <f>V87-U84</f>
        <v>6669</v>
      </c>
      <c r="X89" s="5">
        <f>X87-W84</f>
        <v>22229</v>
      </c>
      <c r="Z89" s="5">
        <f>Z87-Y84</f>
        <v>72268</v>
      </c>
      <c r="AB89" s="5">
        <f>AB87-AA84</f>
        <v>34890</v>
      </c>
      <c r="AD89" s="5">
        <f>AD87-AC84</f>
        <v>14877</v>
      </c>
      <c r="AF89" s="5">
        <f>AF87-AE84</f>
        <v>13024</v>
      </c>
      <c r="AG89" s="5">
        <f>SUM(D89:AF89)</f>
        <v>322439</v>
      </c>
      <c r="AH89" s="5"/>
      <c r="AI89" s="23"/>
      <c r="AJ89" s="5"/>
      <c r="AL89" s="5"/>
    </row>
    <row r="90" spans="1:38" x14ac:dyDescent="0.2">
      <c r="A90" s="1">
        <f t="shared" si="1"/>
        <v>90</v>
      </c>
      <c r="AI90" s="22"/>
    </row>
    <row r="91" spans="1:38" x14ac:dyDescent="0.2">
      <c r="A91" s="1">
        <f t="shared" si="1"/>
        <v>91</v>
      </c>
      <c r="B91" t="s">
        <v>17</v>
      </c>
      <c r="AI91" s="22"/>
    </row>
    <row r="92" spans="1:38" x14ac:dyDescent="0.2">
      <c r="A92" s="1">
        <f t="shared" si="1"/>
        <v>92</v>
      </c>
      <c r="B92" t="s">
        <v>101</v>
      </c>
      <c r="C92" s="5">
        <v>-84496</v>
      </c>
      <c r="D92" s="5"/>
      <c r="E92" s="5">
        <v>-557126</v>
      </c>
      <c r="F92" s="5"/>
      <c r="G92" s="5">
        <v>-168491</v>
      </c>
      <c r="H92" s="5"/>
      <c r="I92" s="5">
        <v>-166840</v>
      </c>
      <c r="J92" s="5"/>
      <c r="K92" s="5">
        <v>-212999</v>
      </c>
      <c r="L92" s="5"/>
      <c r="M92" s="5">
        <f>-345786-86588</f>
        <v>-432374</v>
      </c>
      <c r="N92" s="5"/>
      <c r="O92" s="5">
        <v>-99169</v>
      </c>
      <c r="P92" s="5"/>
      <c r="Q92" s="5">
        <v>-179619</v>
      </c>
      <c r="R92" s="5"/>
      <c r="S92" s="5">
        <v>-332440</v>
      </c>
      <c r="T92" s="5"/>
      <c r="U92" s="5">
        <v>-94325</v>
      </c>
      <c r="V92" s="5"/>
      <c r="W92" s="5">
        <v>-316452</v>
      </c>
      <c r="X92" s="5"/>
      <c r="Y92" s="5">
        <f>-568844-408808</f>
        <v>-977652</v>
      </c>
      <c r="Z92" s="5"/>
      <c r="AA92" s="5">
        <f>-515238+5066</f>
        <v>-510172</v>
      </c>
      <c r="AB92" s="5"/>
      <c r="AC92" s="5">
        <v>-208121</v>
      </c>
      <c r="AD92" s="5"/>
      <c r="AE92" s="5">
        <v>-188732</v>
      </c>
      <c r="AF92" s="5"/>
      <c r="AG92" s="5">
        <f>SUM(C92:AF92)</f>
        <v>-4529008</v>
      </c>
      <c r="AH92" s="5">
        <f>-5037701-(-503627)+5066</f>
        <v>-4529008</v>
      </c>
      <c r="AI92" s="23" t="s">
        <v>108</v>
      </c>
      <c r="AJ92" s="5"/>
      <c r="AK92" s="1">
        <f>99727766-G25</f>
        <v>57967766</v>
      </c>
      <c r="AL92" s="5"/>
    </row>
    <row r="93" spans="1:38" x14ac:dyDescent="0.2">
      <c r="A93" s="1">
        <f t="shared" si="1"/>
        <v>93</v>
      </c>
      <c r="B93" t="s">
        <v>102</v>
      </c>
      <c r="C93" s="1">
        <v>16731547</v>
      </c>
      <c r="D93" s="1"/>
      <c r="E93" s="1">
        <v>110322087</v>
      </c>
      <c r="F93" s="1"/>
      <c r="G93" s="1">
        <v>33364678</v>
      </c>
      <c r="H93" s="1"/>
      <c r="I93" s="1">
        <v>33037467</v>
      </c>
      <c r="J93" s="1"/>
      <c r="K93" s="1">
        <v>42178299</v>
      </c>
      <c r="L93" s="1"/>
      <c r="M93" s="1">
        <f>68472387+(16679101*1.028)</f>
        <v>85618502.828000009</v>
      </c>
      <c r="N93" s="1"/>
      <c r="O93" s="1">
        <v>19637908</v>
      </c>
      <c r="P93" s="1"/>
      <c r="Q93" s="1">
        <v>35568142</v>
      </c>
      <c r="R93" s="1"/>
      <c r="S93" s="1">
        <v>65829451</v>
      </c>
      <c r="T93" s="1"/>
      <c r="U93" s="1">
        <v>18677888</v>
      </c>
      <c r="V93" s="1"/>
      <c r="W93" s="1">
        <v>62663842</v>
      </c>
      <c r="X93" s="1"/>
      <c r="Y93" s="1">
        <f>80952131+112641924</f>
        <v>193594055</v>
      </c>
      <c r="Z93" s="1"/>
      <c r="AA93" s="1">
        <f>102027481-1003134</f>
        <v>101024347</v>
      </c>
      <c r="AB93" s="1"/>
      <c r="AC93" s="1">
        <v>41212041</v>
      </c>
      <c r="AD93" s="1"/>
      <c r="AE93" s="1">
        <v>37372636</v>
      </c>
      <c r="AF93" s="1"/>
      <c r="AG93" s="1"/>
      <c r="AH93" s="1"/>
      <c r="AI93" s="24" t="s">
        <v>109</v>
      </c>
      <c r="AJ93" s="1"/>
      <c r="AK93" s="5">
        <f>ROUND(AK92*C23,0)</f>
        <v>-292737</v>
      </c>
    </row>
    <row r="94" spans="1:38" x14ac:dyDescent="0.2">
      <c r="A94" s="1">
        <f t="shared" si="1"/>
        <v>94</v>
      </c>
      <c r="B94" t="s">
        <v>103</v>
      </c>
      <c r="C94" s="20">
        <f>J23</f>
        <v>-4.7099999999999989E-3</v>
      </c>
      <c r="D94" s="20"/>
      <c r="E94" s="20">
        <f>$C94</f>
        <v>-4.7099999999999989E-3</v>
      </c>
      <c r="F94" s="20"/>
      <c r="G94" s="20">
        <f>$C94</f>
        <v>-4.7099999999999989E-3</v>
      </c>
      <c r="H94" s="20"/>
      <c r="I94" s="20">
        <f>$C94</f>
        <v>-4.7099999999999989E-3</v>
      </c>
      <c r="J94" s="20"/>
      <c r="K94" s="20">
        <f>$C94</f>
        <v>-4.7099999999999989E-3</v>
      </c>
      <c r="L94" s="20"/>
      <c r="M94" s="20">
        <f>$C94</f>
        <v>-4.7099999999999989E-3</v>
      </c>
      <c r="N94" s="20"/>
      <c r="O94" s="20">
        <f>$C94</f>
        <v>-4.7099999999999989E-3</v>
      </c>
      <c r="P94" s="20"/>
      <c r="Q94" s="20">
        <f>$C94</f>
        <v>-4.7099999999999989E-3</v>
      </c>
      <c r="R94" s="20"/>
      <c r="S94" s="20">
        <f>$C94</f>
        <v>-4.7099999999999989E-3</v>
      </c>
      <c r="T94" s="20"/>
      <c r="U94" s="20">
        <f>$C94</f>
        <v>-4.7099999999999989E-3</v>
      </c>
      <c r="V94" s="20"/>
      <c r="W94" s="20">
        <f>$C94</f>
        <v>-4.7099999999999989E-3</v>
      </c>
      <c r="X94" s="20"/>
      <c r="Y94" s="20">
        <f>$C94</f>
        <v>-4.7099999999999989E-3</v>
      </c>
      <c r="Z94" s="20"/>
      <c r="AA94" s="20">
        <f>$C94</f>
        <v>-4.7099999999999989E-3</v>
      </c>
      <c r="AB94" s="20"/>
      <c r="AC94" s="20">
        <f>$C94</f>
        <v>-4.7099999999999989E-3</v>
      </c>
      <c r="AD94" s="20"/>
      <c r="AE94" s="20">
        <f>$C94</f>
        <v>-4.7099999999999989E-3</v>
      </c>
      <c r="AF94" s="20"/>
      <c r="AG94" s="20"/>
      <c r="AH94" s="20"/>
      <c r="AI94" s="25" t="s">
        <v>110</v>
      </c>
      <c r="AJ94" s="20"/>
      <c r="AK94" s="5">
        <f>ROUND(AK92*AE94,0)</f>
        <v>-273028</v>
      </c>
    </row>
    <row r="95" spans="1:38" x14ac:dyDescent="0.2">
      <c r="A95" s="1">
        <f t="shared" si="1"/>
        <v>95</v>
      </c>
      <c r="B95" t="s">
        <v>104</v>
      </c>
      <c r="C95" s="5"/>
      <c r="D95" s="5">
        <f>ROUND(C93*C94,0)</f>
        <v>-78806</v>
      </c>
      <c r="E95" s="5"/>
      <c r="F95" s="5">
        <f>ROUND(E93*E94,0)</f>
        <v>-519617</v>
      </c>
      <c r="G95" s="5"/>
      <c r="H95" s="5">
        <f>ROUND(G93*G94,0)</f>
        <v>-157148</v>
      </c>
      <c r="I95" s="5"/>
      <c r="J95" s="5">
        <f>ROUND(I93*I94,0)</f>
        <v>-155606</v>
      </c>
      <c r="K95" s="5"/>
      <c r="L95" s="5">
        <f>ROUND(K93*K94,0)</f>
        <v>-198660</v>
      </c>
      <c r="M95" s="5"/>
      <c r="N95" s="5">
        <f>ROUND(M93*M94,0)</f>
        <v>-403263</v>
      </c>
      <c r="O95" s="5"/>
      <c r="P95" s="5">
        <f>ROUND(O93*O94,0)</f>
        <v>-92495</v>
      </c>
      <c r="Q95" s="5"/>
      <c r="R95" s="5">
        <f>ROUND(Q93*Q94,0)</f>
        <v>-167526</v>
      </c>
      <c r="S95" s="5"/>
      <c r="T95" s="5">
        <f>ROUND(S93*S94,0)</f>
        <v>-310057</v>
      </c>
      <c r="U95" s="5"/>
      <c r="V95" s="5">
        <f>ROUND(U93*U94,0)</f>
        <v>-87973</v>
      </c>
      <c r="W95" s="5"/>
      <c r="X95" s="5">
        <f>ROUND(W93*W94,0)</f>
        <v>-295147</v>
      </c>
      <c r="Y95" s="5"/>
      <c r="Z95" s="5">
        <f>ROUND(Y93*Y94,0)</f>
        <v>-911828</v>
      </c>
      <c r="AA95" s="5"/>
      <c r="AB95" s="5">
        <f>ROUND(AA93*AA94,0)</f>
        <v>-475825</v>
      </c>
      <c r="AC95" s="5"/>
      <c r="AD95" s="5">
        <f>ROUND(AC93*AC94,0)</f>
        <v>-194109</v>
      </c>
      <c r="AE95" s="5"/>
      <c r="AF95" s="5">
        <f>ROUND(AE93*AE94,0)</f>
        <v>-176025</v>
      </c>
      <c r="AG95" s="5">
        <f>SUM(D95:AF95)</f>
        <v>-4224085</v>
      </c>
      <c r="AH95" s="5"/>
      <c r="AI95" s="23" t="s">
        <v>111</v>
      </c>
      <c r="AJ95" s="5"/>
      <c r="AL95" s="5">
        <f>AK94-AK93</f>
        <v>19709</v>
      </c>
    </row>
    <row r="96" spans="1:38" x14ac:dyDescent="0.2">
      <c r="A96" s="1">
        <f t="shared" si="1"/>
        <v>96</v>
      </c>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22"/>
    </row>
    <row r="97" spans="1:38" x14ac:dyDescent="0.2">
      <c r="A97" s="1">
        <f t="shared" si="1"/>
        <v>97</v>
      </c>
      <c r="B97" t="s">
        <v>105</v>
      </c>
      <c r="D97" s="5">
        <f>D95-C92</f>
        <v>5690</v>
      </c>
      <c r="F97" s="5">
        <f>F95-E92</f>
        <v>37509</v>
      </c>
      <c r="H97" s="5">
        <f>H95-G92</f>
        <v>11343</v>
      </c>
      <c r="J97" s="5">
        <f>J95-I92</f>
        <v>11234</v>
      </c>
      <c r="L97" s="5">
        <f>L95-K92</f>
        <v>14339</v>
      </c>
      <c r="N97" s="5">
        <f>N95-M92</f>
        <v>29111</v>
      </c>
      <c r="P97" s="5">
        <f>P95-O92</f>
        <v>6674</v>
      </c>
      <c r="R97" s="5">
        <f>R95-Q92</f>
        <v>12093</v>
      </c>
      <c r="T97" s="5">
        <f>T95-S92</f>
        <v>22383</v>
      </c>
      <c r="V97" s="5">
        <f>V95-U92</f>
        <v>6352</v>
      </c>
      <c r="X97" s="5">
        <f>X95-W92</f>
        <v>21305</v>
      </c>
      <c r="Z97" s="5">
        <f>Z95-Y92</f>
        <v>65824</v>
      </c>
      <c r="AB97" s="5">
        <f>AB95-AA92</f>
        <v>34347</v>
      </c>
      <c r="AD97" s="5">
        <f>AD95-AC92</f>
        <v>14012</v>
      </c>
      <c r="AF97" s="5">
        <f>AF95-AE92</f>
        <v>12707</v>
      </c>
      <c r="AG97" s="5">
        <f>SUM(D97:AF97)</f>
        <v>304923</v>
      </c>
      <c r="AH97" s="5"/>
      <c r="AI97" s="23"/>
      <c r="AJ97" s="5"/>
      <c r="AL97" s="5"/>
    </row>
    <row r="98" spans="1:38" x14ac:dyDescent="0.2">
      <c r="A98" s="1">
        <f t="shared" si="1"/>
        <v>98</v>
      </c>
      <c r="AI98" s="22"/>
    </row>
    <row r="99" spans="1:38" x14ac:dyDescent="0.2">
      <c r="A99" s="1">
        <f t="shared" si="1"/>
        <v>99</v>
      </c>
      <c r="B99" t="s">
        <v>18</v>
      </c>
      <c r="AI99" s="22"/>
    </row>
    <row r="100" spans="1:38" x14ac:dyDescent="0.2">
      <c r="A100" s="1">
        <f t="shared" si="1"/>
        <v>100</v>
      </c>
      <c r="B100" t="s">
        <v>101</v>
      </c>
      <c r="C100" s="5">
        <v>-131421</v>
      </c>
      <c r="D100" s="5"/>
      <c r="E100" s="5">
        <v>-814230</v>
      </c>
      <c r="F100" s="5"/>
      <c r="G100" s="5">
        <v>-259937</v>
      </c>
      <c r="H100" s="5"/>
      <c r="I100" s="5">
        <v>-256535</v>
      </c>
      <c r="J100" s="5"/>
      <c r="K100" s="5">
        <v>-319563</v>
      </c>
      <c r="L100" s="5"/>
      <c r="M100" s="5">
        <f>-485449-114404</f>
        <v>-599853</v>
      </c>
      <c r="N100" s="5"/>
      <c r="O100" s="5">
        <v>-152689</v>
      </c>
      <c r="P100" s="5"/>
      <c r="Q100" s="5">
        <v>-275662</v>
      </c>
      <c r="R100" s="5"/>
      <c r="S100" s="5">
        <v>-511517</v>
      </c>
      <c r="T100" s="5"/>
      <c r="U100" s="5">
        <v>-147743</v>
      </c>
      <c r="V100" s="5"/>
      <c r="W100" s="5">
        <v>-472445</v>
      </c>
      <c r="X100" s="5"/>
      <c r="Y100" s="5">
        <f>-840400-549127</f>
        <v>-1389527</v>
      </c>
      <c r="Z100" s="5"/>
      <c r="AA100" s="5">
        <f>-775967+4095</f>
        <v>-771872</v>
      </c>
      <c r="AB100" s="5"/>
      <c r="AC100" s="5">
        <v>-297762</v>
      </c>
      <c r="AD100" s="5"/>
      <c r="AE100" s="5">
        <v>-296408</v>
      </c>
      <c r="AF100" s="5"/>
      <c r="AG100" s="5">
        <f>SUM(C100:AF100)</f>
        <v>-6697164</v>
      </c>
      <c r="AH100" s="5">
        <f>-7470933-(-769674)+4095</f>
        <v>-6697164</v>
      </c>
      <c r="AI100" s="23" t="s">
        <v>108</v>
      </c>
      <c r="AJ100" s="5"/>
      <c r="AK100" s="1">
        <f>117867637-G27</f>
        <v>74715637</v>
      </c>
      <c r="AL100" s="5"/>
    </row>
    <row r="101" spans="1:38" x14ac:dyDescent="0.2">
      <c r="A101" s="1">
        <f t="shared" si="1"/>
        <v>101</v>
      </c>
      <c r="B101" t="s">
        <v>102</v>
      </c>
      <c r="C101" s="1">
        <v>20125773</v>
      </c>
      <c r="D101" s="1"/>
      <c r="E101" s="1">
        <v>124690383</v>
      </c>
      <c r="F101" s="1"/>
      <c r="G101" s="1">
        <v>39806839</v>
      </c>
      <c r="H101" s="1"/>
      <c r="I101" s="1">
        <v>39285786</v>
      </c>
      <c r="J101" s="1"/>
      <c r="K101" s="1">
        <v>48937718</v>
      </c>
      <c r="L101" s="1"/>
      <c r="M101" s="1">
        <f>74341347+(16992921*1.031)</f>
        <v>91861048.550999999</v>
      </c>
      <c r="N101" s="1"/>
      <c r="O101" s="1">
        <v>23382748</v>
      </c>
      <c r="P101" s="1"/>
      <c r="Q101" s="1">
        <v>42215037</v>
      </c>
      <c r="R101" s="1"/>
      <c r="S101" s="1">
        <v>78333713</v>
      </c>
      <c r="T101" s="1"/>
      <c r="U101" s="1">
        <v>22625191</v>
      </c>
      <c r="V101" s="1"/>
      <c r="W101" s="1">
        <v>72349726</v>
      </c>
      <c r="X101" s="1"/>
      <c r="Y101" s="1">
        <f>84093008+128698129</f>
        <v>212791137</v>
      </c>
      <c r="Z101" s="1"/>
      <c r="AA101" s="1">
        <f>118831345-627094</f>
        <v>118204251</v>
      </c>
      <c r="AB101" s="1"/>
      <c r="AC101" s="1">
        <v>45598982</v>
      </c>
      <c r="AD101" s="1"/>
      <c r="AE101" s="1">
        <v>45391634</v>
      </c>
      <c r="AF101" s="1"/>
      <c r="AG101" s="1"/>
      <c r="AH101" s="1"/>
      <c r="AI101" s="24" t="s">
        <v>109</v>
      </c>
      <c r="AJ101" s="1"/>
      <c r="AK101" s="5">
        <f>ROUND(AK100*C25,0)</f>
        <v>-487893</v>
      </c>
    </row>
    <row r="102" spans="1:38" x14ac:dyDescent="0.2">
      <c r="A102" s="1">
        <f t="shared" si="1"/>
        <v>102</v>
      </c>
      <c r="B102" t="s">
        <v>103</v>
      </c>
      <c r="C102" s="20">
        <f>J25</f>
        <v>-6.3299999999999988E-3</v>
      </c>
      <c r="D102" s="20"/>
      <c r="E102" s="20">
        <f>$C102</f>
        <v>-6.3299999999999988E-3</v>
      </c>
      <c r="F102" s="20"/>
      <c r="G102" s="20">
        <f>$C102</f>
        <v>-6.3299999999999988E-3</v>
      </c>
      <c r="H102" s="20"/>
      <c r="I102" s="20">
        <f>$C102</f>
        <v>-6.3299999999999988E-3</v>
      </c>
      <c r="J102" s="20"/>
      <c r="K102" s="20">
        <f>$C102</f>
        <v>-6.3299999999999988E-3</v>
      </c>
      <c r="L102" s="20"/>
      <c r="M102" s="20">
        <f>$C102</f>
        <v>-6.3299999999999988E-3</v>
      </c>
      <c r="N102" s="20"/>
      <c r="O102" s="20">
        <f>$C102</f>
        <v>-6.3299999999999988E-3</v>
      </c>
      <c r="P102" s="20"/>
      <c r="Q102" s="20">
        <f>$C102</f>
        <v>-6.3299999999999988E-3</v>
      </c>
      <c r="R102" s="20"/>
      <c r="S102" s="20">
        <f>$C102</f>
        <v>-6.3299999999999988E-3</v>
      </c>
      <c r="T102" s="20"/>
      <c r="U102" s="20">
        <f>$C102</f>
        <v>-6.3299999999999988E-3</v>
      </c>
      <c r="V102" s="20"/>
      <c r="W102" s="20">
        <f>$C102</f>
        <v>-6.3299999999999988E-3</v>
      </c>
      <c r="X102" s="20"/>
      <c r="Y102" s="20">
        <f>$C102</f>
        <v>-6.3299999999999988E-3</v>
      </c>
      <c r="Z102" s="20"/>
      <c r="AA102" s="20">
        <f>$C102</f>
        <v>-6.3299999999999988E-3</v>
      </c>
      <c r="AB102" s="20"/>
      <c r="AC102" s="20">
        <f>$C102</f>
        <v>-6.3299999999999988E-3</v>
      </c>
      <c r="AD102" s="20"/>
      <c r="AE102" s="20">
        <f>$C102</f>
        <v>-6.3299999999999988E-3</v>
      </c>
      <c r="AF102" s="20"/>
      <c r="AG102" s="20"/>
      <c r="AH102" s="20"/>
      <c r="AI102" s="25" t="s">
        <v>110</v>
      </c>
      <c r="AJ102" s="20"/>
      <c r="AK102" s="5">
        <f>ROUND(AK100*AE102,0)</f>
        <v>-472950</v>
      </c>
    </row>
    <row r="103" spans="1:38" x14ac:dyDescent="0.2">
      <c r="A103" s="1">
        <f t="shared" si="1"/>
        <v>103</v>
      </c>
      <c r="B103" t="s">
        <v>104</v>
      </c>
      <c r="C103" s="5"/>
      <c r="D103" s="5">
        <f>ROUND(C101*C102,0)</f>
        <v>-127396</v>
      </c>
      <c r="E103" s="5"/>
      <c r="F103" s="5">
        <f>ROUND(E101*E102,0)</f>
        <v>-789290</v>
      </c>
      <c r="G103" s="5"/>
      <c r="H103" s="5">
        <f>ROUND(G101*G102,0)</f>
        <v>-251977</v>
      </c>
      <c r="I103" s="5"/>
      <c r="J103" s="5">
        <f>ROUND(I101*I102,0)</f>
        <v>-248679</v>
      </c>
      <c r="K103" s="5"/>
      <c r="L103" s="5">
        <f>ROUND(K101*K102,0)</f>
        <v>-309776</v>
      </c>
      <c r="M103" s="5"/>
      <c r="N103" s="5">
        <f>ROUND(M101*M102,0)</f>
        <v>-581480</v>
      </c>
      <c r="O103" s="5"/>
      <c r="P103" s="5">
        <f>ROUND(O101*O102,0)</f>
        <v>-148013</v>
      </c>
      <c r="Q103" s="5"/>
      <c r="R103" s="5">
        <f>ROUND(Q101*Q102,0)</f>
        <v>-267221</v>
      </c>
      <c r="S103" s="5"/>
      <c r="T103" s="5">
        <f>ROUND(S101*S102,0)</f>
        <v>-495852</v>
      </c>
      <c r="U103" s="5"/>
      <c r="V103" s="5">
        <f>ROUND(U101*U102,0)</f>
        <v>-143217</v>
      </c>
      <c r="W103" s="5"/>
      <c r="X103" s="5">
        <f>ROUND(W101*W102,0)</f>
        <v>-457974</v>
      </c>
      <c r="Y103" s="5"/>
      <c r="Z103" s="5">
        <f>ROUND(Y101*Y102,0)</f>
        <v>-1346968</v>
      </c>
      <c r="AA103" s="5"/>
      <c r="AB103" s="5">
        <f>ROUND(AA101*AA102,0)</f>
        <v>-748233</v>
      </c>
      <c r="AC103" s="5"/>
      <c r="AD103" s="5">
        <f>ROUND(AC101*AC102,0)</f>
        <v>-288642</v>
      </c>
      <c r="AE103" s="5"/>
      <c r="AF103" s="5">
        <f>ROUND(AE101*AE102,0)</f>
        <v>-287329</v>
      </c>
      <c r="AG103" s="5">
        <f>SUM(D103:AF103)</f>
        <v>-6492047</v>
      </c>
      <c r="AH103" s="5"/>
      <c r="AI103" s="23" t="s">
        <v>111</v>
      </c>
      <c r="AJ103" s="5"/>
      <c r="AL103" s="5">
        <f>AK102-AK101</f>
        <v>14943</v>
      </c>
    </row>
    <row r="104" spans="1:38" x14ac:dyDescent="0.2">
      <c r="A104" s="1">
        <f t="shared" si="1"/>
        <v>104</v>
      </c>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22"/>
    </row>
    <row r="105" spans="1:38" x14ac:dyDescent="0.2">
      <c r="A105" s="1">
        <f t="shared" si="1"/>
        <v>105</v>
      </c>
      <c r="B105" t="s">
        <v>105</v>
      </c>
      <c r="D105" s="5">
        <f>D103-C100</f>
        <v>4025</v>
      </c>
      <c r="F105" s="5">
        <f>F103-E100</f>
        <v>24940</v>
      </c>
      <c r="H105" s="5">
        <f>H103-G100</f>
        <v>7960</v>
      </c>
      <c r="J105" s="5">
        <f>J103-I100</f>
        <v>7856</v>
      </c>
      <c r="L105" s="5">
        <f>L103-K100</f>
        <v>9787</v>
      </c>
      <c r="N105" s="5">
        <f>N103-M100</f>
        <v>18373</v>
      </c>
      <c r="P105" s="5">
        <f>P103-O100</f>
        <v>4676</v>
      </c>
      <c r="R105" s="5">
        <f>R103-Q100</f>
        <v>8441</v>
      </c>
      <c r="T105" s="5">
        <f>T103-S100</f>
        <v>15665</v>
      </c>
      <c r="V105" s="5">
        <f>V103-U100</f>
        <v>4526</v>
      </c>
      <c r="X105" s="5">
        <f>X103-W100</f>
        <v>14471</v>
      </c>
      <c r="Z105" s="5">
        <f>Z103-Y100</f>
        <v>42559</v>
      </c>
      <c r="AB105" s="5">
        <f>AB103-AA100</f>
        <v>23639</v>
      </c>
      <c r="AD105" s="5">
        <f>AD103-AC100</f>
        <v>9120</v>
      </c>
      <c r="AF105" s="5">
        <f>AF103-AE100</f>
        <v>9079</v>
      </c>
      <c r="AG105" s="5">
        <f>SUM(D105:AF105)</f>
        <v>205117</v>
      </c>
      <c r="AH105" s="5"/>
      <c r="AI105" s="23"/>
      <c r="AJ105" s="5"/>
      <c r="AL105" s="5"/>
    </row>
    <row r="106" spans="1:38" x14ac:dyDescent="0.2">
      <c r="A106" s="1">
        <f t="shared" si="1"/>
        <v>106</v>
      </c>
      <c r="AI106" s="22"/>
    </row>
    <row r="107" spans="1:38" x14ac:dyDescent="0.2">
      <c r="A107" s="1">
        <f t="shared" si="1"/>
        <v>107</v>
      </c>
      <c r="B107" t="s">
        <v>19</v>
      </c>
      <c r="AI107" s="22"/>
    </row>
    <row r="108" spans="1:38" x14ac:dyDescent="0.2">
      <c r="A108" s="1">
        <f t="shared" si="1"/>
        <v>108</v>
      </c>
      <c r="B108" t="s">
        <v>101</v>
      </c>
      <c r="C108" s="5">
        <v>-94965</v>
      </c>
      <c r="D108" s="5"/>
      <c r="E108" s="5">
        <v>-605340</v>
      </c>
      <c r="F108" s="5"/>
      <c r="G108" s="5">
        <v>-187111</v>
      </c>
      <c r="H108" s="5"/>
      <c r="I108" s="5">
        <v>-192203</v>
      </c>
      <c r="J108" s="5"/>
      <c r="K108" s="5">
        <v>-239436</v>
      </c>
      <c r="L108" s="5"/>
      <c r="M108" s="5">
        <f>-379861-91017</f>
        <v>-470878</v>
      </c>
      <c r="N108" s="5"/>
      <c r="O108" s="5">
        <v>-110882</v>
      </c>
      <c r="P108" s="5"/>
      <c r="Q108" s="5">
        <v>-204080</v>
      </c>
      <c r="R108" s="5"/>
      <c r="S108" s="5">
        <v>-379356</v>
      </c>
      <c r="T108" s="5"/>
      <c r="U108" s="5">
        <v>-106394</v>
      </c>
      <c r="V108" s="5"/>
      <c r="W108" s="5">
        <v>-349895</v>
      </c>
      <c r="X108" s="5"/>
      <c r="Y108" s="5">
        <f>-631773-440601</f>
        <v>-1072374</v>
      </c>
      <c r="Z108" s="5"/>
      <c r="AA108" s="5">
        <f>-569968+6033</f>
        <v>-563935</v>
      </c>
      <c r="AB108" s="5"/>
      <c r="AC108" s="5">
        <v>-230887</v>
      </c>
      <c r="AD108" s="5"/>
      <c r="AE108" s="5">
        <v>-213966</v>
      </c>
      <c r="AF108" s="5"/>
      <c r="AG108" s="5">
        <f>SUM(C108:AF108)</f>
        <v>-5021702</v>
      </c>
      <c r="AH108" s="5">
        <f>-5602455-(-574720)+6033</f>
        <v>-5021702</v>
      </c>
      <c r="AI108" s="23" t="s">
        <v>108</v>
      </c>
      <c r="AJ108" s="5"/>
      <c r="AK108" s="1">
        <f>108437661-G29</f>
        <v>65285661</v>
      </c>
      <c r="AL108" s="5"/>
    </row>
    <row r="109" spans="1:38" x14ac:dyDescent="0.2">
      <c r="A109" s="1">
        <f t="shared" si="1"/>
        <v>109</v>
      </c>
      <c r="B109" t="s">
        <v>102</v>
      </c>
      <c r="C109" s="1">
        <v>17918026</v>
      </c>
      <c r="D109" s="1"/>
      <c r="E109" s="1">
        <v>114215742</v>
      </c>
      <c r="F109" s="1"/>
      <c r="G109" s="1">
        <v>35303621</v>
      </c>
      <c r="H109" s="1"/>
      <c r="I109" s="1">
        <v>36264283</v>
      </c>
      <c r="J109" s="1"/>
      <c r="K109" s="1">
        <v>45176532</v>
      </c>
      <c r="L109" s="1"/>
      <c r="M109" s="1">
        <f>71671504+(16672922*1.03)</f>
        <v>88844613.659999996</v>
      </c>
      <c r="N109" s="1"/>
      <c r="O109" s="1">
        <v>20921575</v>
      </c>
      <c r="P109" s="1"/>
      <c r="Q109" s="1">
        <v>38505995</v>
      </c>
      <c r="R109" s="1"/>
      <c r="S109" s="1">
        <v>71576722</v>
      </c>
      <c r="T109" s="1"/>
      <c r="U109" s="1">
        <v>20074536</v>
      </c>
      <c r="V109" s="1"/>
      <c r="W109" s="1">
        <v>66018350</v>
      </c>
      <c r="X109" s="1"/>
      <c r="Y109" s="1">
        <f>83132227+119202380</f>
        <v>202334607</v>
      </c>
      <c r="Z109" s="1"/>
      <c r="AA109" s="1">
        <f>107540997-1138287</f>
        <v>106402710</v>
      </c>
      <c r="AB109" s="1"/>
      <c r="AC109" s="1">
        <v>43563149</v>
      </c>
      <c r="AD109" s="1"/>
      <c r="AE109" s="1">
        <v>40371074</v>
      </c>
      <c r="AF109" s="1"/>
      <c r="AG109" s="1"/>
      <c r="AH109" s="1"/>
      <c r="AI109" s="24" t="s">
        <v>109</v>
      </c>
      <c r="AJ109" s="1"/>
      <c r="AK109" s="5">
        <f>ROUND(AK108*C27,0)</f>
        <v>-346014</v>
      </c>
    </row>
    <row r="110" spans="1:38" x14ac:dyDescent="0.2">
      <c r="A110" s="1">
        <f t="shared" si="1"/>
        <v>110</v>
      </c>
      <c r="B110" t="s">
        <v>103</v>
      </c>
      <c r="C110" s="20">
        <f>J27</f>
        <v>-5.1999999999999998E-3</v>
      </c>
      <c r="D110" s="20"/>
      <c r="E110" s="20">
        <f>$C110</f>
        <v>-5.1999999999999998E-3</v>
      </c>
      <c r="F110" s="20"/>
      <c r="G110" s="20">
        <f>$C110</f>
        <v>-5.1999999999999998E-3</v>
      </c>
      <c r="H110" s="20"/>
      <c r="I110" s="20">
        <f>$C110</f>
        <v>-5.1999999999999998E-3</v>
      </c>
      <c r="J110" s="20"/>
      <c r="K110" s="20">
        <f>$C110</f>
        <v>-5.1999999999999998E-3</v>
      </c>
      <c r="L110" s="20"/>
      <c r="M110" s="20">
        <f>$C110</f>
        <v>-5.1999999999999998E-3</v>
      </c>
      <c r="N110" s="20"/>
      <c r="O110" s="20">
        <f>$C110</f>
        <v>-5.1999999999999998E-3</v>
      </c>
      <c r="P110" s="20"/>
      <c r="Q110" s="20">
        <f>$C110</f>
        <v>-5.1999999999999998E-3</v>
      </c>
      <c r="R110" s="20"/>
      <c r="S110" s="20">
        <f>$C110</f>
        <v>-5.1999999999999998E-3</v>
      </c>
      <c r="T110" s="20"/>
      <c r="U110" s="20">
        <f>$C110</f>
        <v>-5.1999999999999998E-3</v>
      </c>
      <c r="V110" s="20"/>
      <c r="W110" s="20">
        <f>$C110</f>
        <v>-5.1999999999999998E-3</v>
      </c>
      <c r="X110" s="20"/>
      <c r="Y110" s="20">
        <f>$C110</f>
        <v>-5.1999999999999998E-3</v>
      </c>
      <c r="Z110" s="20"/>
      <c r="AA110" s="20">
        <f>$C110</f>
        <v>-5.1999999999999998E-3</v>
      </c>
      <c r="AB110" s="20"/>
      <c r="AC110" s="20">
        <f>$C110</f>
        <v>-5.1999999999999998E-3</v>
      </c>
      <c r="AD110" s="20"/>
      <c r="AE110" s="20">
        <f>$C110</f>
        <v>-5.1999999999999998E-3</v>
      </c>
      <c r="AF110" s="20"/>
      <c r="AG110" s="20"/>
      <c r="AH110" s="20"/>
      <c r="AI110" s="25" t="s">
        <v>110</v>
      </c>
      <c r="AJ110" s="20"/>
      <c r="AK110" s="5">
        <f>ROUND(AK108*AE110,0)</f>
        <v>-339485</v>
      </c>
    </row>
    <row r="111" spans="1:38" x14ac:dyDescent="0.2">
      <c r="A111" s="1">
        <f t="shared" si="1"/>
        <v>111</v>
      </c>
      <c r="B111" t="s">
        <v>104</v>
      </c>
      <c r="C111" s="5"/>
      <c r="D111" s="5">
        <f>ROUND(C109*C110,0)</f>
        <v>-93174</v>
      </c>
      <c r="E111" s="5"/>
      <c r="F111" s="5">
        <f>ROUND(E109*E110,0)</f>
        <v>-593922</v>
      </c>
      <c r="G111" s="5"/>
      <c r="H111" s="5">
        <f>ROUND(G109*G110,0)</f>
        <v>-183579</v>
      </c>
      <c r="I111" s="5"/>
      <c r="J111" s="5">
        <f>ROUND(I109*I110,0)</f>
        <v>-188574</v>
      </c>
      <c r="K111" s="5"/>
      <c r="L111" s="5">
        <f>ROUND(K109*K110,0)</f>
        <v>-234918</v>
      </c>
      <c r="M111" s="5"/>
      <c r="N111" s="5">
        <f>ROUND(M109*M110,0)</f>
        <v>-461992</v>
      </c>
      <c r="O111" s="5"/>
      <c r="P111" s="5">
        <f>ROUND(O109*O110,0)</f>
        <v>-108792</v>
      </c>
      <c r="Q111" s="5"/>
      <c r="R111" s="5">
        <f>ROUND(Q109*Q110,0)</f>
        <v>-200231</v>
      </c>
      <c r="S111" s="5"/>
      <c r="T111" s="5">
        <f>ROUND(S109*S110,0)</f>
        <v>-372199</v>
      </c>
      <c r="U111" s="5"/>
      <c r="V111" s="5">
        <f>ROUND(U109*U110,0)</f>
        <v>-104388</v>
      </c>
      <c r="W111" s="5"/>
      <c r="X111" s="5">
        <f>ROUND(W109*W110,0)</f>
        <v>-343295</v>
      </c>
      <c r="Y111" s="5"/>
      <c r="Z111" s="5">
        <f>ROUND(Y109*Y110,0)</f>
        <v>-1052140</v>
      </c>
      <c r="AA111" s="5"/>
      <c r="AB111" s="5">
        <f>ROUND(AA109*AA110,0)</f>
        <v>-553294</v>
      </c>
      <c r="AC111" s="5"/>
      <c r="AD111" s="5">
        <f>ROUND(AC109*AC110,0)</f>
        <v>-226528</v>
      </c>
      <c r="AE111" s="5"/>
      <c r="AF111" s="5">
        <f>ROUND(AE109*AE110,0)</f>
        <v>-209930</v>
      </c>
      <c r="AG111" s="5">
        <f>SUM(D111:AF111)</f>
        <v>-4926956</v>
      </c>
      <c r="AH111" s="5"/>
      <c r="AI111" s="23" t="s">
        <v>111</v>
      </c>
      <c r="AJ111" s="5"/>
      <c r="AL111" s="5">
        <f>AK110-AK109</f>
        <v>6529</v>
      </c>
    </row>
    <row r="112" spans="1:38" x14ac:dyDescent="0.2">
      <c r="A112" s="1">
        <f t="shared" si="1"/>
        <v>112</v>
      </c>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22"/>
    </row>
    <row r="113" spans="1:38" x14ac:dyDescent="0.2">
      <c r="A113" s="1">
        <f t="shared" si="1"/>
        <v>113</v>
      </c>
      <c r="B113" t="s">
        <v>105</v>
      </c>
      <c r="D113" s="5">
        <f>D111-C108</f>
        <v>1791</v>
      </c>
      <c r="F113" s="5">
        <f>F111-E108</f>
        <v>11418</v>
      </c>
      <c r="H113" s="5">
        <f>H111-G108</f>
        <v>3532</v>
      </c>
      <c r="J113" s="5">
        <f>J111-I108</f>
        <v>3629</v>
      </c>
      <c r="L113" s="5">
        <f>L111-K108</f>
        <v>4518</v>
      </c>
      <c r="N113" s="5">
        <f>N111-M108</f>
        <v>8886</v>
      </c>
      <c r="P113" s="5">
        <f>P111-O108</f>
        <v>2090</v>
      </c>
      <c r="R113" s="5">
        <f>R111-Q108</f>
        <v>3849</v>
      </c>
      <c r="T113" s="5">
        <f>T111-S108</f>
        <v>7157</v>
      </c>
      <c r="V113" s="5">
        <f>V111-U108</f>
        <v>2006</v>
      </c>
      <c r="X113" s="5">
        <f>X111-W108</f>
        <v>6600</v>
      </c>
      <c r="Z113" s="5">
        <f>Z111-Y108</f>
        <v>20234</v>
      </c>
      <c r="AB113" s="5">
        <f>AB111-AA108</f>
        <v>10641</v>
      </c>
      <c r="AD113" s="5">
        <f>AD111-AC108</f>
        <v>4359</v>
      </c>
      <c r="AF113" s="5">
        <f>AF111-AE108</f>
        <v>4036</v>
      </c>
      <c r="AG113" s="5">
        <f>SUM(D113:AF113)</f>
        <v>94746</v>
      </c>
      <c r="AH113" s="5"/>
      <c r="AI113" s="23"/>
      <c r="AJ113" s="5"/>
      <c r="AL113" s="5"/>
    </row>
    <row r="114" spans="1:38" x14ac:dyDescent="0.2">
      <c r="A114" s="1">
        <f t="shared" si="1"/>
        <v>114</v>
      </c>
      <c r="AI114" s="22"/>
    </row>
    <row r="115" spans="1:38" x14ac:dyDescent="0.2">
      <c r="A115" s="1">
        <f t="shared" si="1"/>
        <v>115</v>
      </c>
      <c r="B115" t="s">
        <v>20</v>
      </c>
      <c r="AI115" s="22"/>
    </row>
    <row r="116" spans="1:38" x14ac:dyDescent="0.2">
      <c r="A116" s="1">
        <f t="shared" si="1"/>
        <v>116</v>
      </c>
      <c r="B116" t="s">
        <v>101</v>
      </c>
      <c r="C116" s="5">
        <v>-103742</v>
      </c>
      <c r="D116" s="5"/>
      <c r="E116" s="5">
        <v>-693783</v>
      </c>
      <c r="F116" s="5"/>
      <c r="G116" s="5">
        <v>-200899</v>
      </c>
      <c r="H116" s="5"/>
      <c r="I116" s="5">
        <v>-211364</v>
      </c>
      <c r="J116" s="5"/>
      <c r="K116" s="5">
        <v>-263725</v>
      </c>
      <c r="L116" s="5"/>
      <c r="M116" s="5">
        <f>-411784-102925</f>
        <v>-514709</v>
      </c>
      <c r="N116" s="5"/>
      <c r="O116" s="5">
        <v>-123847</v>
      </c>
      <c r="P116" s="5"/>
      <c r="Q116" s="5">
        <v>-224955</v>
      </c>
      <c r="R116" s="5"/>
      <c r="S116" s="5">
        <v>-420397</v>
      </c>
      <c r="T116" s="5"/>
      <c r="U116" s="5">
        <v>-117081</v>
      </c>
      <c r="V116" s="5"/>
      <c r="W116" s="5">
        <v>-397900</v>
      </c>
      <c r="X116" s="5"/>
      <c r="Y116" s="5">
        <f>-715685-572768</f>
        <v>-1288453</v>
      </c>
      <c r="Z116" s="5"/>
      <c r="AA116" s="5">
        <f>-637369+5140</f>
        <v>-632229</v>
      </c>
      <c r="AB116" s="5"/>
      <c r="AC116" s="5">
        <v>-267934</v>
      </c>
      <c r="AD116" s="5"/>
      <c r="AE116" s="5">
        <v>-234597</v>
      </c>
      <c r="AF116" s="5"/>
      <c r="AG116" s="5">
        <f>SUM(C116:AF116)</f>
        <v>-5695615</v>
      </c>
      <c r="AH116" s="5">
        <f>-6334750-(-633995)+5140</f>
        <v>-5695615</v>
      </c>
      <c r="AI116" s="23" t="s">
        <v>108</v>
      </c>
      <c r="AJ116" s="5"/>
      <c r="AK116" s="1">
        <f>90055894-G31</f>
        <v>48295894</v>
      </c>
      <c r="AL116" s="5"/>
    </row>
    <row r="117" spans="1:38" x14ac:dyDescent="0.2">
      <c r="A117" s="1">
        <f t="shared" si="1"/>
        <v>117</v>
      </c>
      <c r="B117" t="s">
        <v>102</v>
      </c>
      <c r="C117" s="1">
        <v>14736085</v>
      </c>
      <c r="D117" s="1"/>
      <c r="E117" s="1">
        <v>98548953</v>
      </c>
      <c r="F117" s="1"/>
      <c r="G117" s="1">
        <v>28536951</v>
      </c>
      <c r="H117" s="1"/>
      <c r="I117" s="1">
        <v>30023081</v>
      </c>
      <c r="J117" s="1"/>
      <c r="K117" s="1">
        <v>37461129</v>
      </c>
      <c r="L117" s="1"/>
      <c r="M117" s="1">
        <f>58492191+(14221858*1.028)</f>
        <v>73112261.024000004</v>
      </c>
      <c r="N117" s="1"/>
      <c r="O117" s="1">
        <v>17591772</v>
      </c>
      <c r="P117" s="1"/>
      <c r="Q117" s="1">
        <v>31953633</v>
      </c>
      <c r="R117" s="1"/>
      <c r="S117" s="1">
        <v>59715621</v>
      </c>
      <c r="T117" s="1"/>
      <c r="U117" s="1">
        <v>16630920</v>
      </c>
      <c r="V117" s="1"/>
      <c r="W117" s="1">
        <v>56519829</v>
      </c>
      <c r="X117" s="1"/>
      <c r="Y117" s="1">
        <f>81359129+101659508</f>
        <v>183018637</v>
      </c>
      <c r="Z117" s="1"/>
      <c r="AA117" s="1">
        <f>90534923-730036</f>
        <v>89804887</v>
      </c>
      <c r="AB117" s="1"/>
      <c r="AC117" s="1">
        <v>38058783</v>
      </c>
      <c r="AD117" s="1"/>
      <c r="AE117" s="1">
        <v>33323449</v>
      </c>
      <c r="AF117" s="1"/>
      <c r="AG117" s="1"/>
      <c r="AH117" s="1"/>
      <c r="AI117" s="24" t="s">
        <v>109</v>
      </c>
      <c r="AJ117" s="1"/>
      <c r="AK117" s="5">
        <f>ROUND(AK116*C29,0)</f>
        <v>-340003</v>
      </c>
    </row>
    <row r="118" spans="1:38" x14ac:dyDescent="0.2">
      <c r="A118" s="1">
        <f t="shared" si="1"/>
        <v>118</v>
      </c>
      <c r="B118" t="s">
        <v>103</v>
      </c>
      <c r="C118" s="20">
        <f>J29</f>
        <v>-6.8700000000000011E-3</v>
      </c>
      <c r="D118" s="20"/>
      <c r="E118" s="20">
        <f>$C118</f>
        <v>-6.8700000000000011E-3</v>
      </c>
      <c r="F118" s="20"/>
      <c r="G118" s="20">
        <f>$C118</f>
        <v>-6.8700000000000011E-3</v>
      </c>
      <c r="H118" s="20"/>
      <c r="I118" s="20">
        <f>$C118</f>
        <v>-6.8700000000000011E-3</v>
      </c>
      <c r="J118" s="20"/>
      <c r="K118" s="20">
        <f>$C118</f>
        <v>-6.8700000000000011E-3</v>
      </c>
      <c r="L118" s="20"/>
      <c r="M118" s="20">
        <f>$C118</f>
        <v>-6.8700000000000011E-3</v>
      </c>
      <c r="N118" s="20"/>
      <c r="O118" s="20">
        <f>$C118</f>
        <v>-6.8700000000000011E-3</v>
      </c>
      <c r="P118" s="20"/>
      <c r="Q118" s="20">
        <f>$C118</f>
        <v>-6.8700000000000011E-3</v>
      </c>
      <c r="R118" s="20"/>
      <c r="S118" s="20">
        <f>$C118</f>
        <v>-6.8700000000000011E-3</v>
      </c>
      <c r="T118" s="20"/>
      <c r="U118" s="20">
        <f>$C118</f>
        <v>-6.8700000000000011E-3</v>
      </c>
      <c r="V118" s="20"/>
      <c r="W118" s="20">
        <f>$C118</f>
        <v>-6.8700000000000011E-3</v>
      </c>
      <c r="X118" s="20"/>
      <c r="Y118" s="20">
        <f>$C118</f>
        <v>-6.8700000000000011E-3</v>
      </c>
      <c r="Z118" s="20"/>
      <c r="AA118" s="20">
        <f>$C118</f>
        <v>-6.8700000000000011E-3</v>
      </c>
      <c r="AB118" s="20"/>
      <c r="AC118" s="20">
        <f>$C118</f>
        <v>-6.8700000000000011E-3</v>
      </c>
      <c r="AD118" s="20"/>
      <c r="AE118" s="20">
        <f>$C118</f>
        <v>-6.8700000000000011E-3</v>
      </c>
      <c r="AF118" s="20"/>
      <c r="AG118" s="20"/>
      <c r="AH118" s="20"/>
      <c r="AI118" s="25" t="s">
        <v>110</v>
      </c>
      <c r="AJ118" s="20"/>
      <c r="AK118" s="5">
        <f>ROUND(AK116*AE118,0)</f>
        <v>-331793</v>
      </c>
    </row>
    <row r="119" spans="1:38" x14ac:dyDescent="0.2">
      <c r="A119" s="1">
        <f t="shared" si="1"/>
        <v>119</v>
      </c>
      <c r="B119" t="s">
        <v>104</v>
      </c>
      <c r="C119" s="5"/>
      <c r="D119" s="5">
        <f>ROUND(C117*C118,0)</f>
        <v>-101237</v>
      </c>
      <c r="E119" s="5"/>
      <c r="F119" s="5">
        <f>ROUND(E117*E118,0)</f>
        <v>-677031</v>
      </c>
      <c r="G119" s="5"/>
      <c r="H119" s="5">
        <f>ROUND(G117*G118,0)</f>
        <v>-196049</v>
      </c>
      <c r="I119" s="5"/>
      <c r="J119" s="5">
        <f>ROUND(I117*I118,0)</f>
        <v>-206259</v>
      </c>
      <c r="K119" s="5"/>
      <c r="L119" s="5">
        <f>ROUND(K117*K118,0)</f>
        <v>-257358</v>
      </c>
      <c r="M119" s="5"/>
      <c r="N119" s="5">
        <f>ROUND(M117*M118,0)</f>
        <v>-502281</v>
      </c>
      <c r="O119" s="5"/>
      <c r="P119" s="5">
        <f>ROUND(O117*O118,0)</f>
        <v>-120855</v>
      </c>
      <c r="Q119" s="5"/>
      <c r="R119" s="5">
        <f>ROUND(Q117*Q118,0)</f>
        <v>-219521</v>
      </c>
      <c r="S119" s="5"/>
      <c r="T119" s="5">
        <f>ROUND(S117*S118,0)</f>
        <v>-410246</v>
      </c>
      <c r="U119" s="5"/>
      <c r="V119" s="5">
        <f>ROUND(U117*U118,0)</f>
        <v>-114254</v>
      </c>
      <c r="W119" s="5"/>
      <c r="X119" s="5">
        <f>ROUND(W117*W118,0)</f>
        <v>-388291</v>
      </c>
      <c r="Y119" s="5"/>
      <c r="Z119" s="5">
        <f>ROUND(Y117*Y118,0)</f>
        <v>-1257338</v>
      </c>
      <c r="AA119" s="5"/>
      <c r="AB119" s="5">
        <f>ROUND(AA117*AA118,0)</f>
        <v>-616960</v>
      </c>
      <c r="AC119" s="5"/>
      <c r="AD119" s="5">
        <f>ROUND(AC117*AC118,0)</f>
        <v>-261464</v>
      </c>
      <c r="AE119" s="5"/>
      <c r="AF119" s="5">
        <f>ROUND(AE117*AE118,0)</f>
        <v>-228932</v>
      </c>
      <c r="AG119" s="5">
        <f>SUM(D119:AF119)</f>
        <v>-5558076</v>
      </c>
      <c r="AH119" s="5"/>
      <c r="AI119" s="23" t="s">
        <v>111</v>
      </c>
      <c r="AJ119" s="5"/>
      <c r="AL119" s="5">
        <f>AK118-AK117</f>
        <v>8210</v>
      </c>
    </row>
    <row r="120" spans="1:38" x14ac:dyDescent="0.2">
      <c r="A120" s="1">
        <f t="shared" si="1"/>
        <v>120</v>
      </c>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22"/>
    </row>
    <row r="121" spans="1:38" x14ac:dyDescent="0.2">
      <c r="A121" s="1">
        <f t="shared" si="1"/>
        <v>121</v>
      </c>
      <c r="B121" t="s">
        <v>105</v>
      </c>
      <c r="D121" s="5">
        <f>D119-C116</f>
        <v>2505</v>
      </c>
      <c r="F121" s="5">
        <f>F119-E116</f>
        <v>16752</v>
      </c>
      <c r="H121" s="5">
        <f>H119-G116</f>
        <v>4850</v>
      </c>
      <c r="J121" s="5">
        <f>J119-I116</f>
        <v>5105</v>
      </c>
      <c r="L121" s="5">
        <f>L119-K116</f>
        <v>6367</v>
      </c>
      <c r="N121" s="5">
        <f>N119-M116</f>
        <v>12428</v>
      </c>
      <c r="P121" s="5">
        <f>P119-O116</f>
        <v>2992</v>
      </c>
      <c r="R121" s="5">
        <f>R119-Q116</f>
        <v>5434</v>
      </c>
      <c r="T121" s="5">
        <f>T119-S116</f>
        <v>10151</v>
      </c>
      <c r="V121" s="5">
        <f>V119-U116</f>
        <v>2827</v>
      </c>
      <c r="X121" s="5">
        <f>X119-W116</f>
        <v>9609</v>
      </c>
      <c r="Z121" s="5">
        <f>Z119-Y116</f>
        <v>31115</v>
      </c>
      <c r="AB121" s="5">
        <f>AB119-AA116</f>
        <v>15269</v>
      </c>
      <c r="AD121" s="5">
        <f>AD119-AC116</f>
        <v>6470</v>
      </c>
      <c r="AF121" s="5">
        <f>AF119-AE116</f>
        <v>5665</v>
      </c>
      <c r="AG121" s="5">
        <f>SUM(D121:AF121)</f>
        <v>137539</v>
      </c>
      <c r="AH121" s="5"/>
      <c r="AI121" s="23"/>
      <c r="AJ121" s="5"/>
      <c r="AL121" s="5"/>
    </row>
    <row r="122" spans="1:38" x14ac:dyDescent="0.2">
      <c r="A122" s="1">
        <f t="shared" si="1"/>
        <v>122</v>
      </c>
      <c r="AI122" s="22"/>
    </row>
    <row r="123" spans="1:38" x14ac:dyDescent="0.2">
      <c r="A123" s="1">
        <f t="shared" si="1"/>
        <v>123</v>
      </c>
      <c r="B123" t="s">
        <v>21</v>
      </c>
      <c r="AI123" s="22"/>
    </row>
    <row r="124" spans="1:38" x14ac:dyDescent="0.2">
      <c r="A124" s="1">
        <f t="shared" si="1"/>
        <v>124</v>
      </c>
      <c r="B124" t="s">
        <v>101</v>
      </c>
      <c r="C124" s="5">
        <v>-41406</v>
      </c>
      <c r="D124" s="5"/>
      <c r="E124" s="5">
        <v>-253970</v>
      </c>
      <c r="F124" s="5"/>
      <c r="G124" s="5">
        <v>-78122</v>
      </c>
      <c r="H124" s="5"/>
      <c r="I124" s="5">
        <v>-85452</v>
      </c>
      <c r="J124" s="5"/>
      <c r="K124" s="5">
        <v>-99676</v>
      </c>
      <c r="L124" s="5"/>
      <c r="M124" s="5">
        <f>-168454-41115</f>
        <v>-209569</v>
      </c>
      <c r="N124" s="5"/>
      <c r="O124" s="5">
        <v>-48810</v>
      </c>
      <c r="P124" s="5"/>
      <c r="Q124" s="5">
        <v>-86660</v>
      </c>
      <c r="R124" s="5"/>
      <c r="S124" s="5">
        <v>-166770</v>
      </c>
      <c r="T124" s="5"/>
      <c r="U124" s="5">
        <v>-47554</v>
      </c>
      <c r="V124" s="5"/>
      <c r="W124" s="5">
        <v>-149241</v>
      </c>
      <c r="X124" s="5"/>
      <c r="Y124" s="5">
        <f>-262699-213910</f>
        <v>-476609</v>
      </c>
      <c r="Z124" s="5"/>
      <c r="AA124" s="5">
        <f>-230536+1959</f>
        <v>-228577</v>
      </c>
      <c r="AB124" s="5"/>
      <c r="AC124" s="5">
        <v>-100612</v>
      </c>
      <c r="AD124" s="5"/>
      <c r="AE124" s="5">
        <v>-89436</v>
      </c>
      <c r="AF124" s="5"/>
      <c r="AG124" s="5">
        <f>SUM(C124:AF124)</f>
        <v>-2162464</v>
      </c>
      <c r="AH124" s="5">
        <f>-2411144-(-246721)+1959</f>
        <v>-2162464</v>
      </c>
      <c r="AI124" s="23" t="s">
        <v>108</v>
      </c>
      <c r="AJ124" s="5"/>
      <c r="AK124" s="1">
        <f>92403312-G33</f>
        <v>49251312</v>
      </c>
      <c r="AL124" s="5"/>
    </row>
    <row r="125" spans="1:38" x14ac:dyDescent="0.2">
      <c r="A125" s="1">
        <f t="shared" si="1"/>
        <v>125</v>
      </c>
      <c r="B125" t="s">
        <v>102</v>
      </c>
      <c r="C125" s="1">
        <v>15507874</v>
      </c>
      <c r="D125" s="1"/>
      <c r="E125" s="1">
        <v>95119619</v>
      </c>
      <c r="F125" s="1"/>
      <c r="G125" s="1">
        <v>29259112</v>
      </c>
      <c r="H125" s="1"/>
      <c r="I125" s="1">
        <v>32004659</v>
      </c>
      <c r="J125" s="1"/>
      <c r="K125" s="1">
        <v>39331830</v>
      </c>
      <c r="L125" s="1"/>
      <c r="M125" s="1">
        <f>63091709+(14979261*1.028)</f>
        <v>78490389.307999998</v>
      </c>
      <c r="N125" s="1"/>
      <c r="O125" s="1">
        <v>18280897</v>
      </c>
      <c r="P125" s="1"/>
      <c r="Q125" s="1">
        <v>32457067</v>
      </c>
      <c r="R125" s="1"/>
      <c r="S125" s="1">
        <v>62460215</v>
      </c>
      <c r="T125" s="1"/>
      <c r="U125" s="1">
        <v>17810657</v>
      </c>
      <c r="V125" s="1"/>
      <c r="W125" s="1">
        <v>55894880</v>
      </c>
      <c r="X125" s="1"/>
      <c r="Y125" s="1">
        <f>80116254+98390067</f>
        <v>178506321</v>
      </c>
      <c r="Z125" s="1"/>
      <c r="AA125" s="1">
        <f>86342563-733600</f>
        <v>85608963</v>
      </c>
      <c r="AB125" s="1"/>
      <c r="AC125" s="1">
        <v>37682175</v>
      </c>
      <c r="AD125" s="1"/>
      <c r="AE125" s="1">
        <v>33496895</v>
      </c>
      <c r="AF125" s="1"/>
      <c r="AG125" s="1"/>
      <c r="AH125" s="1"/>
      <c r="AI125" s="24" t="s">
        <v>109</v>
      </c>
      <c r="AJ125" s="1"/>
      <c r="AK125" s="5">
        <f>ROUND(AK124*C31,0)</f>
        <v>-131501</v>
      </c>
    </row>
    <row r="126" spans="1:38" x14ac:dyDescent="0.2">
      <c r="A126" s="1">
        <f t="shared" si="1"/>
        <v>126</v>
      </c>
      <c r="B126" t="s">
        <v>103</v>
      </c>
      <c r="C126" s="20">
        <f>J31</f>
        <v>-2.3399999999999983E-3</v>
      </c>
      <c r="D126" s="20"/>
      <c r="E126" s="20">
        <f>$C126</f>
        <v>-2.3399999999999983E-3</v>
      </c>
      <c r="F126" s="20"/>
      <c r="G126" s="20">
        <f>$C126</f>
        <v>-2.3399999999999983E-3</v>
      </c>
      <c r="H126" s="20"/>
      <c r="I126" s="20">
        <f>$C126</f>
        <v>-2.3399999999999983E-3</v>
      </c>
      <c r="J126" s="20"/>
      <c r="K126" s="20">
        <f>$C126</f>
        <v>-2.3399999999999983E-3</v>
      </c>
      <c r="L126" s="20"/>
      <c r="M126" s="20">
        <f>$C126</f>
        <v>-2.3399999999999983E-3</v>
      </c>
      <c r="N126" s="20"/>
      <c r="O126" s="20">
        <f>$C126</f>
        <v>-2.3399999999999983E-3</v>
      </c>
      <c r="P126" s="20"/>
      <c r="Q126" s="20">
        <f>$C126</f>
        <v>-2.3399999999999983E-3</v>
      </c>
      <c r="R126" s="20"/>
      <c r="S126" s="20">
        <f>$C126</f>
        <v>-2.3399999999999983E-3</v>
      </c>
      <c r="T126" s="20"/>
      <c r="U126" s="20">
        <f>$C126</f>
        <v>-2.3399999999999983E-3</v>
      </c>
      <c r="V126" s="20"/>
      <c r="W126" s="20">
        <f>$C126</f>
        <v>-2.3399999999999983E-3</v>
      </c>
      <c r="X126" s="20"/>
      <c r="Y126" s="20">
        <f>$C126</f>
        <v>-2.3399999999999983E-3</v>
      </c>
      <c r="Z126" s="20"/>
      <c r="AA126" s="20">
        <f>$C126</f>
        <v>-2.3399999999999983E-3</v>
      </c>
      <c r="AB126" s="20"/>
      <c r="AC126" s="20">
        <f>$C126</f>
        <v>-2.3399999999999983E-3</v>
      </c>
      <c r="AD126" s="20"/>
      <c r="AE126" s="20">
        <f>$C126</f>
        <v>-2.3399999999999983E-3</v>
      </c>
      <c r="AF126" s="20"/>
      <c r="AG126" s="20"/>
      <c r="AH126" s="20"/>
      <c r="AI126" s="25" t="s">
        <v>110</v>
      </c>
      <c r="AJ126" s="20"/>
      <c r="AK126" s="5">
        <f>ROUND(AK124*AE126,0)</f>
        <v>-115248</v>
      </c>
    </row>
    <row r="127" spans="1:38" x14ac:dyDescent="0.2">
      <c r="A127" s="1">
        <f t="shared" si="1"/>
        <v>127</v>
      </c>
      <c r="B127" t="s">
        <v>104</v>
      </c>
      <c r="C127" s="5"/>
      <c r="D127" s="5">
        <f>ROUND(C125*C126,0)</f>
        <v>-36288</v>
      </c>
      <c r="E127" s="5"/>
      <c r="F127" s="5">
        <f>ROUND(E125*E126,0)</f>
        <v>-222580</v>
      </c>
      <c r="G127" s="5"/>
      <c r="H127" s="5">
        <f>ROUND(G125*G126,0)</f>
        <v>-68466</v>
      </c>
      <c r="I127" s="5"/>
      <c r="J127" s="5">
        <f>ROUND(I125*I126,0)</f>
        <v>-74891</v>
      </c>
      <c r="K127" s="5"/>
      <c r="L127" s="5">
        <f>ROUND(K125*K126,0)</f>
        <v>-92036</v>
      </c>
      <c r="M127" s="5"/>
      <c r="N127" s="5">
        <f>ROUND(M125*M126,0)</f>
        <v>-183668</v>
      </c>
      <c r="O127" s="5"/>
      <c r="P127" s="5">
        <f>ROUND(O125*O126,0)</f>
        <v>-42777</v>
      </c>
      <c r="Q127" s="5"/>
      <c r="R127" s="5">
        <f>ROUND(Q125*Q126,0)</f>
        <v>-75950</v>
      </c>
      <c r="S127" s="5"/>
      <c r="T127" s="5">
        <f>ROUND(S125*S126,0)</f>
        <v>-146157</v>
      </c>
      <c r="U127" s="5"/>
      <c r="V127" s="5">
        <f>ROUND(U125*U126,0)</f>
        <v>-41677</v>
      </c>
      <c r="W127" s="5"/>
      <c r="X127" s="5">
        <f>ROUND(W125*W126,0)</f>
        <v>-130794</v>
      </c>
      <c r="Y127" s="5"/>
      <c r="Z127" s="5">
        <f>ROUND(Y125*Y126,0)</f>
        <v>-417705</v>
      </c>
      <c r="AA127" s="5"/>
      <c r="AB127" s="5">
        <f>ROUND(AA125*AA126,0)</f>
        <v>-200325</v>
      </c>
      <c r="AC127" s="5"/>
      <c r="AD127" s="5">
        <f>ROUND(AC125*AC126,0)</f>
        <v>-88176</v>
      </c>
      <c r="AE127" s="5"/>
      <c r="AF127" s="5">
        <f>ROUND(AE125*AE126,0)</f>
        <v>-78383</v>
      </c>
      <c r="AG127" s="5">
        <f>SUM(D127:AF127)</f>
        <v>-1899873</v>
      </c>
      <c r="AH127" s="5"/>
      <c r="AI127" s="23" t="s">
        <v>111</v>
      </c>
      <c r="AJ127" s="5"/>
      <c r="AL127" s="5">
        <f>AK126-AK125</f>
        <v>16253</v>
      </c>
    </row>
    <row r="128" spans="1:38" x14ac:dyDescent="0.2">
      <c r="A128" s="1">
        <f t="shared" si="1"/>
        <v>128</v>
      </c>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22"/>
    </row>
    <row r="129" spans="1:38" x14ac:dyDescent="0.2">
      <c r="A129" s="1">
        <f t="shared" si="1"/>
        <v>129</v>
      </c>
      <c r="B129" t="s">
        <v>105</v>
      </c>
      <c r="D129" s="5">
        <f>D127-C124</f>
        <v>5118</v>
      </c>
      <c r="F129" s="5">
        <f>F127-E124</f>
        <v>31390</v>
      </c>
      <c r="H129" s="5">
        <f>H127-G124</f>
        <v>9656</v>
      </c>
      <c r="J129" s="5">
        <f>J127-I124</f>
        <v>10561</v>
      </c>
      <c r="L129" s="5">
        <f>L127-K124</f>
        <v>7640</v>
      </c>
      <c r="N129" s="5">
        <f>N127-M124</f>
        <v>25901</v>
      </c>
      <c r="P129" s="5">
        <f>P127-O124</f>
        <v>6033</v>
      </c>
      <c r="R129" s="5">
        <f>R127-Q124</f>
        <v>10710</v>
      </c>
      <c r="T129" s="5">
        <f>T127-S124</f>
        <v>20613</v>
      </c>
      <c r="V129" s="5">
        <f>V127-U124</f>
        <v>5877</v>
      </c>
      <c r="X129" s="5">
        <f>X127-W124</f>
        <v>18447</v>
      </c>
      <c r="Z129" s="5">
        <f>Z127-Y124</f>
        <v>58904</v>
      </c>
      <c r="AB129" s="5">
        <f>AB127-AA124</f>
        <v>28252</v>
      </c>
      <c r="AD129" s="5">
        <f>AD127-AC124</f>
        <v>12436</v>
      </c>
      <c r="AF129" s="5">
        <f>AF127-AE124</f>
        <v>11053</v>
      </c>
      <c r="AG129" s="5">
        <f>SUM(D129:AF129)</f>
        <v>262591</v>
      </c>
      <c r="AH129" s="5"/>
      <c r="AI129" s="23"/>
      <c r="AJ129" s="5"/>
      <c r="AL129" s="5"/>
    </row>
    <row r="130" spans="1:38" x14ac:dyDescent="0.2">
      <c r="A130" s="1">
        <f t="shared" si="1"/>
        <v>130</v>
      </c>
      <c r="AI130" s="22"/>
    </row>
    <row r="131" spans="1:38" x14ac:dyDescent="0.2">
      <c r="A131" s="1">
        <f t="shared" si="1"/>
        <v>131</v>
      </c>
      <c r="B131" s="15" t="s">
        <v>75</v>
      </c>
      <c r="AI131" s="22"/>
    </row>
    <row r="132" spans="1:38" x14ac:dyDescent="0.2">
      <c r="A132" s="1">
        <f t="shared" si="1"/>
        <v>132</v>
      </c>
      <c r="B132" t="s">
        <v>101</v>
      </c>
      <c r="C132" s="5">
        <v>-63500</v>
      </c>
      <c r="D132" s="5"/>
      <c r="E132" s="5">
        <v>-352687</v>
      </c>
      <c r="F132" s="5"/>
      <c r="G132" s="5">
        <v>-119540</v>
      </c>
      <c r="H132" s="5"/>
      <c r="I132" s="5">
        <v>-122730</v>
      </c>
      <c r="J132" s="5"/>
      <c r="K132" s="5">
        <v>-134136</v>
      </c>
      <c r="L132" s="5"/>
      <c r="M132" s="5">
        <f>-223830-58248</f>
        <v>-282078</v>
      </c>
      <c r="N132" s="5"/>
      <c r="O132" s="5">
        <v>-70698</v>
      </c>
      <c r="P132" s="5"/>
      <c r="Q132" s="5">
        <v>-128642</v>
      </c>
      <c r="R132" s="5"/>
      <c r="S132" s="5">
        <v>-244218</v>
      </c>
      <c r="T132" s="5"/>
      <c r="U132" s="5">
        <v>-70135</v>
      </c>
      <c r="V132" s="5"/>
      <c r="W132" s="5">
        <v>-200223</v>
      </c>
      <c r="X132" s="5"/>
      <c r="Y132" s="5">
        <f>-345264-229671</f>
        <v>-574935</v>
      </c>
      <c r="Z132" s="5"/>
      <c r="AA132" s="5">
        <f>-306625+3837</f>
        <v>-302788</v>
      </c>
      <c r="AB132" s="5"/>
      <c r="AC132" s="5">
        <v>-134059</v>
      </c>
      <c r="AD132" s="5"/>
      <c r="AE132" s="5">
        <v>-126120</v>
      </c>
      <c r="AF132" s="5"/>
      <c r="AG132" s="5">
        <f>SUM(C132:AF132)</f>
        <v>-2926489</v>
      </c>
      <c r="AH132" s="5">
        <f>-3272819-(-342493)+3837</f>
        <v>-2926489</v>
      </c>
      <c r="AI132" s="23" t="s">
        <v>108</v>
      </c>
      <c r="AJ132" s="5"/>
      <c r="AK132" s="1">
        <f>104419729-G11</f>
        <v>62659729</v>
      </c>
      <c r="AL132" s="5"/>
    </row>
    <row r="133" spans="1:38" x14ac:dyDescent="0.2">
      <c r="A133" s="1">
        <f t="shared" ref="A133:A143" si="2">A132+1</f>
        <v>133</v>
      </c>
      <c r="B133" t="s">
        <v>102</v>
      </c>
      <c r="C133" s="1">
        <v>19360026</v>
      </c>
      <c r="D133" s="1"/>
      <c r="E133" s="1">
        <v>107526539</v>
      </c>
      <c r="F133" s="1"/>
      <c r="G133" s="1">
        <v>36444480</v>
      </c>
      <c r="H133" s="1"/>
      <c r="I133" s="1">
        <v>37417931</v>
      </c>
      <c r="J133" s="1"/>
      <c r="K133" s="1">
        <v>40895267</v>
      </c>
      <c r="L133" s="1"/>
      <c r="M133" s="1">
        <f>68240724+(17241398*1.03)</f>
        <v>85999363.939999998</v>
      </c>
      <c r="N133" s="1"/>
      <c r="O133" s="1">
        <v>21554306</v>
      </c>
      <c r="P133" s="1"/>
      <c r="Q133" s="1">
        <v>39220174</v>
      </c>
      <c r="R133" s="1"/>
      <c r="S133" s="1">
        <v>74457083</v>
      </c>
      <c r="T133" s="1"/>
      <c r="U133" s="1">
        <v>21382734</v>
      </c>
      <c r="V133" s="1"/>
      <c r="W133" s="1">
        <v>61043448</v>
      </c>
      <c r="X133" s="1"/>
      <c r="Y133" s="1">
        <f>70021679+105263126</f>
        <v>175284805</v>
      </c>
      <c r="Z133" s="1"/>
      <c r="AA133" s="1">
        <f>93483060-1169780</f>
        <v>92313280</v>
      </c>
      <c r="AB133" s="1"/>
      <c r="AC133" s="1">
        <v>40871656</v>
      </c>
      <c r="AD133" s="1"/>
      <c r="AE133" s="1">
        <v>38450736</v>
      </c>
      <c r="AF133" s="1"/>
      <c r="AG133" s="1"/>
      <c r="AH133" s="1"/>
      <c r="AI133" s="24" t="s">
        <v>109</v>
      </c>
      <c r="AJ133" s="1"/>
      <c r="AK133" s="5">
        <f>ROUND(AK132*C33,0)</f>
        <v>-205524</v>
      </c>
    </row>
    <row r="134" spans="1:38" x14ac:dyDescent="0.2">
      <c r="A134" s="1">
        <f t="shared" si="2"/>
        <v>134</v>
      </c>
      <c r="B134" t="s">
        <v>103</v>
      </c>
      <c r="C134" s="20">
        <f>J33</f>
        <v>-2.919999999999999E-3</v>
      </c>
      <c r="D134" s="20"/>
      <c r="E134" s="20">
        <f>$C134</f>
        <v>-2.919999999999999E-3</v>
      </c>
      <c r="F134" s="20"/>
      <c r="G134" s="20">
        <f>$C134</f>
        <v>-2.919999999999999E-3</v>
      </c>
      <c r="H134" s="20"/>
      <c r="I134" s="20">
        <f>$C134</f>
        <v>-2.919999999999999E-3</v>
      </c>
      <c r="J134" s="20"/>
      <c r="K134" s="20">
        <f>$C134</f>
        <v>-2.919999999999999E-3</v>
      </c>
      <c r="L134" s="20"/>
      <c r="M134" s="20">
        <f>$C134</f>
        <v>-2.919999999999999E-3</v>
      </c>
      <c r="N134" s="20"/>
      <c r="O134" s="20">
        <f>$C134</f>
        <v>-2.919999999999999E-3</v>
      </c>
      <c r="P134" s="20"/>
      <c r="Q134" s="20">
        <f>$C134</f>
        <v>-2.919999999999999E-3</v>
      </c>
      <c r="R134" s="20"/>
      <c r="S134" s="20">
        <f>$C134</f>
        <v>-2.919999999999999E-3</v>
      </c>
      <c r="T134" s="20"/>
      <c r="U134" s="20">
        <f>$C134</f>
        <v>-2.919999999999999E-3</v>
      </c>
      <c r="V134" s="20"/>
      <c r="W134" s="20">
        <f>$C134</f>
        <v>-2.919999999999999E-3</v>
      </c>
      <c r="X134" s="20"/>
      <c r="Y134" s="20">
        <f>$C134</f>
        <v>-2.919999999999999E-3</v>
      </c>
      <c r="Z134" s="20"/>
      <c r="AA134" s="20">
        <f>$C134</f>
        <v>-2.919999999999999E-3</v>
      </c>
      <c r="AB134" s="20"/>
      <c r="AC134" s="20">
        <f>$C134</f>
        <v>-2.919999999999999E-3</v>
      </c>
      <c r="AD134" s="20"/>
      <c r="AE134" s="20">
        <f>$C134</f>
        <v>-2.919999999999999E-3</v>
      </c>
      <c r="AF134" s="20"/>
      <c r="AG134" s="20"/>
      <c r="AH134" s="20"/>
      <c r="AI134" s="25" t="s">
        <v>110</v>
      </c>
      <c r="AJ134" s="20"/>
      <c r="AK134" s="5">
        <f>ROUND(AK132*AE134,0)</f>
        <v>-182966</v>
      </c>
    </row>
    <row r="135" spans="1:38" x14ac:dyDescent="0.2">
      <c r="A135" s="1">
        <f t="shared" si="2"/>
        <v>135</v>
      </c>
      <c r="B135" t="s">
        <v>104</v>
      </c>
      <c r="C135" s="5"/>
      <c r="D135" s="5">
        <f>ROUND(C133*C134,0)</f>
        <v>-56531</v>
      </c>
      <c r="E135" s="5"/>
      <c r="F135" s="5">
        <f>ROUND(E133*E134,0)</f>
        <v>-313977</v>
      </c>
      <c r="G135" s="5"/>
      <c r="H135" s="5">
        <f>ROUND(G133*G134,0)</f>
        <v>-106418</v>
      </c>
      <c r="I135" s="5"/>
      <c r="J135" s="5">
        <f>ROUND(I133*I134,0)</f>
        <v>-109260</v>
      </c>
      <c r="K135" s="5"/>
      <c r="L135" s="5">
        <f>ROUND(K133*K134,0)</f>
        <v>-119414</v>
      </c>
      <c r="M135" s="5"/>
      <c r="N135" s="5">
        <f>ROUND(M133*M134,0)</f>
        <v>-251118</v>
      </c>
      <c r="O135" s="5"/>
      <c r="P135" s="5">
        <f>ROUND(O133*O134,0)</f>
        <v>-62939</v>
      </c>
      <c r="Q135" s="5"/>
      <c r="R135" s="5">
        <f>ROUND(Q133*Q134,0)</f>
        <v>-114523</v>
      </c>
      <c r="S135" s="5"/>
      <c r="T135" s="5">
        <f>ROUND(S133*S134,0)</f>
        <v>-217415</v>
      </c>
      <c r="U135" s="5"/>
      <c r="V135" s="5">
        <f>ROUND(U133*U134,0)</f>
        <v>-62438</v>
      </c>
      <c r="W135" s="5"/>
      <c r="X135" s="5">
        <f>ROUND(W133*W134,0)</f>
        <v>-178247</v>
      </c>
      <c r="Y135" s="5"/>
      <c r="Z135" s="5">
        <f>ROUND(Y133*Y134,0)</f>
        <v>-511832</v>
      </c>
      <c r="AA135" s="5"/>
      <c r="AB135" s="5">
        <f>ROUND(AA133*AA134,0)</f>
        <v>-269555</v>
      </c>
      <c r="AC135" s="5"/>
      <c r="AD135" s="5">
        <f>ROUND(AC133*AC134,0)</f>
        <v>-119345</v>
      </c>
      <c r="AE135" s="5"/>
      <c r="AF135" s="5">
        <f>ROUND(AE133*AE134,0)</f>
        <v>-112276</v>
      </c>
      <c r="AG135" s="5">
        <f>SUM(D135:AF135)</f>
        <v>-2605288</v>
      </c>
      <c r="AH135" s="5"/>
      <c r="AI135" s="23" t="s">
        <v>111</v>
      </c>
      <c r="AJ135" s="5"/>
      <c r="AL135" s="5">
        <f>AK134-AK133</f>
        <v>22558</v>
      </c>
    </row>
    <row r="136" spans="1:38" x14ac:dyDescent="0.2">
      <c r="A136" s="1">
        <f t="shared" si="2"/>
        <v>136</v>
      </c>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22"/>
    </row>
    <row r="137" spans="1:38" x14ac:dyDescent="0.2">
      <c r="A137" s="1">
        <f t="shared" si="2"/>
        <v>137</v>
      </c>
      <c r="B137" t="s">
        <v>105</v>
      </c>
      <c r="D137" s="5">
        <f>D135-C132</f>
        <v>6969</v>
      </c>
      <c r="F137" s="5">
        <f>F135-E132</f>
        <v>38710</v>
      </c>
      <c r="H137" s="5">
        <f>H135-G132</f>
        <v>13122</v>
      </c>
      <c r="J137" s="5">
        <f>J135-I132</f>
        <v>13470</v>
      </c>
      <c r="L137" s="5">
        <f>L135-K132</f>
        <v>14722</v>
      </c>
      <c r="N137" s="5">
        <f>N135-M132</f>
        <v>30960</v>
      </c>
      <c r="P137" s="5">
        <f>P135-O132</f>
        <v>7759</v>
      </c>
      <c r="R137" s="5">
        <f>R135-Q132</f>
        <v>14119</v>
      </c>
      <c r="T137" s="5">
        <f>T135-S132</f>
        <v>26803</v>
      </c>
      <c r="V137" s="5">
        <f>V135-U132</f>
        <v>7697</v>
      </c>
      <c r="X137" s="5">
        <f>X135-W132</f>
        <v>21976</v>
      </c>
      <c r="Z137" s="5">
        <f>Z135-Y132</f>
        <v>63103</v>
      </c>
      <c r="AB137" s="5">
        <f>AB135-AA132</f>
        <v>33233</v>
      </c>
      <c r="AD137" s="5">
        <f>AD135-AC132</f>
        <v>14714</v>
      </c>
      <c r="AF137" s="5">
        <f>AF135-AE132</f>
        <v>13844</v>
      </c>
      <c r="AG137" s="5">
        <f>SUM(D137:AF137)</f>
        <v>321201</v>
      </c>
      <c r="AH137" s="5"/>
      <c r="AI137" s="23"/>
      <c r="AJ137" s="5"/>
      <c r="AL137" s="5"/>
    </row>
    <row r="138" spans="1:38" x14ac:dyDescent="0.2">
      <c r="A138" s="1">
        <f t="shared" si="2"/>
        <v>138</v>
      </c>
      <c r="AI138" s="22"/>
    </row>
    <row r="139" spans="1:38" x14ac:dyDescent="0.2">
      <c r="A139" s="1">
        <f t="shared" si="2"/>
        <v>139</v>
      </c>
      <c r="B139" t="s">
        <v>113</v>
      </c>
      <c r="D139" s="5">
        <f>D49+D57+D65+D73+D81+D89+D97+D105+D113+D121+D129+D137</f>
        <v>46082</v>
      </c>
      <c r="F139" s="5">
        <f>F49+F57+F65+F73+F81+F89+F97+F105+F113+F121+F129+F137</f>
        <v>280831</v>
      </c>
      <c r="H139" s="5">
        <f>H49+H57+H65+H73+H81+H89+H97+H105+H113+H121+H129+H137</f>
        <v>89274</v>
      </c>
      <c r="J139" s="5">
        <f>J49+J57+J65+J73+J81+J89+J97+J105+J113+J121+J129+J137</f>
        <v>91450</v>
      </c>
      <c r="L139" s="5">
        <f>L49+L57+L65+L73+L81+L89+L97+L105+L113+L121+L129+L137</f>
        <v>102369</v>
      </c>
      <c r="N139" s="5">
        <f>N49+N57+N65+N73+N81+N89+N97+N105+N113+N121+N129+N137</f>
        <v>224498</v>
      </c>
      <c r="P139" s="5">
        <f>P49+P57+P65+P73+P81+P89+P97+P105+P113+P121+P129+P137</f>
        <v>52700</v>
      </c>
      <c r="R139" s="5">
        <f>R49+R57+R65+R73+R81+R89+R97+R105+R113+R121+R129+R137</f>
        <v>96872</v>
      </c>
      <c r="T139" s="5">
        <f>T49+T57+T65+T73+T81+T89+T97+T105+T113+T121+T129+T137</f>
        <v>181868</v>
      </c>
      <c r="V139" s="5">
        <f>V49+V57+V65+V73+V81+V89+V97+V105+V113+V121+V129+V137</f>
        <v>51735</v>
      </c>
      <c r="X139" s="5">
        <f>X49+X57+X65+X73+X81+X89+X97+X105+X113+X121+X129+X137</f>
        <v>160769</v>
      </c>
      <c r="Z139" s="5">
        <f>Z49+Z57+Z65+Z73+Z81+Z89+Z97+Z105+Z113+Z121+Z129+Z137</f>
        <v>487471</v>
      </c>
      <c r="AB139" s="5">
        <f>AB49+AB57+AB65+AB73+AB81+AB89+AB97+AB105+AB113+AB121+AB129+AB137</f>
        <v>249030</v>
      </c>
      <c r="AD139" s="5">
        <f>AD49+AD57+AD65+AD73+AD81+AD89+AD97+AD105+AD113+AD121+AD129+AD137</f>
        <v>106192</v>
      </c>
      <c r="AF139" s="5">
        <f>AF49+AF57+AF65+AF73+AF81+AF89+AF97+AF105+AF113+AF121+AF129+AF137</f>
        <v>97621</v>
      </c>
      <c r="AG139" s="5">
        <f>AG49+AG57+AG65+AG73+AG81+AG89+AG97+AG105+AG113+AG121+AG129+AG137</f>
        <v>2318762</v>
      </c>
      <c r="AI139" s="22" t="s">
        <v>116</v>
      </c>
      <c r="AL139" s="5">
        <f>AL47+AL55+AL63+AL71+AL79+AL87+AL95+AL103+AL111+AL119+AL127+AL135</f>
        <v>158122</v>
      </c>
    </row>
    <row r="140" spans="1:38" x14ac:dyDescent="0.2">
      <c r="A140" s="1">
        <f t="shared" si="2"/>
        <v>140</v>
      </c>
      <c r="AI140" s="22"/>
    </row>
    <row r="141" spans="1:38" x14ac:dyDescent="0.2">
      <c r="A141" s="1">
        <f t="shared" si="2"/>
        <v>141</v>
      </c>
      <c r="B141" t="s">
        <v>117</v>
      </c>
      <c r="C141" s="5">
        <f>C44+C52+C60+C68+C76+C84+C92+C100+C108+C116+C124+C132</f>
        <v>-1058726</v>
      </c>
      <c r="E141" s="5">
        <f>E44+E52+E60+E68+E76+E84+E92+E100+E108+E116+E124+E132</f>
        <v>-6474712</v>
      </c>
      <c r="G141" s="5">
        <f t="shared" ref="G141" si="3">G44+G52+G60+G68+G76+G84+G92+G100+G108+G116+G124+G132</f>
        <v>-2053477</v>
      </c>
      <c r="I141" s="5">
        <f t="shared" ref="I141" si="4">I44+I52+I60+I68+I76+I84+I92+I100+I108+I116+I124+I132</f>
        <v>-2095353</v>
      </c>
      <c r="K141" s="5">
        <f t="shared" ref="K141" si="5">K44+K52+K60+K68+K76+K84+K92+K100+K108+K116+K124+K132</f>
        <v>-2455141</v>
      </c>
      <c r="M141" s="5">
        <f t="shared" ref="M141" si="6">M44+M52+M60+M68+M76+M84+M92+M100+M108+M116+M124+M132</f>
        <v>-5122282</v>
      </c>
      <c r="O141" s="5">
        <f t="shared" ref="O141" si="7">O44+O52+O60+O68+O76+O84+O92+O100+O108+O116+O124+O132</f>
        <v>-1208636</v>
      </c>
      <c r="Q141" s="5">
        <f t="shared" ref="Q141" si="8">Q44+Q52+Q60+Q68+Q76+Q84+Q92+Q100+Q108+Q116+Q124+Q132</f>
        <v>-2228897</v>
      </c>
      <c r="S141" s="5">
        <f t="shared" ref="S141" si="9">S44+S52+S60+S68+S76+S84+S92+S100+S108+S116+S124+S132</f>
        <v>-4173510</v>
      </c>
      <c r="U141" s="5">
        <f t="shared" ref="U141" si="10">U44+U52+U60+U68+U76+U84+U92+U100+U108+U116+U124+U132</f>
        <v>-1186232</v>
      </c>
      <c r="W141" s="5">
        <f t="shared" ref="W141" si="11">W44+W52+W60+W68+W76+W84+W92+W100+W108+W116+W124+W132</f>
        <v>-3687923</v>
      </c>
      <c r="Y141" s="5">
        <f t="shared" ref="Y141" si="12">Y44+Y52+Y60+Y68+Y76+Y84+Y92+Y100+Y108+Y116+Y124+Y132</f>
        <v>-11178662</v>
      </c>
      <c r="AA141" s="5">
        <f t="shared" ref="AA141" si="13">AA44+AA52+AA60+AA68+AA76+AA84+AA92+AA100+AA108+AA116+AA124+AA132</f>
        <v>-5711082</v>
      </c>
      <c r="AC141" s="5">
        <f t="shared" ref="AC141" si="14">AC44+AC52+AC60+AC68+AC76+AC84+AC92+AC100+AC108+AC116+AC124+AC132</f>
        <v>-2433118</v>
      </c>
      <c r="AE141" s="5">
        <f t="shared" ref="AE141:AH141" si="15">AE44+AE52+AE60+AE68+AE76+AE84+AE92+AE100+AE108+AE116+AE124+AE132</f>
        <v>-2247838</v>
      </c>
      <c r="AG141" s="5">
        <f t="shared" si="15"/>
        <v>-53315589</v>
      </c>
      <c r="AH141" s="5">
        <f t="shared" si="15"/>
        <v>-53315589</v>
      </c>
      <c r="AI141" s="22" t="s">
        <v>120</v>
      </c>
      <c r="AK141" s="5">
        <f>AK45+AK53+AK61+AK69+AK77+AK85+AK93+AK101+AK109+AK117+AK125+AK133</f>
        <v>-3750658</v>
      </c>
    </row>
    <row r="142" spans="1:38" x14ac:dyDescent="0.2">
      <c r="A142" s="1">
        <f t="shared" si="2"/>
        <v>142</v>
      </c>
      <c r="B142" t="s">
        <v>118</v>
      </c>
      <c r="D142" s="5">
        <f>D47+D55+D63+D71+D79+D87+D95+D103+D111+D119+D127+D135</f>
        <v>-1012644</v>
      </c>
      <c r="F142" s="5">
        <f>F47+F55+F63+F71+F79+F87+F95+F103+F111+F119+F127+F135</f>
        <v>-6193881</v>
      </c>
      <c r="H142" s="5">
        <f t="shared" ref="H142" si="16">H47+H55+H63+H71+H79+H87+H95+H103+H111+H119+H127+H135</f>
        <v>-1964203</v>
      </c>
      <c r="J142" s="5">
        <f t="shared" ref="J142" si="17">J47+J55+J63+J71+J79+J87+J95+J103+J111+J119+J127+J135</f>
        <v>-2003903</v>
      </c>
      <c r="L142" s="5">
        <f t="shared" ref="L142" si="18">L47+L55+L63+L71+L79+L87+L95+L103+L111+L119+L127+L135</f>
        <v>-2352772</v>
      </c>
      <c r="N142" s="5">
        <f t="shared" ref="N142" si="19">N47+N55+N63+N71+N79+N87+N95+N103+N111+N119+N127+N135</f>
        <v>-4897784</v>
      </c>
      <c r="P142" s="5">
        <f t="shared" ref="P142" si="20">P47+P55+P63+P71+P79+P87+P95+P103+P111+P119+P127+P135</f>
        <v>-1155936</v>
      </c>
      <c r="R142" s="5">
        <f t="shared" ref="R142" si="21">R47+R55+R63+R71+R79+R87+R95+R103+R111+R119+R127+R135</f>
        <v>-2132025</v>
      </c>
      <c r="T142" s="5">
        <f t="shared" ref="T142" si="22">T47+T55+T63+T71+T79+T87+T95+T103+T111+T119+T127+T135</f>
        <v>-3991642</v>
      </c>
      <c r="V142" s="5">
        <f t="shared" ref="V142" si="23">V47+V55+V63+V71+V79+V87+V95+V103+V111+V119+V127+V135</f>
        <v>-1134497</v>
      </c>
      <c r="X142" s="5">
        <f t="shared" ref="X142" si="24">X47+X55+X63+X71+X79+X87+X95+X103+X111+X119+X127+X135</f>
        <v>-3527154</v>
      </c>
      <c r="Z142" s="5">
        <f t="shared" ref="Z142" si="25">Z47+Z55+Z63+Z71+Z79+Z87+Z95+Z103+Z111+Z119+Z127+Z135</f>
        <v>-10691191</v>
      </c>
      <c r="AB142" s="5">
        <f t="shared" ref="AB142" si="26">AB47+AB55+AB63+AB71+AB79+AB87+AB95+AB103+AB111+AB119+AB127+AB135</f>
        <v>-5462052</v>
      </c>
      <c r="AD142" s="5">
        <f t="shared" ref="AD142" si="27">AD47+AD55+AD63+AD71+AD79+AD87+AD95+AD103+AD111+AD119+AD127+AD135</f>
        <v>-2326926</v>
      </c>
      <c r="AF142" s="5">
        <f>AF47+AF55+AF63+AF71+AF79+AF87+AF95+AF103+AF111+AF119+AF127+AF135</f>
        <v>-2150217</v>
      </c>
      <c r="AG142" s="5">
        <f>AG47+AG55+AG63+AG71+AG79+AG87+AG95+AG103+AG111+AG119+AG127+AG135</f>
        <v>-50996827</v>
      </c>
      <c r="AI142" s="22" t="s">
        <v>121</v>
      </c>
      <c r="AK142" s="5">
        <f>AK46+AK54+AK62+AK70+AK78+AK86+AK94+AK102+AK110+AK118+AK126+AK134</f>
        <v>-3592536</v>
      </c>
    </row>
    <row r="143" spans="1:38" x14ac:dyDescent="0.2">
      <c r="A143" s="1">
        <f t="shared" si="2"/>
        <v>143</v>
      </c>
      <c r="B143" t="s">
        <v>119</v>
      </c>
      <c r="D143" s="28">
        <f>ROUND(D139/C141,5)</f>
        <v>-4.3529999999999999E-2</v>
      </c>
      <c r="F143" s="28">
        <f>ROUND(F139/E141,5)</f>
        <v>-4.3369999999999999E-2</v>
      </c>
      <c r="H143" s="28">
        <f t="shared" ref="H143" si="28">ROUND(H139/G141,5)</f>
        <v>-4.3470000000000002E-2</v>
      </c>
      <c r="J143" s="28">
        <f t="shared" ref="J143" si="29">ROUND(J139/I141,5)</f>
        <v>-4.3639999999999998E-2</v>
      </c>
      <c r="L143" s="28">
        <f t="shared" ref="L143" si="30">ROUND(L139/K141,5)</f>
        <v>-4.1700000000000001E-2</v>
      </c>
      <c r="N143" s="28">
        <f t="shared" ref="N143" si="31">ROUND(N139/M141,5)</f>
        <v>-4.3830000000000001E-2</v>
      </c>
      <c r="P143" s="28">
        <f t="shared" ref="P143" si="32">ROUND(P139/O141,5)</f>
        <v>-4.36E-2</v>
      </c>
      <c r="R143" s="28">
        <f t="shared" ref="R143" si="33">ROUND(R139/Q141,5)</f>
        <v>-4.3459999999999999E-2</v>
      </c>
      <c r="T143" s="28">
        <f t="shared" ref="T143" si="34">ROUND(T139/S141,5)</f>
        <v>-4.3580000000000001E-2</v>
      </c>
      <c r="V143" s="28">
        <f t="shared" ref="V143" si="35">ROUND(V139/U141,5)</f>
        <v>-4.3610000000000003E-2</v>
      </c>
      <c r="X143" s="28">
        <f t="shared" ref="X143" si="36">ROUND(X139/W141,5)</f>
        <v>-4.3589999999999997E-2</v>
      </c>
      <c r="Z143" s="28">
        <f t="shared" ref="Z143" si="37">ROUND(Z139/Y141,5)</f>
        <v>-4.3610000000000003E-2</v>
      </c>
      <c r="AB143" s="28">
        <f t="shared" ref="AB143" si="38">ROUND(AB139/AA141,5)</f>
        <v>-4.36E-2</v>
      </c>
      <c r="AD143" s="28">
        <f t="shared" ref="AD143" si="39">ROUND(AD139/AC141,5)</f>
        <v>-4.3639999999999998E-2</v>
      </c>
      <c r="AF143" s="28">
        <f t="shared" ref="AF143" si="40">ROUND(AF139/AE141,5)</f>
        <v>-4.3430000000000003E-2</v>
      </c>
      <c r="AG143" s="28">
        <f>ROUND(AG139/AG141,5)</f>
        <v>-4.3490000000000001E-2</v>
      </c>
      <c r="AI143" s="22" t="s">
        <v>119</v>
      </c>
      <c r="AL143" s="28">
        <f>ROUND(AL139/AK141,5)</f>
        <v>-4.2160000000000003E-2</v>
      </c>
    </row>
    <row r="145" spans="29:33" x14ac:dyDescent="0.2">
      <c r="AC145" t="s">
        <v>164</v>
      </c>
      <c r="AG145" s="31">
        <f>-'Calculation on 58MW'!Q44</f>
        <v>2482633</v>
      </c>
    </row>
    <row r="146" spans="29:33" x14ac:dyDescent="0.2">
      <c r="AC146" t="s">
        <v>166</v>
      </c>
      <c r="AG146" s="29">
        <f>AL139</f>
        <v>158122</v>
      </c>
    </row>
    <row r="147" spans="29:33" ht="15" thickBot="1" x14ac:dyDescent="0.25">
      <c r="AC147" t="s">
        <v>167</v>
      </c>
      <c r="AG147" s="30">
        <f>AG145-AG146</f>
        <v>2324511</v>
      </c>
    </row>
    <row r="148" spans="29:33" ht="15" thickTop="1" x14ac:dyDescent="0.2">
      <c r="AC148" t="s">
        <v>165</v>
      </c>
      <c r="AG148" s="31">
        <f>AG139</f>
        <v>2318762</v>
      </c>
    </row>
    <row r="149" spans="29:33" x14ac:dyDescent="0.2">
      <c r="AG149" s="32"/>
    </row>
  </sheetData>
  <mergeCells count="18">
    <mergeCell ref="H8:J8"/>
    <mergeCell ref="C40:D40"/>
    <mergeCell ref="E40:F40"/>
    <mergeCell ref="G40:H40"/>
    <mergeCell ref="I40:J40"/>
    <mergeCell ref="F8:G8"/>
    <mergeCell ref="K40:L40"/>
    <mergeCell ref="M40:N40"/>
    <mergeCell ref="O40:P40"/>
    <mergeCell ref="Q40:R40"/>
    <mergeCell ref="S40:T40"/>
    <mergeCell ref="AE40:AF40"/>
    <mergeCell ref="AI41:AL41"/>
    <mergeCell ref="U40:V40"/>
    <mergeCell ref="W40:X40"/>
    <mergeCell ref="Y40:Z40"/>
    <mergeCell ref="AA40:AB40"/>
    <mergeCell ref="AC40:AD40"/>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0"/>
  <sheetViews>
    <sheetView zoomScale="80" zoomScaleNormal="80" workbookViewId="0">
      <pane xSplit="3" ySplit="9" topLeftCell="H10" activePane="bottomRight" state="frozen"/>
      <selection pane="topRight" activeCell="D1" sqref="D1"/>
      <selection pane="bottomLeft" activeCell="A10" sqref="A10"/>
      <selection pane="bottomRight" activeCell="T17" sqref="T17"/>
    </sheetView>
  </sheetViews>
  <sheetFormatPr defaultColWidth="15.625" defaultRowHeight="14.25" x14ac:dyDescent="0.2"/>
  <cols>
    <col min="1" max="1" width="4.625" customWidth="1"/>
    <col min="2" max="2" width="20.625" customWidth="1"/>
    <col min="5" max="6" width="15.625" customWidth="1"/>
    <col min="21" max="21" width="21.625" customWidth="1"/>
  </cols>
  <sheetData>
    <row r="1" spans="1:22" x14ac:dyDescent="0.2">
      <c r="A1" s="1">
        <v>1</v>
      </c>
      <c r="B1" t="str">
        <f>'FAC Recalc'!B1</f>
        <v>SoKentuckyAmend3-2017 58MW Var Adj.xlsx</v>
      </c>
    </row>
    <row r="2" spans="1:22" x14ac:dyDescent="0.2">
      <c r="A2" s="1">
        <f>A1+1</f>
        <v>2</v>
      </c>
      <c r="B2" t="s">
        <v>122</v>
      </c>
    </row>
    <row r="3" spans="1:22" x14ac:dyDescent="0.2">
      <c r="A3" s="1">
        <f t="shared" ref="A3:A66" si="0">A2+1</f>
        <v>3</v>
      </c>
    </row>
    <row r="4" spans="1:22" x14ac:dyDescent="0.2">
      <c r="A4" s="1">
        <f t="shared" si="0"/>
        <v>4</v>
      </c>
      <c r="B4" t="s">
        <v>123</v>
      </c>
    </row>
    <row r="5" spans="1:22" x14ac:dyDescent="0.2">
      <c r="A5" s="1">
        <f t="shared" si="0"/>
        <v>5</v>
      </c>
    </row>
    <row r="6" spans="1:22" ht="15" x14ac:dyDescent="0.25">
      <c r="A6" s="1">
        <f t="shared" si="0"/>
        <v>6</v>
      </c>
      <c r="B6" s="2" t="s">
        <v>124</v>
      </c>
    </row>
    <row r="7" spans="1:22" x14ac:dyDescent="0.2">
      <c r="A7" s="1">
        <f t="shared" si="0"/>
        <v>7</v>
      </c>
    </row>
    <row r="8" spans="1:22" x14ac:dyDescent="0.2">
      <c r="A8" s="1">
        <f t="shared" si="0"/>
        <v>8</v>
      </c>
      <c r="B8" s="19"/>
      <c r="C8" s="19" t="s">
        <v>78</v>
      </c>
      <c r="D8" s="19"/>
      <c r="E8" s="19"/>
      <c r="F8" s="19"/>
      <c r="G8" s="19" t="s">
        <v>132</v>
      </c>
      <c r="H8" s="19"/>
      <c r="I8" s="19"/>
      <c r="J8" s="19"/>
      <c r="K8" s="19"/>
      <c r="L8" s="19"/>
      <c r="M8" s="19"/>
      <c r="N8" s="19"/>
      <c r="O8" s="19"/>
      <c r="P8" s="19"/>
      <c r="Q8" s="19"/>
      <c r="R8" s="19"/>
      <c r="S8" s="19"/>
    </row>
    <row r="9" spans="1:22" ht="15" thickBot="1" x14ac:dyDescent="0.25">
      <c r="A9" s="1">
        <f t="shared" si="0"/>
        <v>9</v>
      </c>
      <c r="B9" s="4" t="s">
        <v>1</v>
      </c>
      <c r="C9" s="4" t="s">
        <v>131</v>
      </c>
      <c r="D9" s="4" t="s">
        <v>52</v>
      </c>
      <c r="E9" s="4" t="s">
        <v>53</v>
      </c>
      <c r="F9" s="4" t="s">
        <v>54</v>
      </c>
      <c r="G9" s="4" t="s">
        <v>133</v>
      </c>
      <c r="H9" s="4" t="s">
        <v>56</v>
      </c>
      <c r="I9" s="4" t="s">
        <v>134</v>
      </c>
      <c r="J9" s="4" t="s">
        <v>58</v>
      </c>
      <c r="K9" s="4" t="s">
        <v>59</v>
      </c>
      <c r="L9" s="4" t="s">
        <v>60</v>
      </c>
      <c r="M9" s="4" t="s">
        <v>61</v>
      </c>
      <c r="N9" s="4" t="s">
        <v>62</v>
      </c>
      <c r="O9" s="4" t="s">
        <v>63</v>
      </c>
      <c r="P9" s="4" t="s">
        <v>64</v>
      </c>
      <c r="Q9" s="4" t="s">
        <v>65</v>
      </c>
      <c r="R9" s="4" t="s">
        <v>66</v>
      </c>
      <c r="S9" s="4" t="s">
        <v>114</v>
      </c>
      <c r="U9" s="34" t="s">
        <v>200</v>
      </c>
      <c r="V9" s="36"/>
    </row>
    <row r="10" spans="1:22" x14ac:dyDescent="0.2">
      <c r="A10" s="1">
        <f t="shared" si="0"/>
        <v>10</v>
      </c>
    </row>
    <row r="11" spans="1:22" x14ac:dyDescent="0.2">
      <c r="A11" s="1">
        <f t="shared" si="0"/>
        <v>11</v>
      </c>
      <c r="B11" s="16" t="s">
        <v>49</v>
      </c>
    </row>
    <row r="12" spans="1:22" x14ac:dyDescent="0.2">
      <c r="A12" s="1">
        <f t="shared" si="0"/>
        <v>12</v>
      </c>
      <c r="B12" t="s">
        <v>125</v>
      </c>
      <c r="D12" s="1">
        <v>51893</v>
      </c>
      <c r="E12" s="1">
        <v>259882</v>
      </c>
      <c r="F12" s="1">
        <v>105521</v>
      </c>
      <c r="G12" s="1">
        <v>94906</v>
      </c>
      <c r="H12" s="1">
        <v>100826</v>
      </c>
      <c r="I12" s="1">
        <v>101208</v>
      </c>
      <c r="J12" s="1">
        <v>50654</v>
      </c>
      <c r="K12" s="1">
        <v>107309</v>
      </c>
      <c r="L12" s="1">
        <v>193053</v>
      </c>
      <c r="M12" s="1">
        <v>57592</v>
      </c>
      <c r="N12" s="1">
        <v>157319</v>
      </c>
      <c r="O12" s="1">
        <v>212549</v>
      </c>
      <c r="P12" s="1">
        <f>228405-1105</f>
        <v>227300</v>
      </c>
      <c r="Q12" s="1">
        <v>75195</v>
      </c>
      <c r="R12" s="1">
        <v>108521</v>
      </c>
      <c r="S12" s="1">
        <f>SUM(D12:R12)</f>
        <v>1903728</v>
      </c>
      <c r="U12" t="s">
        <v>202</v>
      </c>
      <c r="V12" s="5">
        <f>55075143+9073363</f>
        <v>64148506</v>
      </c>
    </row>
    <row r="13" spans="1:22" x14ac:dyDescent="0.2">
      <c r="A13" s="1">
        <f t="shared" si="0"/>
        <v>13</v>
      </c>
      <c r="B13" t="s">
        <v>126</v>
      </c>
      <c r="D13" s="28">
        <f>ROUND(D12/$S12,5)</f>
        <v>2.726E-2</v>
      </c>
      <c r="E13" s="28">
        <f t="shared" ref="E13:R13" si="1">ROUND(E12/$S12,5)</f>
        <v>0.13650999999999999</v>
      </c>
      <c r="F13" s="28">
        <f t="shared" si="1"/>
        <v>5.543E-2</v>
      </c>
      <c r="G13" s="28">
        <f t="shared" si="1"/>
        <v>4.9849999999999998E-2</v>
      </c>
      <c r="H13" s="28">
        <f t="shared" si="1"/>
        <v>5.296E-2</v>
      </c>
      <c r="I13" s="28">
        <f t="shared" si="1"/>
        <v>5.3159999999999999E-2</v>
      </c>
      <c r="J13" s="28">
        <f t="shared" si="1"/>
        <v>2.6610000000000002E-2</v>
      </c>
      <c r="K13" s="28">
        <f t="shared" si="1"/>
        <v>5.6370000000000003E-2</v>
      </c>
      <c r="L13" s="28">
        <f t="shared" si="1"/>
        <v>0.10141</v>
      </c>
      <c r="M13" s="28">
        <f t="shared" si="1"/>
        <v>3.0249999999999999E-2</v>
      </c>
      <c r="N13" s="28">
        <f t="shared" si="1"/>
        <v>8.2640000000000005E-2</v>
      </c>
      <c r="O13" s="28">
        <f t="shared" si="1"/>
        <v>0.11165</v>
      </c>
      <c r="P13" s="28">
        <f t="shared" si="1"/>
        <v>0.11940000000000001</v>
      </c>
      <c r="Q13" s="28">
        <f t="shared" si="1"/>
        <v>3.95E-2</v>
      </c>
      <c r="R13" s="28">
        <f t="shared" si="1"/>
        <v>5.7000000000000002E-2</v>
      </c>
      <c r="S13" s="28">
        <f>SUM(D13:R13)</f>
        <v>1.0000000000000002</v>
      </c>
      <c r="U13" t="s">
        <v>201</v>
      </c>
      <c r="V13" s="29">
        <v>26580503</v>
      </c>
    </row>
    <row r="14" spans="1:22" x14ac:dyDescent="0.2">
      <c r="A14" s="1">
        <f t="shared" si="0"/>
        <v>14</v>
      </c>
      <c r="B14" t="s">
        <v>127</v>
      </c>
      <c r="D14" s="1">
        <v>23954645</v>
      </c>
      <c r="E14" s="1">
        <v>113599770</v>
      </c>
      <c r="F14" s="1">
        <v>47585118</v>
      </c>
      <c r="G14" s="1">
        <v>47179731</v>
      </c>
      <c r="H14" s="1">
        <v>46453205</v>
      </c>
      <c r="I14" s="1">
        <v>46843758</v>
      </c>
      <c r="J14" s="1">
        <v>23797171</v>
      </c>
      <c r="K14" s="1">
        <v>46812650</v>
      </c>
      <c r="L14" s="1">
        <v>91038878</v>
      </c>
      <c r="M14" s="1">
        <v>27148885</v>
      </c>
      <c r="N14" s="1">
        <v>65335740</v>
      </c>
      <c r="O14" s="1">
        <v>106067312</v>
      </c>
      <c r="P14" s="1">
        <f>105464880-1063707</f>
        <v>104401173</v>
      </c>
      <c r="Q14" s="1">
        <v>35280422</v>
      </c>
      <c r="R14" s="1">
        <v>47269516</v>
      </c>
      <c r="S14" s="1">
        <f>SUM(D14:R14)</f>
        <v>872767974</v>
      </c>
      <c r="U14" t="s">
        <v>203</v>
      </c>
      <c r="V14" s="5">
        <f>V12-V13</f>
        <v>37568003</v>
      </c>
    </row>
    <row r="15" spans="1:22" x14ac:dyDescent="0.2">
      <c r="A15" s="1">
        <f t="shared" si="0"/>
        <v>15</v>
      </c>
      <c r="B15" t="s">
        <v>128</v>
      </c>
      <c r="D15" s="28">
        <f>ROUND(D14/$S14,5)</f>
        <v>2.7449999999999999E-2</v>
      </c>
      <c r="E15" s="28">
        <f t="shared" ref="E15:R15" si="2">ROUND(E14/$S14,5)</f>
        <v>0.13016</v>
      </c>
      <c r="F15" s="28">
        <f t="shared" si="2"/>
        <v>5.4519999999999999E-2</v>
      </c>
      <c r="G15" s="28">
        <f t="shared" si="2"/>
        <v>5.4059999999999997E-2</v>
      </c>
      <c r="H15" s="28">
        <f t="shared" si="2"/>
        <v>5.323E-2</v>
      </c>
      <c r="I15" s="28">
        <f t="shared" si="2"/>
        <v>5.3670000000000002E-2</v>
      </c>
      <c r="J15" s="28">
        <f t="shared" si="2"/>
        <v>2.7269999999999999E-2</v>
      </c>
      <c r="K15" s="28">
        <f t="shared" si="2"/>
        <v>5.364E-2</v>
      </c>
      <c r="L15" s="28">
        <f t="shared" si="2"/>
        <v>0.10431</v>
      </c>
      <c r="M15" s="28">
        <f t="shared" si="2"/>
        <v>3.1109999999999999E-2</v>
      </c>
      <c r="N15" s="28">
        <f t="shared" si="2"/>
        <v>7.4859999999999996E-2</v>
      </c>
      <c r="O15" s="28">
        <f t="shared" si="2"/>
        <v>0.12153</v>
      </c>
      <c r="P15" s="28">
        <f t="shared" si="2"/>
        <v>0.11962</v>
      </c>
      <c r="Q15" s="28">
        <f t="shared" si="2"/>
        <v>4.0419999999999998E-2</v>
      </c>
      <c r="R15" s="28">
        <f t="shared" si="2"/>
        <v>5.416E-2</v>
      </c>
      <c r="S15" s="28">
        <f>SUM(D15:R15)</f>
        <v>1.0000100000000001</v>
      </c>
    </row>
    <row r="16" spans="1:22" x14ac:dyDescent="0.2">
      <c r="A16" s="1">
        <f t="shared" si="0"/>
        <v>16</v>
      </c>
      <c r="U16" t="s">
        <v>204</v>
      </c>
      <c r="V16" s="5">
        <v>85959069</v>
      </c>
    </row>
    <row r="17" spans="1:22" x14ac:dyDescent="0.2">
      <c r="A17" s="1">
        <f t="shared" si="0"/>
        <v>17</v>
      </c>
      <c r="B17" t="s">
        <v>129</v>
      </c>
      <c r="C17" s="5">
        <f>'Calculation on 58MW'!M20</f>
        <v>349160</v>
      </c>
      <c r="D17" s="5">
        <f>ROUND($C17*D13,0)</f>
        <v>9518</v>
      </c>
      <c r="E17" s="5">
        <f t="shared" ref="E17:R17" si="3">ROUND($C17*E13,0)</f>
        <v>47664</v>
      </c>
      <c r="F17" s="5">
        <f>ROUND($C17*F13,0)</f>
        <v>19354</v>
      </c>
      <c r="G17" s="5">
        <f t="shared" si="3"/>
        <v>17406</v>
      </c>
      <c r="H17" s="5">
        <f t="shared" si="3"/>
        <v>18492</v>
      </c>
      <c r="I17" s="5">
        <f t="shared" si="3"/>
        <v>18561</v>
      </c>
      <c r="J17" s="5">
        <f t="shared" si="3"/>
        <v>9291</v>
      </c>
      <c r="K17" s="5">
        <f t="shared" si="3"/>
        <v>19682</v>
      </c>
      <c r="L17" s="5">
        <f t="shared" si="3"/>
        <v>35408</v>
      </c>
      <c r="M17" s="5">
        <f t="shared" si="3"/>
        <v>10562</v>
      </c>
      <c r="N17" s="5">
        <f t="shared" si="3"/>
        <v>28855</v>
      </c>
      <c r="O17" s="5">
        <f t="shared" si="3"/>
        <v>38984</v>
      </c>
      <c r="P17" s="5">
        <f t="shared" si="3"/>
        <v>41690</v>
      </c>
      <c r="Q17" s="5">
        <f t="shared" si="3"/>
        <v>13792</v>
      </c>
      <c r="R17" s="5">
        <f t="shared" si="3"/>
        <v>19902</v>
      </c>
      <c r="S17" s="5">
        <f>SUM(D17:R17)</f>
        <v>349161</v>
      </c>
    </row>
    <row r="18" spans="1:22" x14ac:dyDescent="0.2">
      <c r="A18" s="1">
        <f t="shared" si="0"/>
        <v>18</v>
      </c>
      <c r="B18" t="s">
        <v>130</v>
      </c>
      <c r="C18" s="5">
        <f>ROUND(('Calculation on 58MW'!N20+'Calculation on 58MW'!O20)*V18,0)</f>
        <v>908838</v>
      </c>
      <c r="D18" s="5">
        <f>ROUND($C18*D15,0)</f>
        <v>24948</v>
      </c>
      <c r="E18" s="5">
        <f t="shared" ref="E18:R18" si="4">ROUND($C18*E15,0)</f>
        <v>118294</v>
      </c>
      <c r="F18" s="5">
        <f>ROUND($C18*F15,0)</f>
        <v>49550</v>
      </c>
      <c r="G18" s="5">
        <f t="shared" si="4"/>
        <v>49132</v>
      </c>
      <c r="H18" s="5">
        <f t="shared" si="4"/>
        <v>48377</v>
      </c>
      <c r="I18" s="5">
        <f t="shared" si="4"/>
        <v>48777</v>
      </c>
      <c r="J18" s="5">
        <f t="shared" si="4"/>
        <v>24784</v>
      </c>
      <c r="K18" s="5">
        <f t="shared" si="4"/>
        <v>48750</v>
      </c>
      <c r="L18" s="5">
        <f t="shared" si="4"/>
        <v>94801</v>
      </c>
      <c r="M18" s="5">
        <f t="shared" si="4"/>
        <v>28274</v>
      </c>
      <c r="N18" s="5">
        <f t="shared" si="4"/>
        <v>68036</v>
      </c>
      <c r="O18" s="5">
        <f t="shared" si="4"/>
        <v>110451</v>
      </c>
      <c r="P18" s="5">
        <f t="shared" si="4"/>
        <v>108715</v>
      </c>
      <c r="Q18" s="5">
        <f t="shared" si="4"/>
        <v>36735</v>
      </c>
      <c r="R18" s="5">
        <f t="shared" si="4"/>
        <v>49223</v>
      </c>
      <c r="S18" s="5">
        <f>SUM(D18:R18)</f>
        <v>908847</v>
      </c>
      <c r="U18" t="s">
        <v>205</v>
      </c>
      <c r="V18" s="28">
        <f>ROUND(V14/V16,5)</f>
        <v>0.43704999999999999</v>
      </c>
    </row>
    <row r="19" spans="1:22" x14ac:dyDescent="0.2">
      <c r="A19" s="1">
        <f t="shared" si="0"/>
        <v>19</v>
      </c>
    </row>
    <row r="20" spans="1:22" x14ac:dyDescent="0.2">
      <c r="A20" s="1">
        <f t="shared" si="0"/>
        <v>20</v>
      </c>
      <c r="B20" t="s">
        <v>12</v>
      </c>
    </row>
    <row r="21" spans="1:22" x14ac:dyDescent="0.2">
      <c r="A21" s="1">
        <f t="shared" si="0"/>
        <v>21</v>
      </c>
      <c r="B21" t="s">
        <v>125</v>
      </c>
      <c r="D21" s="1">
        <v>56265</v>
      </c>
      <c r="E21" s="1">
        <v>292425</v>
      </c>
      <c r="F21" s="1">
        <v>113618</v>
      </c>
      <c r="G21" s="1">
        <v>109649</v>
      </c>
      <c r="H21" s="1">
        <v>110305</v>
      </c>
      <c r="I21" s="1">
        <v>103183</v>
      </c>
      <c r="J21" s="1">
        <v>54300</v>
      </c>
      <c r="K21" s="1">
        <v>129420</v>
      </c>
      <c r="L21" s="1">
        <v>224676</v>
      </c>
      <c r="M21" s="1">
        <v>58660</v>
      </c>
      <c r="N21" s="1">
        <v>178236</v>
      </c>
      <c r="O21" s="1">
        <v>214151</v>
      </c>
      <c r="P21" s="1">
        <f>247736-1539</f>
        <v>246197</v>
      </c>
      <c r="Q21" s="1">
        <v>80729</v>
      </c>
      <c r="R21" s="1">
        <v>123473</v>
      </c>
      <c r="S21" s="1">
        <f>SUM(D21:R21)</f>
        <v>2095287</v>
      </c>
      <c r="U21" t="s">
        <v>202</v>
      </c>
      <c r="V21" s="5">
        <f>50066162+4152689</f>
        <v>54218851</v>
      </c>
    </row>
    <row r="22" spans="1:22" x14ac:dyDescent="0.2">
      <c r="A22" s="1">
        <f t="shared" si="0"/>
        <v>22</v>
      </c>
      <c r="B22" t="s">
        <v>126</v>
      </c>
      <c r="D22" s="28">
        <f>ROUND(D21/$S21,5)</f>
        <v>2.6849999999999999E-2</v>
      </c>
      <c r="E22" s="28">
        <f t="shared" ref="E22" si="5">ROUND(E21/$S21,5)</f>
        <v>0.13955999999999999</v>
      </c>
      <c r="F22" s="28">
        <f t="shared" ref="F22" si="6">ROUND(F21/$S21,5)</f>
        <v>5.423E-2</v>
      </c>
      <c r="G22" s="28">
        <f t="shared" ref="G22" si="7">ROUND(G21/$S21,5)</f>
        <v>5.2330000000000002E-2</v>
      </c>
      <c r="H22" s="28">
        <f t="shared" ref="H22" si="8">ROUND(H21/$S21,5)</f>
        <v>5.2639999999999999E-2</v>
      </c>
      <c r="I22" s="28">
        <f t="shared" ref="I22" si="9">ROUND(I21/$S21,5)</f>
        <v>4.9250000000000002E-2</v>
      </c>
      <c r="J22" s="28">
        <f t="shared" ref="J22" si="10">ROUND(J21/$S21,5)</f>
        <v>2.5919999999999999E-2</v>
      </c>
      <c r="K22" s="28">
        <f t="shared" ref="K22" si="11">ROUND(K21/$S21,5)</f>
        <v>6.1769999999999999E-2</v>
      </c>
      <c r="L22" s="28">
        <f t="shared" ref="L22" si="12">ROUND(L21/$S21,5)</f>
        <v>0.10723000000000001</v>
      </c>
      <c r="M22" s="28">
        <f t="shared" ref="M22" si="13">ROUND(M21/$S21,5)</f>
        <v>2.8000000000000001E-2</v>
      </c>
      <c r="N22" s="28">
        <f t="shared" ref="N22" si="14">ROUND(N21/$S21,5)</f>
        <v>8.5070000000000007E-2</v>
      </c>
      <c r="O22" s="28">
        <f t="shared" ref="O22" si="15">ROUND(O21/$S21,5)</f>
        <v>0.10221</v>
      </c>
      <c r="P22" s="28">
        <f t="shared" ref="P22" si="16">ROUND(P21/$S21,5)</f>
        <v>0.11749999999999999</v>
      </c>
      <c r="Q22" s="28">
        <f t="shared" ref="Q22" si="17">ROUND(Q21/$S21,5)</f>
        <v>3.8530000000000002E-2</v>
      </c>
      <c r="R22" s="28">
        <f t="shared" ref="R22" si="18">ROUND(R21/$S21,5)</f>
        <v>5.8930000000000003E-2</v>
      </c>
      <c r="S22" s="28">
        <f>SUM(D22:R22)</f>
        <v>1.0000199999999999</v>
      </c>
      <c r="U22" t="s">
        <v>201</v>
      </c>
      <c r="V22" s="29">
        <v>19889789</v>
      </c>
    </row>
    <row r="23" spans="1:22" x14ac:dyDescent="0.2">
      <c r="A23" s="1">
        <f t="shared" si="0"/>
        <v>23</v>
      </c>
      <c r="B23" t="s">
        <v>127</v>
      </c>
      <c r="D23" s="1">
        <v>22094730</v>
      </c>
      <c r="E23" s="1">
        <v>107323960</v>
      </c>
      <c r="F23" s="1">
        <v>44518120</v>
      </c>
      <c r="G23" s="1">
        <v>43870038</v>
      </c>
      <c r="H23" s="1">
        <v>43302743</v>
      </c>
      <c r="I23" s="1">
        <v>44752696</v>
      </c>
      <c r="J23" s="1">
        <v>22237788</v>
      </c>
      <c r="K23" s="1">
        <v>43527766</v>
      </c>
      <c r="L23" s="1">
        <v>84470673</v>
      </c>
      <c r="M23" s="1">
        <v>25192068</v>
      </c>
      <c r="N23" s="1">
        <v>61052937</v>
      </c>
      <c r="O23" s="1">
        <v>99961152</v>
      </c>
      <c r="P23" s="1">
        <f>99160646-947103</f>
        <v>98213543</v>
      </c>
      <c r="Q23" s="1">
        <v>33376872</v>
      </c>
      <c r="R23" s="1">
        <v>43980977</v>
      </c>
      <c r="S23" s="1">
        <f>SUM(D23:R23)</f>
        <v>817876063</v>
      </c>
      <c r="U23" t="s">
        <v>203</v>
      </c>
      <c r="V23" s="5">
        <f>V21-V22</f>
        <v>34329062</v>
      </c>
    </row>
    <row r="24" spans="1:22" x14ac:dyDescent="0.2">
      <c r="A24" s="1">
        <f t="shared" si="0"/>
        <v>24</v>
      </c>
      <c r="B24" t="s">
        <v>128</v>
      </c>
      <c r="D24" s="28">
        <f>ROUND(D23/$S23,5)</f>
        <v>2.7009999999999999E-2</v>
      </c>
      <c r="E24" s="28">
        <f t="shared" ref="E24" si="19">ROUND(E23/$S23,5)</f>
        <v>0.13122</v>
      </c>
      <c r="F24" s="28">
        <f t="shared" ref="F24" si="20">ROUND(F23/$S23,5)</f>
        <v>5.4429999999999999E-2</v>
      </c>
      <c r="G24" s="28">
        <f t="shared" ref="G24" si="21">ROUND(G23/$S23,5)</f>
        <v>5.364E-2</v>
      </c>
      <c r="H24" s="28">
        <f t="shared" ref="H24" si="22">ROUND(H23/$S23,5)</f>
        <v>5.2949999999999997E-2</v>
      </c>
      <c r="I24" s="28">
        <f t="shared" ref="I24" si="23">ROUND(I23/$S23,5)</f>
        <v>5.4719999999999998E-2</v>
      </c>
      <c r="J24" s="28">
        <f t="shared" ref="J24" si="24">ROUND(J23/$S23,5)</f>
        <v>2.7189999999999999E-2</v>
      </c>
      <c r="K24" s="28">
        <f t="shared" ref="K24" si="25">ROUND(K23/$S23,5)</f>
        <v>5.3220000000000003E-2</v>
      </c>
      <c r="L24" s="28">
        <f t="shared" ref="L24" si="26">ROUND(L23/$S23,5)</f>
        <v>0.10328</v>
      </c>
      <c r="M24" s="28">
        <f t="shared" ref="M24" si="27">ROUND(M23/$S23,5)</f>
        <v>3.0800000000000001E-2</v>
      </c>
      <c r="N24" s="28">
        <f t="shared" ref="N24" si="28">ROUND(N23/$S23,5)</f>
        <v>7.4649999999999994E-2</v>
      </c>
      <c r="O24" s="28">
        <f t="shared" ref="O24" si="29">ROUND(O23/$S23,5)</f>
        <v>0.12222</v>
      </c>
      <c r="P24" s="28">
        <f t="shared" ref="P24" si="30">ROUND(P23/$S23,5)</f>
        <v>0.12008000000000001</v>
      </c>
      <c r="Q24" s="28">
        <f t="shared" ref="Q24" si="31">ROUND(Q23/$S23,5)</f>
        <v>4.0809999999999999E-2</v>
      </c>
      <c r="R24" s="28">
        <f t="shared" ref="R24" si="32">ROUND(R23/$S23,5)</f>
        <v>5.3769999999999998E-2</v>
      </c>
      <c r="S24" s="28">
        <f>SUM(D24:R24)</f>
        <v>0.99999000000000005</v>
      </c>
    </row>
    <row r="25" spans="1:22" x14ac:dyDescent="0.2">
      <c r="A25" s="1">
        <f t="shared" si="0"/>
        <v>25</v>
      </c>
      <c r="U25" t="s">
        <v>204</v>
      </c>
      <c r="V25" s="5">
        <v>73192706</v>
      </c>
    </row>
    <row r="26" spans="1:22" x14ac:dyDescent="0.2">
      <c r="A26" s="1">
        <f t="shared" si="0"/>
        <v>26</v>
      </c>
      <c r="B26" t="s">
        <v>129</v>
      </c>
      <c r="C26" s="5">
        <f>'Calculation on 58MW'!M22</f>
        <v>349160</v>
      </c>
      <c r="D26" s="5">
        <f>ROUND($C26*D22,0)</f>
        <v>9375</v>
      </c>
      <c r="E26" s="5">
        <f t="shared" ref="E26" si="33">ROUND($C26*E22,0)</f>
        <v>48729</v>
      </c>
      <c r="F26" s="5">
        <f>ROUND($C26*F22,0)</f>
        <v>18935</v>
      </c>
      <c r="G26" s="5">
        <f t="shared" ref="G26:R26" si="34">ROUND($C26*G22,0)</f>
        <v>18272</v>
      </c>
      <c r="H26" s="5">
        <f t="shared" si="34"/>
        <v>18380</v>
      </c>
      <c r="I26" s="5">
        <f t="shared" si="34"/>
        <v>17196</v>
      </c>
      <c r="J26" s="5">
        <f t="shared" si="34"/>
        <v>9050</v>
      </c>
      <c r="K26" s="5">
        <f t="shared" si="34"/>
        <v>21568</v>
      </c>
      <c r="L26" s="5">
        <f t="shared" si="34"/>
        <v>37440</v>
      </c>
      <c r="M26" s="5">
        <f t="shared" si="34"/>
        <v>9776</v>
      </c>
      <c r="N26" s="5">
        <f t="shared" si="34"/>
        <v>29703</v>
      </c>
      <c r="O26" s="5">
        <f t="shared" si="34"/>
        <v>35688</v>
      </c>
      <c r="P26" s="5">
        <f t="shared" si="34"/>
        <v>41026</v>
      </c>
      <c r="Q26" s="5">
        <f t="shared" si="34"/>
        <v>13453</v>
      </c>
      <c r="R26" s="5">
        <f t="shared" si="34"/>
        <v>20576</v>
      </c>
      <c r="S26" s="5">
        <f>SUM(D26:R26)</f>
        <v>349167</v>
      </c>
    </row>
    <row r="27" spans="1:22" x14ac:dyDescent="0.2">
      <c r="A27" s="1">
        <f t="shared" si="0"/>
        <v>27</v>
      </c>
      <c r="B27" t="s">
        <v>130</v>
      </c>
      <c r="C27" s="5">
        <f>ROUND(('Calculation on 58MW'!N22+'Calculation on 58MW'!O22)*V27,0)</f>
        <v>975319</v>
      </c>
      <c r="D27" s="5">
        <f>ROUND($C27*D24,0)</f>
        <v>26343</v>
      </c>
      <c r="E27" s="5">
        <f t="shared" ref="E27" si="35">ROUND($C27*E24,0)</f>
        <v>127981</v>
      </c>
      <c r="F27" s="5">
        <f>ROUND($C27*F24,0)</f>
        <v>53087</v>
      </c>
      <c r="G27" s="5">
        <f t="shared" ref="G27:R27" si="36">ROUND($C27*G24,0)</f>
        <v>52316</v>
      </c>
      <c r="H27" s="5">
        <f t="shared" si="36"/>
        <v>51643</v>
      </c>
      <c r="I27" s="5">
        <f t="shared" si="36"/>
        <v>53369</v>
      </c>
      <c r="J27" s="5">
        <f t="shared" si="36"/>
        <v>26519</v>
      </c>
      <c r="K27" s="5">
        <f t="shared" si="36"/>
        <v>51906</v>
      </c>
      <c r="L27" s="5">
        <f t="shared" si="36"/>
        <v>100731</v>
      </c>
      <c r="M27" s="5">
        <f t="shared" si="36"/>
        <v>30040</v>
      </c>
      <c r="N27" s="5">
        <f t="shared" si="36"/>
        <v>72808</v>
      </c>
      <c r="O27" s="5">
        <f t="shared" si="36"/>
        <v>119203</v>
      </c>
      <c r="P27" s="5">
        <f t="shared" si="36"/>
        <v>117116</v>
      </c>
      <c r="Q27" s="5">
        <f t="shared" si="36"/>
        <v>39803</v>
      </c>
      <c r="R27" s="5">
        <f t="shared" si="36"/>
        <v>52443</v>
      </c>
      <c r="S27" s="5">
        <f>SUM(D27:R27)</f>
        <v>975308</v>
      </c>
      <c r="U27" t="s">
        <v>205</v>
      </c>
      <c r="V27" s="28">
        <f>ROUND(V23/V25,5)</f>
        <v>0.46901999999999999</v>
      </c>
    </row>
    <row r="28" spans="1:22" x14ac:dyDescent="0.2">
      <c r="A28" s="1">
        <f t="shared" si="0"/>
        <v>28</v>
      </c>
    </row>
    <row r="29" spans="1:22" x14ac:dyDescent="0.2">
      <c r="A29" s="1">
        <f t="shared" si="0"/>
        <v>29</v>
      </c>
      <c r="B29" t="s">
        <v>13</v>
      </c>
    </row>
    <row r="30" spans="1:22" x14ac:dyDescent="0.2">
      <c r="A30" s="1">
        <f t="shared" si="0"/>
        <v>30</v>
      </c>
      <c r="B30" t="s">
        <v>125</v>
      </c>
      <c r="D30" s="1">
        <v>54976</v>
      </c>
      <c r="E30" s="1">
        <v>254231</v>
      </c>
      <c r="F30" s="1">
        <v>105142</v>
      </c>
      <c r="G30" s="1">
        <v>102692</v>
      </c>
      <c r="H30" s="1">
        <v>86393</v>
      </c>
      <c r="I30" s="1">
        <v>95595</v>
      </c>
      <c r="J30" s="1">
        <v>52106</v>
      </c>
      <c r="K30" s="1">
        <v>106353</v>
      </c>
      <c r="L30" s="1">
        <v>204542</v>
      </c>
      <c r="M30" s="1">
        <v>57808</v>
      </c>
      <c r="N30" s="1">
        <v>139219</v>
      </c>
      <c r="O30" s="1">
        <v>197594</v>
      </c>
      <c r="P30" s="1">
        <f>211232-1670</f>
        <v>209562</v>
      </c>
      <c r="Q30" s="1">
        <v>71622</v>
      </c>
      <c r="R30" s="1">
        <v>94576</v>
      </c>
      <c r="S30" s="1">
        <f>SUM(D30:R30)</f>
        <v>1832411</v>
      </c>
      <c r="U30" t="s">
        <v>202</v>
      </c>
      <c r="V30" s="5">
        <f>39585915+5098075</f>
        <v>44683990</v>
      </c>
    </row>
    <row r="31" spans="1:22" x14ac:dyDescent="0.2">
      <c r="A31" s="1">
        <f t="shared" si="0"/>
        <v>31</v>
      </c>
      <c r="B31" t="s">
        <v>126</v>
      </c>
      <c r="D31" s="28">
        <f>ROUND(D30/$S30,5)</f>
        <v>0.03</v>
      </c>
      <c r="E31" s="28">
        <f t="shared" ref="E31" si="37">ROUND(E30/$S30,5)</f>
        <v>0.13874</v>
      </c>
      <c r="F31" s="28">
        <f t="shared" ref="F31" si="38">ROUND(F30/$S30,5)</f>
        <v>5.738E-2</v>
      </c>
      <c r="G31" s="28">
        <f t="shared" ref="G31" si="39">ROUND(G30/$S30,5)</f>
        <v>5.604E-2</v>
      </c>
      <c r="H31" s="28">
        <f t="shared" ref="H31" si="40">ROUND(H30/$S30,5)</f>
        <v>4.7149999999999997E-2</v>
      </c>
      <c r="I31" s="28">
        <f t="shared" ref="I31" si="41">ROUND(I30/$S30,5)</f>
        <v>5.2170000000000001E-2</v>
      </c>
      <c r="J31" s="28">
        <f t="shared" ref="J31" si="42">ROUND(J30/$S30,5)</f>
        <v>2.844E-2</v>
      </c>
      <c r="K31" s="28">
        <f t="shared" ref="K31" si="43">ROUND(K30/$S30,5)</f>
        <v>5.8040000000000001E-2</v>
      </c>
      <c r="L31" s="28">
        <f t="shared" ref="L31" si="44">ROUND(L30/$S30,5)</f>
        <v>0.11162</v>
      </c>
      <c r="M31" s="28">
        <f t="shared" ref="M31" si="45">ROUND(M30/$S30,5)</f>
        <v>3.1550000000000002E-2</v>
      </c>
      <c r="N31" s="28">
        <f t="shared" ref="N31" si="46">ROUND(N30/$S30,5)</f>
        <v>7.5980000000000006E-2</v>
      </c>
      <c r="O31" s="28">
        <f t="shared" ref="O31" si="47">ROUND(O30/$S30,5)</f>
        <v>0.10783</v>
      </c>
      <c r="P31" s="28">
        <f t="shared" ref="P31" si="48">ROUND(P30/$S30,5)</f>
        <v>0.11436</v>
      </c>
      <c r="Q31" s="28">
        <f t="shared" ref="Q31" si="49">ROUND(Q30/$S30,5)</f>
        <v>3.909E-2</v>
      </c>
      <c r="R31" s="28">
        <f t="shared" ref="R31" si="50">ROUND(R30/$S30,5)</f>
        <v>5.1610000000000003E-2</v>
      </c>
      <c r="S31" s="28">
        <f>SUM(D31:R31)</f>
        <v>1</v>
      </c>
      <c r="U31" t="s">
        <v>201</v>
      </c>
      <c r="V31" s="29">
        <v>13672290</v>
      </c>
    </row>
    <row r="32" spans="1:22" x14ac:dyDescent="0.2">
      <c r="A32" s="1">
        <f t="shared" si="0"/>
        <v>32</v>
      </c>
      <c r="B32" t="s">
        <v>127</v>
      </c>
      <c r="D32" s="1">
        <v>18003248</v>
      </c>
      <c r="E32" s="1">
        <v>81727524</v>
      </c>
      <c r="F32" s="1">
        <v>34640561</v>
      </c>
      <c r="G32" s="1">
        <v>36346461</v>
      </c>
      <c r="H32" s="1">
        <v>33964221</v>
      </c>
      <c r="I32" s="1">
        <v>35573739</v>
      </c>
      <c r="J32" s="1">
        <v>17941043</v>
      </c>
      <c r="K32" s="1">
        <v>32466833</v>
      </c>
      <c r="L32" s="1">
        <v>66822543</v>
      </c>
      <c r="M32" s="1">
        <v>20456200</v>
      </c>
      <c r="N32" s="1">
        <v>46471906</v>
      </c>
      <c r="O32" s="1">
        <v>78858424</v>
      </c>
      <c r="P32" s="1">
        <f>77556330-1095699</f>
        <v>76460631</v>
      </c>
      <c r="Q32" s="1">
        <v>25766253</v>
      </c>
      <c r="R32" s="1">
        <v>34478332</v>
      </c>
      <c r="S32" s="1">
        <f>SUM(D32:R32)</f>
        <v>639977919</v>
      </c>
      <c r="U32" t="s">
        <v>203</v>
      </c>
      <c r="V32" s="5">
        <f>V30-V31</f>
        <v>31011700</v>
      </c>
    </row>
    <row r="33" spans="1:22" x14ac:dyDescent="0.2">
      <c r="A33" s="1">
        <f t="shared" si="0"/>
        <v>33</v>
      </c>
      <c r="B33" t="s">
        <v>128</v>
      </c>
      <c r="D33" s="28">
        <f>ROUND(D32/$S32,5)</f>
        <v>2.8129999999999999E-2</v>
      </c>
      <c r="E33" s="28">
        <f t="shared" ref="E33" si="51">ROUND(E32/$S32,5)</f>
        <v>0.12770000000000001</v>
      </c>
      <c r="F33" s="28">
        <f t="shared" ref="F33" si="52">ROUND(F32/$S32,5)</f>
        <v>5.4129999999999998E-2</v>
      </c>
      <c r="G33" s="28">
        <f t="shared" ref="G33" si="53">ROUND(G32/$S32,5)</f>
        <v>5.679E-2</v>
      </c>
      <c r="H33" s="28">
        <f t="shared" ref="H33" si="54">ROUND(H32/$S32,5)</f>
        <v>5.3069999999999999E-2</v>
      </c>
      <c r="I33" s="28">
        <f t="shared" ref="I33" si="55">ROUND(I32/$S32,5)</f>
        <v>5.5590000000000001E-2</v>
      </c>
      <c r="J33" s="28">
        <f t="shared" ref="J33" si="56">ROUND(J32/$S32,5)</f>
        <v>2.8029999999999999E-2</v>
      </c>
      <c r="K33" s="28">
        <f t="shared" ref="K33" si="57">ROUND(K32/$S32,5)</f>
        <v>5.0729999999999997E-2</v>
      </c>
      <c r="L33" s="28">
        <f t="shared" ref="L33" si="58">ROUND(L32/$S32,5)</f>
        <v>0.10441</v>
      </c>
      <c r="M33" s="28">
        <f t="shared" ref="M33" si="59">ROUND(M32/$S32,5)</f>
        <v>3.1960000000000002E-2</v>
      </c>
      <c r="N33" s="28">
        <f t="shared" ref="N33" si="60">ROUND(N32/$S32,5)</f>
        <v>7.2609999999999994E-2</v>
      </c>
      <c r="O33" s="28">
        <f t="shared" ref="O33" si="61">ROUND(O32/$S32,5)</f>
        <v>0.12322</v>
      </c>
      <c r="P33" s="28">
        <f t="shared" ref="P33" si="62">ROUND(P32/$S32,5)</f>
        <v>0.11947000000000001</v>
      </c>
      <c r="Q33" s="28">
        <f t="shared" ref="Q33" si="63">ROUND(Q32/$S32,5)</f>
        <v>4.0259999999999997E-2</v>
      </c>
      <c r="R33" s="28">
        <f t="shared" ref="R33" si="64">ROUND(R32/$S32,5)</f>
        <v>5.3870000000000001E-2</v>
      </c>
      <c r="S33" s="28">
        <f>SUM(D33:R33)</f>
        <v>0.99996999999999991</v>
      </c>
    </row>
    <row r="34" spans="1:22" x14ac:dyDescent="0.2">
      <c r="A34" s="1">
        <f t="shared" si="0"/>
        <v>34</v>
      </c>
      <c r="U34" t="s">
        <v>204</v>
      </c>
      <c r="V34" s="5">
        <v>63114135</v>
      </c>
    </row>
    <row r="35" spans="1:22" x14ac:dyDescent="0.2">
      <c r="A35" s="1">
        <f t="shared" si="0"/>
        <v>35</v>
      </c>
      <c r="B35" t="s">
        <v>129</v>
      </c>
      <c r="C35" s="5">
        <f>'Calculation on 58MW'!M24</f>
        <v>349160</v>
      </c>
      <c r="D35" s="5">
        <f>ROUND($C35*D31,0)</f>
        <v>10475</v>
      </c>
      <c r="E35" s="5">
        <f t="shared" ref="E35" si="65">ROUND($C35*E31,0)</f>
        <v>48442</v>
      </c>
      <c r="F35" s="5">
        <f>ROUND($C35*F31,0)</f>
        <v>20035</v>
      </c>
      <c r="G35" s="5">
        <f t="shared" ref="G35:R35" si="66">ROUND($C35*G31,0)</f>
        <v>19567</v>
      </c>
      <c r="H35" s="5">
        <f t="shared" si="66"/>
        <v>16463</v>
      </c>
      <c r="I35" s="5">
        <f t="shared" si="66"/>
        <v>18216</v>
      </c>
      <c r="J35" s="5">
        <f t="shared" si="66"/>
        <v>9930</v>
      </c>
      <c r="K35" s="5">
        <f t="shared" si="66"/>
        <v>20265</v>
      </c>
      <c r="L35" s="5">
        <f t="shared" si="66"/>
        <v>38973</v>
      </c>
      <c r="M35" s="5">
        <f t="shared" si="66"/>
        <v>11016</v>
      </c>
      <c r="N35" s="5">
        <f t="shared" si="66"/>
        <v>26529</v>
      </c>
      <c r="O35" s="5">
        <f t="shared" si="66"/>
        <v>37650</v>
      </c>
      <c r="P35" s="5">
        <f t="shared" si="66"/>
        <v>39930</v>
      </c>
      <c r="Q35" s="5">
        <f t="shared" si="66"/>
        <v>13649</v>
      </c>
      <c r="R35" s="5">
        <f t="shared" si="66"/>
        <v>18020</v>
      </c>
      <c r="S35" s="5">
        <f>SUM(D35:R35)</f>
        <v>349160</v>
      </c>
    </row>
    <row r="36" spans="1:22" x14ac:dyDescent="0.2">
      <c r="A36" s="1">
        <f t="shared" si="0"/>
        <v>36</v>
      </c>
      <c r="B36" t="s">
        <v>130</v>
      </c>
      <c r="C36" s="5">
        <f>ROUND(('Calculation on 58MW'!N24+'Calculation on 58MW'!O24)*V36,0)</f>
        <v>922893</v>
      </c>
      <c r="D36" s="5">
        <f>ROUND($C36*D33,0)</f>
        <v>25961</v>
      </c>
      <c r="E36" s="5">
        <f t="shared" ref="E36" si="67">ROUND($C36*E33,0)</f>
        <v>117853</v>
      </c>
      <c r="F36" s="5">
        <f>ROUND($C36*F33,0)</f>
        <v>49956</v>
      </c>
      <c r="G36" s="5">
        <f t="shared" ref="G36:R36" si="68">ROUND($C36*G33,0)</f>
        <v>52411</v>
      </c>
      <c r="H36" s="5">
        <f t="shared" si="68"/>
        <v>48978</v>
      </c>
      <c r="I36" s="5">
        <f t="shared" si="68"/>
        <v>51304</v>
      </c>
      <c r="J36" s="5">
        <f t="shared" si="68"/>
        <v>25869</v>
      </c>
      <c r="K36" s="5">
        <f t="shared" si="68"/>
        <v>46818</v>
      </c>
      <c r="L36" s="5">
        <f t="shared" si="68"/>
        <v>96359</v>
      </c>
      <c r="M36" s="5">
        <f t="shared" si="68"/>
        <v>29496</v>
      </c>
      <c r="N36" s="5">
        <f t="shared" si="68"/>
        <v>67011</v>
      </c>
      <c r="O36" s="5">
        <f t="shared" si="68"/>
        <v>113719</v>
      </c>
      <c r="P36" s="5">
        <f t="shared" si="68"/>
        <v>110258</v>
      </c>
      <c r="Q36" s="5">
        <f t="shared" si="68"/>
        <v>37156</v>
      </c>
      <c r="R36" s="5">
        <f t="shared" si="68"/>
        <v>49716</v>
      </c>
      <c r="S36" s="5">
        <f>SUM(D36:R36)</f>
        <v>922865</v>
      </c>
      <c r="U36" t="s">
        <v>205</v>
      </c>
      <c r="V36" s="28">
        <f>ROUND(V32/V34,5)</f>
        <v>0.49136000000000002</v>
      </c>
    </row>
    <row r="37" spans="1:22" x14ac:dyDescent="0.2">
      <c r="A37" s="1">
        <f t="shared" si="0"/>
        <v>37</v>
      </c>
    </row>
    <row r="38" spans="1:22" x14ac:dyDescent="0.2">
      <c r="A38" s="1">
        <f t="shared" si="0"/>
        <v>38</v>
      </c>
      <c r="B38" t="s">
        <v>14</v>
      </c>
      <c r="D38" s="1"/>
      <c r="E38" s="1"/>
      <c r="F38" s="1"/>
      <c r="G38" s="1"/>
      <c r="H38" s="1"/>
      <c r="I38" s="1"/>
      <c r="J38" s="1"/>
      <c r="K38" s="1"/>
      <c r="L38" s="1"/>
      <c r="M38" s="1"/>
      <c r="N38" s="1"/>
      <c r="O38" s="1"/>
      <c r="P38" s="1"/>
      <c r="Q38" s="1"/>
      <c r="R38" s="1"/>
      <c r="S38" s="1"/>
    </row>
    <row r="39" spans="1:22" x14ac:dyDescent="0.2">
      <c r="A39" s="1">
        <f t="shared" si="0"/>
        <v>39</v>
      </c>
      <c r="B39" t="s">
        <v>125</v>
      </c>
      <c r="D39" s="1">
        <v>56345</v>
      </c>
      <c r="E39" s="1">
        <v>240593</v>
      </c>
      <c r="F39" s="1">
        <v>101182</v>
      </c>
      <c r="G39" s="1">
        <v>108879</v>
      </c>
      <c r="H39" s="1">
        <v>91218</v>
      </c>
      <c r="I39" s="1">
        <v>98740</v>
      </c>
      <c r="J39" s="1">
        <v>49931</v>
      </c>
      <c r="K39" s="1">
        <v>97564</v>
      </c>
      <c r="L39" s="1">
        <v>203823</v>
      </c>
      <c r="M39" s="1">
        <v>56455</v>
      </c>
      <c r="N39" s="1">
        <v>136534</v>
      </c>
      <c r="O39" s="1">
        <v>190371</v>
      </c>
      <c r="P39" s="1">
        <f>205479-1673</f>
        <v>203806</v>
      </c>
      <c r="Q39" s="1">
        <v>67518</v>
      </c>
      <c r="R39" s="1">
        <v>100666</v>
      </c>
      <c r="S39" s="1">
        <f>SUM(D39:R39)</f>
        <v>1803625</v>
      </c>
      <c r="U39" t="s">
        <v>202</v>
      </c>
      <c r="V39" s="5">
        <f>45157040+7496915</f>
        <v>52653955</v>
      </c>
    </row>
    <row r="40" spans="1:22" x14ac:dyDescent="0.2">
      <c r="A40" s="1">
        <f t="shared" si="0"/>
        <v>40</v>
      </c>
      <c r="B40" t="s">
        <v>126</v>
      </c>
      <c r="D40" s="28">
        <f>ROUND(D39/$S39,5)</f>
        <v>3.124E-2</v>
      </c>
      <c r="E40" s="28">
        <f t="shared" ref="E40" si="69">ROUND(E39/$S39,5)</f>
        <v>0.13339000000000001</v>
      </c>
      <c r="F40" s="28">
        <f t="shared" ref="F40" si="70">ROUND(F39/$S39,5)</f>
        <v>5.6099999999999997E-2</v>
      </c>
      <c r="G40" s="28">
        <f t="shared" ref="G40" si="71">ROUND(G39/$S39,5)</f>
        <v>6.037E-2</v>
      </c>
      <c r="H40" s="28">
        <f t="shared" ref="H40" si="72">ROUND(H39/$S39,5)</f>
        <v>5.0569999999999997E-2</v>
      </c>
      <c r="I40" s="28">
        <f t="shared" ref="I40" si="73">ROUND(I39/$S39,5)</f>
        <v>5.475E-2</v>
      </c>
      <c r="J40" s="28">
        <f t="shared" ref="J40" si="74">ROUND(J39/$S39,5)</f>
        <v>2.768E-2</v>
      </c>
      <c r="K40" s="28">
        <f t="shared" ref="K40" si="75">ROUND(K39/$S39,5)</f>
        <v>5.4089999999999999E-2</v>
      </c>
      <c r="L40" s="28">
        <f t="shared" ref="L40" si="76">ROUND(L39/$S39,5)</f>
        <v>0.11301</v>
      </c>
      <c r="M40" s="28">
        <f t="shared" ref="M40" si="77">ROUND(M39/$S39,5)</f>
        <v>3.1300000000000001E-2</v>
      </c>
      <c r="N40" s="28">
        <f t="shared" ref="N40" si="78">ROUND(N39/$S39,5)</f>
        <v>7.5700000000000003E-2</v>
      </c>
      <c r="O40" s="28">
        <f t="shared" ref="O40" si="79">ROUND(O39/$S39,5)</f>
        <v>0.10555</v>
      </c>
      <c r="P40" s="28">
        <f t="shared" ref="P40" si="80">ROUND(P39/$S39,5)</f>
        <v>0.113</v>
      </c>
      <c r="Q40" s="28">
        <f t="shared" ref="Q40" si="81">ROUND(Q39/$S39,5)</f>
        <v>3.7429999999999998E-2</v>
      </c>
      <c r="R40" s="28">
        <f t="shared" ref="R40" si="82">ROUND(R39/$S39,5)</f>
        <v>5.5809999999999998E-2</v>
      </c>
      <c r="S40" s="28">
        <f>SUM(D40:R40)</f>
        <v>0.99998999999999993</v>
      </c>
      <c r="U40" t="s">
        <v>201</v>
      </c>
      <c r="V40" s="29">
        <v>15069496</v>
      </c>
    </row>
    <row r="41" spans="1:22" x14ac:dyDescent="0.2">
      <c r="A41" s="1">
        <f t="shared" si="0"/>
        <v>41</v>
      </c>
      <c r="B41" t="s">
        <v>127</v>
      </c>
      <c r="D41" s="1">
        <v>19371183</v>
      </c>
      <c r="E41" s="1">
        <v>87187732</v>
      </c>
      <c r="F41" s="1">
        <v>37470155</v>
      </c>
      <c r="G41" s="1">
        <v>38319927</v>
      </c>
      <c r="H41" s="1">
        <v>36330410</v>
      </c>
      <c r="I41" s="1">
        <v>38415067</v>
      </c>
      <c r="J41" s="1">
        <v>19535132</v>
      </c>
      <c r="K41" s="1">
        <v>34157811</v>
      </c>
      <c r="L41" s="1">
        <v>70155841</v>
      </c>
      <c r="M41" s="1">
        <v>21919915</v>
      </c>
      <c r="N41" s="1">
        <v>48484222</v>
      </c>
      <c r="O41" s="1">
        <v>84470606</v>
      </c>
      <c r="P41" s="1">
        <f>82636076-1083643</f>
        <v>81552433</v>
      </c>
      <c r="Q41" s="1">
        <v>27328837</v>
      </c>
      <c r="R41" s="1">
        <v>36211028</v>
      </c>
      <c r="S41" s="1">
        <f>SUM(D41:R41)</f>
        <v>680910299</v>
      </c>
      <c r="U41" t="s">
        <v>203</v>
      </c>
      <c r="V41" s="5">
        <f>V39-V40</f>
        <v>37584459</v>
      </c>
    </row>
    <row r="42" spans="1:22" x14ac:dyDescent="0.2">
      <c r="A42" s="1">
        <f t="shared" si="0"/>
        <v>42</v>
      </c>
      <c r="B42" t="s">
        <v>128</v>
      </c>
      <c r="D42" s="28">
        <f>ROUND(D41/$S41,5)</f>
        <v>2.845E-2</v>
      </c>
      <c r="E42" s="28">
        <f t="shared" ref="E42" si="83">ROUND(E41/$S41,5)</f>
        <v>0.12805</v>
      </c>
      <c r="F42" s="28">
        <f t="shared" ref="F42" si="84">ROUND(F41/$S41,5)</f>
        <v>5.5030000000000003E-2</v>
      </c>
      <c r="G42" s="28">
        <f t="shared" ref="G42" si="85">ROUND(G41/$S41,5)</f>
        <v>5.6279999999999997E-2</v>
      </c>
      <c r="H42" s="28">
        <f t="shared" ref="H42" si="86">ROUND(H41/$S41,5)</f>
        <v>5.3359999999999998E-2</v>
      </c>
      <c r="I42" s="28">
        <f t="shared" ref="I42" si="87">ROUND(I41/$S41,5)</f>
        <v>5.6419999999999998E-2</v>
      </c>
      <c r="J42" s="28">
        <f t="shared" ref="J42" si="88">ROUND(J41/$S41,5)</f>
        <v>2.869E-2</v>
      </c>
      <c r="K42" s="28">
        <f t="shared" ref="K42" si="89">ROUND(K41/$S41,5)</f>
        <v>5.0160000000000003E-2</v>
      </c>
      <c r="L42" s="28">
        <f t="shared" ref="L42" si="90">ROUND(L41/$S41,5)</f>
        <v>0.10303</v>
      </c>
      <c r="M42" s="28">
        <f t="shared" ref="M42" si="91">ROUND(M41/$S41,5)</f>
        <v>3.2190000000000003E-2</v>
      </c>
      <c r="N42" s="28">
        <f t="shared" ref="N42" si="92">ROUND(N41/$S41,5)</f>
        <v>7.1209999999999996E-2</v>
      </c>
      <c r="O42" s="28">
        <f t="shared" ref="O42" si="93">ROUND(O41/$S41,5)</f>
        <v>0.12406</v>
      </c>
      <c r="P42" s="28">
        <f t="shared" ref="P42" si="94">ROUND(P41/$S41,5)</f>
        <v>0.11977</v>
      </c>
      <c r="Q42" s="28">
        <f t="shared" ref="Q42" si="95">ROUND(Q41/$S41,5)</f>
        <v>4.0140000000000002E-2</v>
      </c>
      <c r="R42" s="28">
        <f t="shared" ref="R42" si="96">ROUND(R41/$S41,5)</f>
        <v>5.3179999999999998E-2</v>
      </c>
      <c r="S42" s="28">
        <f>SUM(D42:R42)</f>
        <v>1.0000199999999999</v>
      </c>
    </row>
    <row r="43" spans="1:22" x14ac:dyDescent="0.2">
      <c r="A43" s="1">
        <f t="shared" si="0"/>
        <v>43</v>
      </c>
      <c r="U43" t="s">
        <v>204</v>
      </c>
      <c r="V43" s="5">
        <v>72291087</v>
      </c>
    </row>
    <row r="44" spans="1:22" x14ac:dyDescent="0.2">
      <c r="A44" s="1">
        <f t="shared" si="0"/>
        <v>44</v>
      </c>
      <c r="B44" t="s">
        <v>129</v>
      </c>
      <c r="C44" s="5">
        <f>'Calculation on 58MW'!M26</f>
        <v>349160</v>
      </c>
      <c r="D44" s="5">
        <f>ROUND($C44*D40,0)</f>
        <v>10908</v>
      </c>
      <c r="E44" s="5">
        <f t="shared" ref="E44" si="97">ROUND($C44*E40,0)</f>
        <v>46574</v>
      </c>
      <c r="F44" s="5">
        <f>ROUND($C44*F40,0)</f>
        <v>19588</v>
      </c>
      <c r="G44" s="5">
        <f t="shared" ref="G44:R44" si="98">ROUND($C44*G40,0)</f>
        <v>21079</v>
      </c>
      <c r="H44" s="5">
        <f t="shared" si="98"/>
        <v>17657</v>
      </c>
      <c r="I44" s="5">
        <f t="shared" si="98"/>
        <v>19117</v>
      </c>
      <c r="J44" s="5">
        <f t="shared" si="98"/>
        <v>9665</v>
      </c>
      <c r="K44" s="5">
        <f t="shared" si="98"/>
        <v>18886</v>
      </c>
      <c r="L44" s="5">
        <f t="shared" si="98"/>
        <v>39459</v>
      </c>
      <c r="M44" s="5">
        <f t="shared" si="98"/>
        <v>10929</v>
      </c>
      <c r="N44" s="5">
        <f t="shared" si="98"/>
        <v>26431</v>
      </c>
      <c r="O44" s="5">
        <f t="shared" si="98"/>
        <v>36854</v>
      </c>
      <c r="P44" s="5">
        <f t="shared" si="98"/>
        <v>39455</v>
      </c>
      <c r="Q44" s="5">
        <f t="shared" si="98"/>
        <v>13069</v>
      </c>
      <c r="R44" s="5">
        <f t="shared" si="98"/>
        <v>19487</v>
      </c>
      <c r="S44" s="5">
        <f>SUM(D44:R44)</f>
        <v>349158</v>
      </c>
    </row>
    <row r="45" spans="1:22" x14ac:dyDescent="0.2">
      <c r="A45" s="1">
        <f t="shared" si="0"/>
        <v>45</v>
      </c>
      <c r="B45" t="s">
        <v>130</v>
      </c>
      <c r="C45" s="5">
        <f>ROUND(('Calculation on 58MW'!N26+'Calculation on 58MW'!O26)*V45,0)</f>
        <v>1081123</v>
      </c>
      <c r="D45" s="5">
        <f>ROUND($C45*D42,0)</f>
        <v>30758</v>
      </c>
      <c r="E45" s="5">
        <f t="shared" ref="E45" si="99">ROUND($C45*E42,0)</f>
        <v>138438</v>
      </c>
      <c r="F45" s="5">
        <f>ROUND($C45*F42,0)</f>
        <v>59494</v>
      </c>
      <c r="G45" s="5">
        <f t="shared" ref="G45:R45" si="100">ROUND($C45*G42,0)</f>
        <v>60846</v>
      </c>
      <c r="H45" s="5">
        <f t="shared" si="100"/>
        <v>57689</v>
      </c>
      <c r="I45" s="5">
        <f t="shared" si="100"/>
        <v>60997</v>
      </c>
      <c r="J45" s="5">
        <f t="shared" si="100"/>
        <v>31017</v>
      </c>
      <c r="K45" s="5">
        <f t="shared" si="100"/>
        <v>54229</v>
      </c>
      <c r="L45" s="5">
        <f t="shared" si="100"/>
        <v>111388</v>
      </c>
      <c r="M45" s="5">
        <f t="shared" si="100"/>
        <v>34801</v>
      </c>
      <c r="N45" s="5">
        <f t="shared" si="100"/>
        <v>76987</v>
      </c>
      <c r="O45" s="5">
        <f t="shared" si="100"/>
        <v>134124</v>
      </c>
      <c r="P45" s="5">
        <f t="shared" si="100"/>
        <v>129486</v>
      </c>
      <c r="Q45" s="5">
        <f t="shared" si="100"/>
        <v>43396</v>
      </c>
      <c r="R45" s="5">
        <f t="shared" si="100"/>
        <v>57494</v>
      </c>
      <c r="S45" s="5">
        <f>SUM(D45:R45)</f>
        <v>1081144</v>
      </c>
      <c r="U45" t="s">
        <v>205</v>
      </c>
      <c r="V45" s="28">
        <f>ROUND(V41/V43,5)</f>
        <v>0.51990000000000003</v>
      </c>
    </row>
    <row r="46" spans="1:22" x14ac:dyDescent="0.2">
      <c r="A46" s="1">
        <f t="shared" si="0"/>
        <v>46</v>
      </c>
    </row>
    <row r="47" spans="1:22" x14ac:dyDescent="0.2">
      <c r="A47" s="1">
        <f t="shared" si="0"/>
        <v>47</v>
      </c>
      <c r="B47" t="s">
        <v>15</v>
      </c>
    </row>
    <row r="48" spans="1:22" x14ac:dyDescent="0.2">
      <c r="A48" s="1">
        <f t="shared" si="0"/>
        <v>48</v>
      </c>
      <c r="B48" t="s">
        <v>125</v>
      </c>
      <c r="D48" s="1">
        <v>29321</v>
      </c>
      <c r="E48" s="1">
        <v>145127</v>
      </c>
      <c r="F48" s="1">
        <v>62245</v>
      </c>
      <c r="G48" s="1">
        <v>61267</v>
      </c>
      <c r="H48" s="1">
        <v>57231</v>
      </c>
      <c r="I48" s="1">
        <v>64242</v>
      </c>
      <c r="J48" s="1">
        <v>31097</v>
      </c>
      <c r="K48" s="1">
        <v>57054</v>
      </c>
      <c r="L48" s="1">
        <v>116180</v>
      </c>
      <c r="M48" s="1">
        <v>35417</v>
      </c>
      <c r="N48" s="1">
        <v>75711</v>
      </c>
      <c r="O48" s="1">
        <v>146256</v>
      </c>
      <c r="P48" s="1">
        <f>129756-286</f>
        <v>129470</v>
      </c>
      <c r="Q48" s="1">
        <v>44561</v>
      </c>
      <c r="R48" s="1">
        <v>58272</v>
      </c>
      <c r="S48" s="1">
        <f>SUM(D48:R48)</f>
        <v>1113451</v>
      </c>
      <c r="U48" t="s">
        <v>202</v>
      </c>
      <c r="V48" s="5">
        <f>38607526+9875686</f>
        <v>48483212</v>
      </c>
    </row>
    <row r="49" spans="1:22" x14ac:dyDescent="0.2">
      <c r="A49" s="1">
        <f t="shared" si="0"/>
        <v>49</v>
      </c>
      <c r="B49" t="s">
        <v>126</v>
      </c>
      <c r="D49" s="28">
        <f>ROUND(D48/$S48,5)</f>
        <v>2.6329999999999999E-2</v>
      </c>
      <c r="E49" s="28">
        <f t="shared" ref="E49" si="101">ROUND(E48/$S48,5)</f>
        <v>0.13034000000000001</v>
      </c>
      <c r="F49" s="28">
        <f t="shared" ref="F49" si="102">ROUND(F48/$S48,5)</f>
        <v>5.5899999999999998E-2</v>
      </c>
      <c r="G49" s="28">
        <f t="shared" ref="G49" si="103">ROUND(G48/$S48,5)</f>
        <v>5.5019999999999999E-2</v>
      </c>
      <c r="H49" s="28">
        <f t="shared" ref="H49" si="104">ROUND(H48/$S48,5)</f>
        <v>5.1400000000000001E-2</v>
      </c>
      <c r="I49" s="28">
        <f t="shared" ref="I49" si="105">ROUND(I48/$S48,5)</f>
        <v>5.7700000000000001E-2</v>
      </c>
      <c r="J49" s="28">
        <f t="shared" ref="J49" si="106">ROUND(J48/$S48,5)</f>
        <v>2.793E-2</v>
      </c>
      <c r="K49" s="28">
        <f t="shared" ref="K49" si="107">ROUND(K48/$S48,5)</f>
        <v>5.1240000000000001E-2</v>
      </c>
      <c r="L49" s="28">
        <f t="shared" ref="L49" si="108">ROUND(L48/$S48,5)</f>
        <v>0.10434</v>
      </c>
      <c r="M49" s="28">
        <f t="shared" ref="M49" si="109">ROUND(M48/$S48,5)</f>
        <v>3.1809999999999998E-2</v>
      </c>
      <c r="N49" s="28">
        <f t="shared" ref="N49" si="110">ROUND(N48/$S48,5)</f>
        <v>6.8000000000000005E-2</v>
      </c>
      <c r="O49" s="28">
        <f t="shared" ref="O49" si="111">ROUND(O48/$S48,5)</f>
        <v>0.13134999999999999</v>
      </c>
      <c r="P49" s="28">
        <f t="shared" ref="P49" si="112">ROUND(P48/$S48,5)</f>
        <v>0.11627999999999999</v>
      </c>
      <c r="Q49" s="28">
        <f t="shared" ref="Q49" si="113">ROUND(Q48/$S48,5)</f>
        <v>4.002E-2</v>
      </c>
      <c r="R49" s="28">
        <f t="shared" ref="R49" si="114">ROUND(R48/$S48,5)</f>
        <v>5.2330000000000002E-2</v>
      </c>
      <c r="S49" s="28">
        <f>SUM(D49:R49)</f>
        <v>0.99998999999999993</v>
      </c>
      <c r="U49" t="s">
        <v>201</v>
      </c>
      <c r="V49" s="29">
        <v>8861396</v>
      </c>
    </row>
    <row r="50" spans="1:22" x14ac:dyDescent="0.2">
      <c r="A50" s="1">
        <f t="shared" si="0"/>
        <v>50</v>
      </c>
      <c r="B50" t="s">
        <v>127</v>
      </c>
      <c r="D50" s="1">
        <v>14010306</v>
      </c>
      <c r="E50" s="1">
        <v>66288445</v>
      </c>
      <c r="F50" s="1">
        <v>28088518</v>
      </c>
      <c r="G50" s="1">
        <v>29071596</v>
      </c>
      <c r="H50" s="1">
        <v>29328674</v>
      </c>
      <c r="I50" s="1">
        <v>28700202</v>
      </c>
      <c r="J50" s="1">
        <v>14533469</v>
      </c>
      <c r="K50" s="1">
        <v>24834832</v>
      </c>
      <c r="L50" s="1">
        <v>51982166</v>
      </c>
      <c r="M50" s="1">
        <v>16628818</v>
      </c>
      <c r="N50" s="1">
        <v>38375140</v>
      </c>
      <c r="O50" s="1">
        <v>68632437</v>
      </c>
      <c r="P50" s="1">
        <f>69778212-450594</f>
        <v>69327618</v>
      </c>
      <c r="Q50" s="1">
        <v>21240955</v>
      </c>
      <c r="R50" s="1">
        <v>28711167</v>
      </c>
      <c r="S50" s="1">
        <f>SUM(D50:R50)</f>
        <v>529754343</v>
      </c>
      <c r="U50" t="s">
        <v>203</v>
      </c>
      <c r="V50" s="5">
        <f>V48-V49</f>
        <v>39621816</v>
      </c>
    </row>
    <row r="51" spans="1:22" x14ac:dyDescent="0.2">
      <c r="A51" s="1">
        <f t="shared" si="0"/>
        <v>51</v>
      </c>
      <c r="B51" t="s">
        <v>128</v>
      </c>
      <c r="D51" s="28">
        <f>ROUND(D50/$S50,5)</f>
        <v>2.6450000000000001E-2</v>
      </c>
      <c r="E51" s="28">
        <f t="shared" ref="E51" si="115">ROUND(E50/$S50,5)</f>
        <v>0.12512999999999999</v>
      </c>
      <c r="F51" s="28">
        <f t="shared" ref="F51" si="116">ROUND(F50/$S50,5)</f>
        <v>5.3019999999999998E-2</v>
      </c>
      <c r="G51" s="28">
        <f t="shared" ref="G51" si="117">ROUND(G50/$S50,5)</f>
        <v>5.4879999999999998E-2</v>
      </c>
      <c r="H51" s="28">
        <f t="shared" ref="H51" si="118">ROUND(H50/$S50,5)</f>
        <v>5.5359999999999999E-2</v>
      </c>
      <c r="I51" s="28">
        <f t="shared" ref="I51" si="119">ROUND(I50/$S50,5)</f>
        <v>5.4179999999999999E-2</v>
      </c>
      <c r="J51" s="28">
        <f t="shared" ref="J51" si="120">ROUND(J50/$S50,5)</f>
        <v>2.743E-2</v>
      </c>
      <c r="K51" s="28">
        <f t="shared" ref="K51" si="121">ROUND(K50/$S50,5)</f>
        <v>4.6879999999999998E-2</v>
      </c>
      <c r="L51" s="28">
        <f t="shared" ref="L51" si="122">ROUND(L50/$S50,5)</f>
        <v>9.8129999999999995E-2</v>
      </c>
      <c r="M51" s="28">
        <f t="shared" ref="M51" si="123">ROUND(M50/$S50,5)</f>
        <v>3.1390000000000001E-2</v>
      </c>
      <c r="N51" s="28">
        <f t="shared" ref="N51" si="124">ROUND(N50/$S50,5)</f>
        <v>7.2440000000000004E-2</v>
      </c>
      <c r="O51" s="28">
        <f t="shared" ref="O51" si="125">ROUND(O50/$S50,5)</f>
        <v>0.12956000000000001</v>
      </c>
      <c r="P51" s="28">
        <f t="shared" ref="P51" si="126">ROUND(P50/$S50,5)</f>
        <v>0.13086999999999999</v>
      </c>
      <c r="Q51" s="28">
        <f t="shared" ref="Q51" si="127">ROUND(Q50/$S50,5)</f>
        <v>4.0099999999999997E-2</v>
      </c>
      <c r="R51" s="28">
        <f t="shared" ref="R51" si="128">ROUND(R50/$S50,5)</f>
        <v>5.4199999999999998E-2</v>
      </c>
      <c r="S51" s="28">
        <f>SUM(D51:R51)</f>
        <v>1.0000200000000001</v>
      </c>
    </row>
    <row r="52" spans="1:22" x14ac:dyDescent="0.2">
      <c r="A52" s="1">
        <f t="shared" si="0"/>
        <v>52</v>
      </c>
      <c r="U52" t="s">
        <v>204</v>
      </c>
      <c r="V52" s="5">
        <v>67492635</v>
      </c>
    </row>
    <row r="53" spans="1:22" x14ac:dyDescent="0.2">
      <c r="A53" s="1">
        <f t="shared" si="0"/>
        <v>53</v>
      </c>
      <c r="B53" t="s">
        <v>129</v>
      </c>
      <c r="C53" s="5">
        <f>'Calculation on 58MW'!M28</f>
        <v>349160</v>
      </c>
      <c r="D53" s="5">
        <f>ROUND($C53*D49,0)</f>
        <v>9193</v>
      </c>
      <c r="E53" s="5">
        <f t="shared" ref="E53" si="129">ROUND($C53*E49,0)</f>
        <v>45510</v>
      </c>
      <c r="F53" s="5">
        <f>ROUND($C53*F49,0)</f>
        <v>19518</v>
      </c>
      <c r="G53" s="5">
        <f t="shared" ref="G53:R53" si="130">ROUND($C53*G49,0)</f>
        <v>19211</v>
      </c>
      <c r="H53" s="5">
        <f t="shared" si="130"/>
        <v>17947</v>
      </c>
      <c r="I53" s="5">
        <f t="shared" si="130"/>
        <v>20147</v>
      </c>
      <c r="J53" s="5">
        <f t="shared" si="130"/>
        <v>9752</v>
      </c>
      <c r="K53" s="5">
        <f t="shared" si="130"/>
        <v>17891</v>
      </c>
      <c r="L53" s="5">
        <f t="shared" si="130"/>
        <v>36431</v>
      </c>
      <c r="M53" s="5">
        <f t="shared" si="130"/>
        <v>11107</v>
      </c>
      <c r="N53" s="5">
        <f t="shared" si="130"/>
        <v>23743</v>
      </c>
      <c r="O53" s="5">
        <f t="shared" si="130"/>
        <v>45862</v>
      </c>
      <c r="P53" s="5">
        <f t="shared" si="130"/>
        <v>40600</v>
      </c>
      <c r="Q53" s="5">
        <f t="shared" si="130"/>
        <v>13973</v>
      </c>
      <c r="R53" s="5">
        <f t="shared" si="130"/>
        <v>18272</v>
      </c>
      <c r="S53" s="5">
        <f>SUM(D53:R53)</f>
        <v>349157</v>
      </c>
    </row>
    <row r="54" spans="1:22" x14ac:dyDescent="0.2">
      <c r="A54" s="1">
        <f t="shared" si="0"/>
        <v>54</v>
      </c>
      <c r="B54" t="s">
        <v>130</v>
      </c>
      <c r="C54" s="5">
        <f>ROUND(('Calculation on 58MW'!N28+'Calculation on 58MW'!O28)*V54,0)</f>
        <v>1181381</v>
      </c>
      <c r="D54" s="5">
        <f>ROUND($C54*D51,0)</f>
        <v>31248</v>
      </c>
      <c r="E54" s="5">
        <f t="shared" ref="E54" si="131">ROUND($C54*E51,0)</f>
        <v>147826</v>
      </c>
      <c r="F54" s="5">
        <f>ROUND($C54*F51,0)</f>
        <v>62637</v>
      </c>
      <c r="G54" s="5">
        <f t="shared" ref="G54:R54" si="132">ROUND($C54*G51,0)</f>
        <v>64834</v>
      </c>
      <c r="H54" s="5">
        <f t="shared" si="132"/>
        <v>65401</v>
      </c>
      <c r="I54" s="5">
        <f t="shared" si="132"/>
        <v>64007</v>
      </c>
      <c r="J54" s="5">
        <f t="shared" si="132"/>
        <v>32405</v>
      </c>
      <c r="K54" s="5">
        <f t="shared" si="132"/>
        <v>55383</v>
      </c>
      <c r="L54" s="5">
        <f t="shared" si="132"/>
        <v>115929</v>
      </c>
      <c r="M54" s="5">
        <f t="shared" si="132"/>
        <v>37084</v>
      </c>
      <c r="N54" s="5">
        <f t="shared" si="132"/>
        <v>85579</v>
      </c>
      <c r="O54" s="5">
        <f t="shared" si="132"/>
        <v>153060</v>
      </c>
      <c r="P54" s="5">
        <f t="shared" si="132"/>
        <v>154607</v>
      </c>
      <c r="Q54" s="5">
        <f t="shared" si="132"/>
        <v>47373</v>
      </c>
      <c r="R54" s="5">
        <f t="shared" si="132"/>
        <v>64031</v>
      </c>
      <c r="S54" s="5">
        <f>SUM(D54:R54)</f>
        <v>1181404</v>
      </c>
      <c r="U54" t="s">
        <v>205</v>
      </c>
      <c r="V54" s="28">
        <f>ROUND(V50/V52,5)</f>
        <v>0.58704999999999996</v>
      </c>
    </row>
    <row r="55" spans="1:22" x14ac:dyDescent="0.2">
      <c r="A55" s="1">
        <f t="shared" si="0"/>
        <v>55</v>
      </c>
    </row>
    <row r="56" spans="1:22" x14ac:dyDescent="0.2">
      <c r="A56" s="1">
        <f t="shared" si="0"/>
        <v>56</v>
      </c>
      <c r="B56" t="s">
        <v>16</v>
      </c>
    </row>
    <row r="57" spans="1:22" x14ac:dyDescent="0.2">
      <c r="A57" s="1">
        <f t="shared" si="0"/>
        <v>57</v>
      </c>
      <c r="B57" t="s">
        <v>125</v>
      </c>
      <c r="D57" s="1">
        <v>33944</v>
      </c>
      <c r="E57" s="1">
        <v>165520</v>
      </c>
      <c r="F57" s="1">
        <v>65710</v>
      </c>
      <c r="G57" s="1">
        <v>66702</v>
      </c>
      <c r="H57" s="1">
        <v>67613</v>
      </c>
      <c r="I57" s="1">
        <v>62832</v>
      </c>
      <c r="J57" s="1">
        <v>34644</v>
      </c>
      <c r="K57" s="1">
        <v>60086</v>
      </c>
      <c r="L57" s="1">
        <v>121587</v>
      </c>
      <c r="M57" s="1">
        <v>37853</v>
      </c>
      <c r="N57" s="1">
        <v>95276</v>
      </c>
      <c r="O57" s="1">
        <v>170683</v>
      </c>
      <c r="P57" s="1">
        <f>178397-1436</f>
        <v>176961</v>
      </c>
      <c r="Q57" s="1">
        <v>51701</v>
      </c>
      <c r="R57" s="1">
        <v>65581</v>
      </c>
      <c r="S57" s="1">
        <f>SUM(D57:R57)</f>
        <v>1276693</v>
      </c>
      <c r="U57" t="s">
        <v>202</v>
      </c>
      <c r="V57" s="5">
        <f>39596176+11664218</f>
        <v>51260394</v>
      </c>
    </row>
    <row r="58" spans="1:22" x14ac:dyDescent="0.2">
      <c r="A58" s="1">
        <f t="shared" si="0"/>
        <v>58</v>
      </c>
      <c r="B58" t="s">
        <v>126</v>
      </c>
      <c r="D58" s="28">
        <f>ROUND(D57/$S57,5)</f>
        <v>2.6589999999999999E-2</v>
      </c>
      <c r="E58" s="28">
        <f t="shared" ref="E58" si="133">ROUND(E57/$S57,5)</f>
        <v>0.12964999999999999</v>
      </c>
      <c r="F58" s="28">
        <f t="shared" ref="F58" si="134">ROUND(F57/$S57,5)</f>
        <v>5.1470000000000002E-2</v>
      </c>
      <c r="G58" s="28">
        <f t="shared" ref="G58" si="135">ROUND(G57/$S57,5)</f>
        <v>5.2249999999999998E-2</v>
      </c>
      <c r="H58" s="28">
        <f t="shared" ref="H58" si="136">ROUND(H57/$S57,5)</f>
        <v>5.296E-2</v>
      </c>
      <c r="I58" s="28">
        <f t="shared" ref="I58" si="137">ROUND(I57/$S57,5)</f>
        <v>4.9209999999999997E-2</v>
      </c>
      <c r="J58" s="28">
        <f t="shared" ref="J58" si="138">ROUND(J57/$S57,5)</f>
        <v>2.7140000000000001E-2</v>
      </c>
      <c r="K58" s="28">
        <f t="shared" ref="K58" si="139">ROUND(K57/$S57,5)</f>
        <v>4.7059999999999998E-2</v>
      </c>
      <c r="L58" s="28">
        <f t="shared" ref="L58" si="140">ROUND(L57/$S57,5)</f>
        <v>9.5240000000000005E-2</v>
      </c>
      <c r="M58" s="28">
        <f t="shared" ref="M58" si="141">ROUND(M57/$S57,5)</f>
        <v>2.9649999999999999E-2</v>
      </c>
      <c r="N58" s="28">
        <f t="shared" ref="N58" si="142">ROUND(N57/$S57,5)</f>
        <v>7.4630000000000002E-2</v>
      </c>
      <c r="O58" s="28">
        <f t="shared" ref="O58" si="143">ROUND(O57/$S57,5)</f>
        <v>0.13369</v>
      </c>
      <c r="P58" s="28">
        <f t="shared" ref="P58" si="144">ROUND(P57/$S57,5)</f>
        <v>0.13861000000000001</v>
      </c>
      <c r="Q58" s="28">
        <f t="shared" ref="Q58" si="145">ROUND(Q57/$S57,5)</f>
        <v>4.0500000000000001E-2</v>
      </c>
      <c r="R58" s="28">
        <f t="shared" ref="R58" si="146">ROUND(R57/$S57,5)</f>
        <v>5.1369999999999999E-2</v>
      </c>
      <c r="S58" s="28">
        <f>SUM(D58:R58)</f>
        <v>1.0000199999999999</v>
      </c>
      <c r="U58" t="s">
        <v>201</v>
      </c>
      <c r="V58" s="29">
        <v>15019167</v>
      </c>
    </row>
    <row r="59" spans="1:22" x14ac:dyDescent="0.2">
      <c r="A59" s="1">
        <f t="shared" si="0"/>
        <v>59</v>
      </c>
      <c r="B59" t="s">
        <v>127</v>
      </c>
      <c r="D59" s="1">
        <v>14449034</v>
      </c>
      <c r="E59" s="1">
        <v>72264570</v>
      </c>
      <c r="F59" s="1">
        <v>29656150</v>
      </c>
      <c r="G59" s="1">
        <v>30912627</v>
      </c>
      <c r="H59" s="1">
        <v>32383506</v>
      </c>
      <c r="I59" s="1">
        <v>30217202</v>
      </c>
      <c r="J59" s="1">
        <v>15057789</v>
      </c>
      <c r="K59" s="1">
        <v>26705714</v>
      </c>
      <c r="L59" s="1">
        <v>54549228</v>
      </c>
      <c r="M59" s="1">
        <v>17102654</v>
      </c>
      <c r="N59" s="1">
        <v>42785322</v>
      </c>
      <c r="O59" s="1">
        <v>74993928</v>
      </c>
      <c r="P59" s="1">
        <f>78904250-710314</f>
        <v>78193936</v>
      </c>
      <c r="Q59" s="1">
        <v>23209880</v>
      </c>
      <c r="R59" s="1">
        <v>31302764</v>
      </c>
      <c r="S59" s="1">
        <f>SUM(D59:R59)</f>
        <v>573784304</v>
      </c>
      <c r="U59" t="s">
        <v>203</v>
      </c>
      <c r="V59" s="5">
        <f>V57-V58</f>
        <v>36241227</v>
      </c>
    </row>
    <row r="60" spans="1:22" x14ac:dyDescent="0.2">
      <c r="A60" s="1">
        <f t="shared" si="0"/>
        <v>60</v>
      </c>
      <c r="B60" t="s">
        <v>128</v>
      </c>
      <c r="D60" s="28">
        <f>ROUND(D59/$S59,5)</f>
        <v>2.5180000000000001E-2</v>
      </c>
      <c r="E60" s="28">
        <f t="shared" ref="E60" si="147">ROUND(E59/$S59,5)</f>
        <v>0.12594</v>
      </c>
      <c r="F60" s="28">
        <f t="shared" ref="F60" si="148">ROUND(F59/$S59,5)</f>
        <v>5.169E-2</v>
      </c>
      <c r="G60" s="28">
        <f t="shared" ref="G60" si="149">ROUND(G59/$S59,5)</f>
        <v>5.3870000000000001E-2</v>
      </c>
      <c r="H60" s="28">
        <f t="shared" ref="H60" si="150">ROUND(H59/$S59,5)</f>
        <v>5.6439999999999997E-2</v>
      </c>
      <c r="I60" s="28">
        <f t="shared" ref="I60" si="151">ROUND(I59/$S59,5)</f>
        <v>5.2659999999999998E-2</v>
      </c>
      <c r="J60" s="28">
        <f t="shared" ref="J60" si="152">ROUND(J59/$S59,5)</f>
        <v>2.6239999999999999E-2</v>
      </c>
      <c r="K60" s="28">
        <f t="shared" ref="K60" si="153">ROUND(K59/$S59,5)</f>
        <v>4.6539999999999998E-2</v>
      </c>
      <c r="L60" s="28">
        <f t="shared" ref="L60" si="154">ROUND(L59/$S59,5)</f>
        <v>9.5070000000000002E-2</v>
      </c>
      <c r="M60" s="28">
        <f t="shared" ref="M60" si="155">ROUND(M59/$S59,5)</f>
        <v>2.981E-2</v>
      </c>
      <c r="N60" s="28">
        <f t="shared" ref="N60" si="156">ROUND(N59/$S59,5)</f>
        <v>7.4569999999999997E-2</v>
      </c>
      <c r="O60" s="28">
        <f t="shared" ref="O60" si="157">ROUND(O59/$S59,5)</f>
        <v>0.13070000000000001</v>
      </c>
      <c r="P60" s="28">
        <f t="shared" ref="P60" si="158">ROUND(P59/$S59,5)</f>
        <v>0.13628000000000001</v>
      </c>
      <c r="Q60" s="28">
        <f t="shared" ref="Q60" si="159">ROUND(Q59/$S59,5)</f>
        <v>4.045E-2</v>
      </c>
      <c r="R60" s="28">
        <f t="shared" ref="R60" si="160">ROUND(R59/$S59,5)</f>
        <v>5.4550000000000001E-2</v>
      </c>
      <c r="S60" s="28">
        <f>SUM(D60:R60)</f>
        <v>0.99998999999999993</v>
      </c>
    </row>
    <row r="61" spans="1:22" x14ac:dyDescent="0.2">
      <c r="A61" s="1">
        <f t="shared" si="0"/>
        <v>61</v>
      </c>
      <c r="U61" t="s">
        <v>204</v>
      </c>
      <c r="V61" s="5">
        <v>70814335</v>
      </c>
    </row>
    <row r="62" spans="1:22" x14ac:dyDescent="0.2">
      <c r="A62" s="1">
        <f t="shared" si="0"/>
        <v>62</v>
      </c>
      <c r="B62" t="s">
        <v>129</v>
      </c>
      <c r="C62" s="5">
        <f>'Calculation on 58MW'!M30</f>
        <v>349160</v>
      </c>
      <c r="D62" s="5">
        <f>ROUND($C62*D58,0)</f>
        <v>9284</v>
      </c>
      <c r="E62" s="5">
        <f t="shared" ref="E62" si="161">ROUND($C62*E58,0)</f>
        <v>45269</v>
      </c>
      <c r="F62" s="5">
        <f>ROUND($C62*F58,0)</f>
        <v>17971</v>
      </c>
      <c r="G62" s="5">
        <f t="shared" ref="G62:R62" si="162">ROUND($C62*G58,0)</f>
        <v>18244</v>
      </c>
      <c r="H62" s="5">
        <f t="shared" si="162"/>
        <v>18492</v>
      </c>
      <c r="I62" s="5">
        <f t="shared" si="162"/>
        <v>17182</v>
      </c>
      <c r="J62" s="5">
        <f t="shared" si="162"/>
        <v>9476</v>
      </c>
      <c r="K62" s="5">
        <f t="shared" si="162"/>
        <v>16431</v>
      </c>
      <c r="L62" s="5">
        <f t="shared" si="162"/>
        <v>33254</v>
      </c>
      <c r="M62" s="5">
        <f t="shared" si="162"/>
        <v>10353</v>
      </c>
      <c r="N62" s="5">
        <f t="shared" si="162"/>
        <v>26058</v>
      </c>
      <c r="O62" s="5">
        <f t="shared" si="162"/>
        <v>46679</v>
      </c>
      <c r="P62" s="5">
        <f t="shared" si="162"/>
        <v>48397</v>
      </c>
      <c r="Q62" s="5">
        <f t="shared" si="162"/>
        <v>14141</v>
      </c>
      <c r="R62" s="5">
        <f t="shared" si="162"/>
        <v>17936</v>
      </c>
      <c r="S62" s="5">
        <f>SUM(D62:R62)</f>
        <v>349167</v>
      </c>
    </row>
    <row r="63" spans="1:22" x14ac:dyDescent="0.2">
      <c r="A63" s="1">
        <f t="shared" si="0"/>
        <v>63</v>
      </c>
      <c r="B63" t="s">
        <v>130</v>
      </c>
      <c r="C63" s="5">
        <f>ROUND(('Calculation on 58MW'!N30+'Calculation on 58MW'!O30)*V63,0)</f>
        <v>1080288</v>
      </c>
      <c r="D63" s="5">
        <f>ROUND($C63*D60,0)</f>
        <v>27202</v>
      </c>
      <c r="E63" s="5">
        <f t="shared" ref="E63" si="163">ROUND($C63*E60,0)</f>
        <v>136051</v>
      </c>
      <c r="F63" s="5">
        <f>ROUND($C63*F60,0)</f>
        <v>55840</v>
      </c>
      <c r="G63" s="5">
        <f t="shared" ref="G63:R63" si="164">ROUND($C63*G60,0)</f>
        <v>58195</v>
      </c>
      <c r="H63" s="5">
        <f t="shared" si="164"/>
        <v>60971</v>
      </c>
      <c r="I63" s="5">
        <f t="shared" si="164"/>
        <v>56888</v>
      </c>
      <c r="J63" s="5">
        <f t="shared" si="164"/>
        <v>28347</v>
      </c>
      <c r="K63" s="5">
        <f t="shared" si="164"/>
        <v>50277</v>
      </c>
      <c r="L63" s="5">
        <f t="shared" si="164"/>
        <v>102703</v>
      </c>
      <c r="M63" s="5">
        <f t="shared" si="164"/>
        <v>32203</v>
      </c>
      <c r="N63" s="5">
        <f t="shared" si="164"/>
        <v>80557</v>
      </c>
      <c r="O63" s="5">
        <f t="shared" si="164"/>
        <v>141194</v>
      </c>
      <c r="P63" s="5">
        <f t="shared" si="164"/>
        <v>147222</v>
      </c>
      <c r="Q63" s="5">
        <f t="shared" si="164"/>
        <v>43698</v>
      </c>
      <c r="R63" s="5">
        <f t="shared" si="164"/>
        <v>58930</v>
      </c>
      <c r="S63" s="5">
        <f>SUM(D63:R63)</f>
        <v>1080278</v>
      </c>
      <c r="U63" t="s">
        <v>205</v>
      </c>
      <c r="V63" s="28">
        <f>ROUND(V59/V61,5)</f>
        <v>0.51178000000000001</v>
      </c>
    </row>
    <row r="64" spans="1:22" x14ac:dyDescent="0.2">
      <c r="A64" s="1">
        <f t="shared" si="0"/>
        <v>64</v>
      </c>
    </row>
    <row r="65" spans="1:22" x14ac:dyDescent="0.2">
      <c r="A65" s="1">
        <f t="shared" si="0"/>
        <v>65</v>
      </c>
    </row>
    <row r="66" spans="1:22" x14ac:dyDescent="0.2">
      <c r="A66" s="1">
        <f t="shared" si="0"/>
        <v>66</v>
      </c>
      <c r="B66" t="s">
        <v>17</v>
      </c>
    </row>
    <row r="67" spans="1:22" x14ac:dyDescent="0.2">
      <c r="A67" s="1">
        <f t="shared" ref="A67:A125" si="165">A66+1</f>
        <v>67</v>
      </c>
      <c r="B67" t="s">
        <v>125</v>
      </c>
      <c r="D67" s="1">
        <v>35678</v>
      </c>
      <c r="E67" s="1">
        <v>189950</v>
      </c>
      <c r="F67" s="1">
        <v>75198</v>
      </c>
      <c r="G67" s="1">
        <v>63400</v>
      </c>
      <c r="H67" s="1">
        <v>82424</v>
      </c>
      <c r="I67" s="1">
        <v>72911</v>
      </c>
      <c r="J67" s="1">
        <v>39636</v>
      </c>
      <c r="K67" s="1">
        <v>72284</v>
      </c>
      <c r="L67" s="1">
        <v>127662</v>
      </c>
      <c r="M67" s="1">
        <v>40257</v>
      </c>
      <c r="N67" s="1">
        <v>115506</v>
      </c>
      <c r="O67" s="1">
        <v>192838</v>
      </c>
      <c r="P67" s="1">
        <f>206315-1633</f>
        <v>204682</v>
      </c>
      <c r="Q67" s="1">
        <v>58928</v>
      </c>
      <c r="R67" s="1">
        <v>79878</v>
      </c>
      <c r="S67" s="1">
        <f>SUM(D67:R67)</f>
        <v>1451232</v>
      </c>
      <c r="U67" t="s">
        <v>202</v>
      </c>
      <c r="V67" s="5">
        <f>39580471+7134788</f>
        <v>46715259</v>
      </c>
    </row>
    <row r="68" spans="1:22" x14ac:dyDescent="0.2">
      <c r="A68" s="1">
        <f t="shared" si="165"/>
        <v>68</v>
      </c>
      <c r="B68" t="s">
        <v>126</v>
      </c>
      <c r="D68" s="28">
        <f>ROUND(D67/$S67,5)</f>
        <v>2.4580000000000001E-2</v>
      </c>
      <c r="E68" s="28">
        <f t="shared" ref="E68" si="166">ROUND(E67/$S67,5)</f>
        <v>0.13089000000000001</v>
      </c>
      <c r="F68" s="28">
        <f t="shared" ref="F68" si="167">ROUND(F67/$S67,5)</f>
        <v>5.1819999999999998E-2</v>
      </c>
      <c r="G68" s="28">
        <f t="shared" ref="G68" si="168">ROUND(G67/$S67,5)</f>
        <v>4.369E-2</v>
      </c>
      <c r="H68" s="28">
        <f t="shared" ref="H68" si="169">ROUND(H67/$S67,5)</f>
        <v>5.6800000000000003E-2</v>
      </c>
      <c r="I68" s="28">
        <f t="shared" ref="I68" si="170">ROUND(I67/$S67,5)</f>
        <v>5.024E-2</v>
      </c>
      <c r="J68" s="28">
        <f t="shared" ref="J68" si="171">ROUND(J67/$S67,5)</f>
        <v>2.7310000000000001E-2</v>
      </c>
      <c r="K68" s="28">
        <f t="shared" ref="K68" si="172">ROUND(K67/$S67,5)</f>
        <v>4.981E-2</v>
      </c>
      <c r="L68" s="28">
        <f t="shared" ref="L68" si="173">ROUND(L67/$S67,5)</f>
        <v>8.7970000000000007E-2</v>
      </c>
      <c r="M68" s="28">
        <f t="shared" ref="M68" si="174">ROUND(M67/$S67,5)</f>
        <v>2.7740000000000001E-2</v>
      </c>
      <c r="N68" s="28">
        <f t="shared" ref="N68" si="175">ROUND(N67/$S67,5)</f>
        <v>7.9589999999999994E-2</v>
      </c>
      <c r="O68" s="28">
        <f t="shared" ref="O68" si="176">ROUND(O67/$S67,5)</f>
        <v>0.13288</v>
      </c>
      <c r="P68" s="28">
        <f t="shared" ref="P68" si="177">ROUND(P67/$S67,5)</f>
        <v>0.14104</v>
      </c>
      <c r="Q68" s="28">
        <f t="shared" ref="Q68" si="178">ROUND(Q67/$S67,5)</f>
        <v>4.061E-2</v>
      </c>
      <c r="R68" s="28">
        <f t="shared" ref="R68" si="179">ROUND(R67/$S67,5)</f>
        <v>5.5039999999999999E-2</v>
      </c>
      <c r="S68" s="28">
        <f>SUM(D68:R68)</f>
        <v>1.0000100000000001</v>
      </c>
      <c r="U68" t="s">
        <v>201</v>
      </c>
      <c r="V68" s="29">
        <v>16029723</v>
      </c>
    </row>
    <row r="69" spans="1:22" x14ac:dyDescent="0.2">
      <c r="A69" s="1">
        <f t="shared" si="165"/>
        <v>69</v>
      </c>
      <c r="B69" t="s">
        <v>127</v>
      </c>
      <c r="D69" s="1">
        <v>16202688</v>
      </c>
      <c r="E69" s="1">
        <v>82017533</v>
      </c>
      <c r="F69" s="1">
        <v>33364678</v>
      </c>
      <c r="G69" s="1">
        <v>33037467</v>
      </c>
      <c r="H69" s="1">
        <v>36605561</v>
      </c>
      <c r="I69" s="1">
        <v>32885707</v>
      </c>
      <c r="J69" s="1">
        <v>16914452</v>
      </c>
      <c r="K69" s="1">
        <v>30015344</v>
      </c>
      <c r="L69" s="1">
        <v>59618096</v>
      </c>
      <c r="M69" s="1">
        <v>18677888</v>
      </c>
      <c r="N69" s="1">
        <v>48782339</v>
      </c>
      <c r="O69" s="1">
        <v>87538107</v>
      </c>
      <c r="P69" s="1">
        <f>90538167-1003134</f>
        <v>89535033</v>
      </c>
      <c r="Q69" s="1">
        <v>26320276</v>
      </c>
      <c r="R69" s="1">
        <v>35235836</v>
      </c>
      <c r="S69" s="1">
        <f>SUM(D69:R69)</f>
        <v>646751005</v>
      </c>
      <c r="U69" t="s">
        <v>203</v>
      </c>
      <c r="V69" s="5">
        <f>V67-V68</f>
        <v>30685536</v>
      </c>
    </row>
    <row r="70" spans="1:22" x14ac:dyDescent="0.2">
      <c r="A70" s="1">
        <f t="shared" si="165"/>
        <v>70</v>
      </c>
      <c r="B70" t="s">
        <v>128</v>
      </c>
      <c r="D70" s="28">
        <f>ROUND(D69/$S69,5)</f>
        <v>2.5049999999999999E-2</v>
      </c>
      <c r="E70" s="28">
        <f t="shared" ref="E70" si="180">ROUND(E69/$S69,5)</f>
        <v>0.12681000000000001</v>
      </c>
      <c r="F70" s="28">
        <f t="shared" ref="F70" si="181">ROUND(F69/$S69,5)</f>
        <v>5.1589999999999997E-2</v>
      </c>
      <c r="G70" s="28">
        <f t="shared" ref="G70" si="182">ROUND(G69/$S69,5)</f>
        <v>5.108E-2</v>
      </c>
      <c r="H70" s="28">
        <f t="shared" ref="H70" si="183">ROUND(H69/$S69,5)</f>
        <v>5.6599999999999998E-2</v>
      </c>
      <c r="I70" s="28">
        <f t="shared" ref="I70" si="184">ROUND(I69/$S69,5)</f>
        <v>5.0849999999999999E-2</v>
      </c>
      <c r="J70" s="28">
        <f t="shared" ref="J70" si="185">ROUND(J69/$S69,5)</f>
        <v>2.615E-2</v>
      </c>
      <c r="K70" s="28">
        <f t="shared" ref="K70" si="186">ROUND(K69/$S69,5)</f>
        <v>4.641E-2</v>
      </c>
      <c r="L70" s="28">
        <f t="shared" ref="L70" si="187">ROUND(L69/$S69,5)</f>
        <v>9.2179999999999998E-2</v>
      </c>
      <c r="M70" s="28">
        <f t="shared" ref="M70" si="188">ROUND(M69/$S69,5)</f>
        <v>2.8879999999999999E-2</v>
      </c>
      <c r="N70" s="28">
        <f t="shared" ref="N70" si="189">ROUND(N69/$S69,5)</f>
        <v>7.5429999999999997E-2</v>
      </c>
      <c r="O70" s="28">
        <f t="shared" ref="O70" si="190">ROUND(O69/$S69,5)</f>
        <v>0.13535</v>
      </c>
      <c r="P70" s="28">
        <f t="shared" ref="P70" si="191">ROUND(P69/$S69,5)</f>
        <v>0.13844000000000001</v>
      </c>
      <c r="Q70" s="28">
        <f t="shared" ref="Q70" si="192">ROUND(Q69/$S69,5)</f>
        <v>4.07E-2</v>
      </c>
      <c r="R70" s="28">
        <f t="shared" ref="R70" si="193">ROUND(R69/$S69,5)</f>
        <v>5.4480000000000001E-2</v>
      </c>
      <c r="S70" s="28">
        <f>SUM(D70:R70)</f>
        <v>0.99999999999999989</v>
      </c>
    </row>
    <row r="71" spans="1:22" x14ac:dyDescent="0.2">
      <c r="A71" s="1">
        <f t="shared" si="165"/>
        <v>71</v>
      </c>
      <c r="U71" t="s">
        <v>204</v>
      </c>
      <c r="V71" s="5">
        <v>66375484</v>
      </c>
    </row>
    <row r="72" spans="1:22" x14ac:dyDescent="0.2">
      <c r="A72" s="1">
        <f t="shared" si="165"/>
        <v>72</v>
      </c>
      <c r="B72" t="s">
        <v>129</v>
      </c>
      <c r="C72" s="5">
        <f>'Calculation on 58MW'!M32</f>
        <v>349160</v>
      </c>
      <c r="D72" s="5">
        <f>ROUND($C72*D68,0)</f>
        <v>8582</v>
      </c>
      <c r="E72" s="5">
        <f t="shared" ref="E72" si="194">ROUND($C72*E68,0)</f>
        <v>45702</v>
      </c>
      <c r="F72" s="5">
        <f>ROUND($C72*F68,0)</f>
        <v>18093</v>
      </c>
      <c r="G72" s="5">
        <f t="shared" ref="G72:R72" si="195">ROUND($C72*G68,0)</f>
        <v>15255</v>
      </c>
      <c r="H72" s="5">
        <f t="shared" si="195"/>
        <v>19832</v>
      </c>
      <c r="I72" s="5">
        <f t="shared" si="195"/>
        <v>17542</v>
      </c>
      <c r="J72" s="5">
        <f t="shared" si="195"/>
        <v>9536</v>
      </c>
      <c r="K72" s="5">
        <f t="shared" si="195"/>
        <v>17392</v>
      </c>
      <c r="L72" s="5">
        <f t="shared" si="195"/>
        <v>30716</v>
      </c>
      <c r="M72" s="5">
        <f t="shared" si="195"/>
        <v>9686</v>
      </c>
      <c r="N72" s="5">
        <f t="shared" si="195"/>
        <v>27790</v>
      </c>
      <c r="O72" s="5">
        <f t="shared" si="195"/>
        <v>46396</v>
      </c>
      <c r="P72" s="5">
        <f t="shared" si="195"/>
        <v>49246</v>
      </c>
      <c r="Q72" s="5">
        <f t="shared" si="195"/>
        <v>14179</v>
      </c>
      <c r="R72" s="5">
        <f t="shared" si="195"/>
        <v>19218</v>
      </c>
      <c r="S72" s="5">
        <f>SUM(D72:R72)</f>
        <v>349165</v>
      </c>
    </row>
    <row r="73" spans="1:22" x14ac:dyDescent="0.2">
      <c r="A73" s="1">
        <f t="shared" si="165"/>
        <v>73</v>
      </c>
      <c r="B73" t="s">
        <v>130</v>
      </c>
      <c r="C73" s="5">
        <f>ROUND(('Calculation on 58MW'!N32+'Calculation on 58MW'!O32)*V73,0)</f>
        <v>944365</v>
      </c>
      <c r="D73" s="5">
        <f>ROUND($C73*D70,0)</f>
        <v>23656</v>
      </c>
      <c r="E73" s="5">
        <f t="shared" ref="E73" si="196">ROUND($C73*E70,0)</f>
        <v>119755</v>
      </c>
      <c r="F73" s="5">
        <f>ROUND($C73*F70,0)</f>
        <v>48720</v>
      </c>
      <c r="G73" s="5">
        <f t="shared" ref="G73:R73" si="197">ROUND($C73*G70,0)</f>
        <v>48238</v>
      </c>
      <c r="H73" s="5">
        <f t="shared" si="197"/>
        <v>53451</v>
      </c>
      <c r="I73" s="5">
        <f t="shared" si="197"/>
        <v>48021</v>
      </c>
      <c r="J73" s="5">
        <f t="shared" si="197"/>
        <v>24695</v>
      </c>
      <c r="K73" s="5">
        <f t="shared" si="197"/>
        <v>43828</v>
      </c>
      <c r="L73" s="5">
        <f t="shared" si="197"/>
        <v>87052</v>
      </c>
      <c r="M73" s="5">
        <f t="shared" si="197"/>
        <v>27273</v>
      </c>
      <c r="N73" s="5">
        <f t="shared" si="197"/>
        <v>71233</v>
      </c>
      <c r="O73" s="5">
        <f t="shared" si="197"/>
        <v>127820</v>
      </c>
      <c r="P73" s="5">
        <f t="shared" si="197"/>
        <v>130738</v>
      </c>
      <c r="Q73" s="5">
        <f t="shared" si="197"/>
        <v>38436</v>
      </c>
      <c r="R73" s="5">
        <f t="shared" si="197"/>
        <v>51449</v>
      </c>
      <c r="S73" s="5">
        <f>SUM(D73:R73)</f>
        <v>944365</v>
      </c>
      <c r="U73" t="s">
        <v>205</v>
      </c>
      <c r="V73" s="28">
        <f>ROUND(V69/V71,5)</f>
        <v>0.46229999999999999</v>
      </c>
    </row>
    <row r="74" spans="1:22" x14ac:dyDescent="0.2">
      <c r="A74" s="1">
        <f t="shared" si="165"/>
        <v>74</v>
      </c>
    </row>
    <row r="75" spans="1:22" x14ac:dyDescent="0.2">
      <c r="A75" s="1">
        <f t="shared" si="165"/>
        <v>75</v>
      </c>
      <c r="B75" t="s">
        <v>18</v>
      </c>
    </row>
    <row r="76" spans="1:22" x14ac:dyDescent="0.2">
      <c r="A76" s="1">
        <f t="shared" si="165"/>
        <v>76</v>
      </c>
      <c r="B76" t="s">
        <v>125</v>
      </c>
      <c r="D76" s="1">
        <v>42410</v>
      </c>
      <c r="E76" s="1">
        <v>216753</v>
      </c>
      <c r="F76" s="1">
        <v>85919</v>
      </c>
      <c r="G76" s="1">
        <v>82738</v>
      </c>
      <c r="H76" s="1">
        <v>93582</v>
      </c>
      <c r="I76" s="1">
        <v>78517</v>
      </c>
      <c r="J76" s="1">
        <v>41874</v>
      </c>
      <c r="K76" s="1">
        <v>82427</v>
      </c>
      <c r="L76" s="1">
        <v>158641</v>
      </c>
      <c r="M76" s="1">
        <v>49850</v>
      </c>
      <c r="N76" s="1">
        <v>128880</v>
      </c>
      <c r="O76" s="1">
        <v>210314</v>
      </c>
      <c r="P76" s="1">
        <f>226018-1805</f>
        <v>224213</v>
      </c>
      <c r="Q76" s="1">
        <v>64094</v>
      </c>
      <c r="R76" s="1">
        <v>90253</v>
      </c>
      <c r="S76" s="1">
        <f>SUM(D76:R76)</f>
        <v>1650465</v>
      </c>
      <c r="U76" t="s">
        <v>202</v>
      </c>
      <c r="V76" s="5">
        <f>49357637+5646829</f>
        <v>55004466</v>
      </c>
    </row>
    <row r="77" spans="1:22" x14ac:dyDescent="0.2">
      <c r="A77" s="1">
        <f t="shared" si="165"/>
        <v>77</v>
      </c>
      <c r="B77" t="s">
        <v>126</v>
      </c>
      <c r="D77" s="28">
        <f>ROUND(D76/$S76,5)</f>
        <v>2.5700000000000001E-2</v>
      </c>
      <c r="E77" s="28">
        <f t="shared" ref="E77" si="198">ROUND(E76/$S76,5)</f>
        <v>0.13133</v>
      </c>
      <c r="F77" s="28">
        <f t="shared" ref="F77" si="199">ROUND(F76/$S76,5)</f>
        <v>5.2060000000000002E-2</v>
      </c>
      <c r="G77" s="28">
        <f t="shared" ref="G77" si="200">ROUND(G76/$S76,5)</f>
        <v>5.0130000000000001E-2</v>
      </c>
      <c r="H77" s="28">
        <f t="shared" ref="H77" si="201">ROUND(H76/$S76,5)</f>
        <v>5.67E-2</v>
      </c>
      <c r="I77" s="28">
        <f t="shared" ref="I77" si="202">ROUND(I76/$S76,5)</f>
        <v>4.7570000000000001E-2</v>
      </c>
      <c r="J77" s="28">
        <f t="shared" ref="J77" si="203">ROUND(J76/$S76,5)</f>
        <v>2.537E-2</v>
      </c>
      <c r="K77" s="28">
        <f t="shared" ref="K77" si="204">ROUND(K76/$S76,5)</f>
        <v>4.9939999999999998E-2</v>
      </c>
      <c r="L77" s="28">
        <f t="shared" ref="L77" si="205">ROUND(L76/$S76,5)</f>
        <v>9.6119999999999997E-2</v>
      </c>
      <c r="M77" s="28">
        <f t="shared" ref="M77" si="206">ROUND(M76/$S76,5)</f>
        <v>3.0200000000000001E-2</v>
      </c>
      <c r="N77" s="28">
        <f t="shared" ref="N77" si="207">ROUND(N76/$S76,5)</f>
        <v>7.8090000000000007E-2</v>
      </c>
      <c r="O77" s="28">
        <f t="shared" ref="O77" si="208">ROUND(O76/$S76,5)</f>
        <v>0.12742999999999999</v>
      </c>
      <c r="P77" s="28">
        <f t="shared" ref="P77" si="209">ROUND(P76/$S76,5)</f>
        <v>0.13585</v>
      </c>
      <c r="Q77" s="28">
        <f t="shared" ref="Q77" si="210">ROUND(Q76/$S76,5)</f>
        <v>3.8830000000000003E-2</v>
      </c>
      <c r="R77" s="28">
        <f t="shared" ref="R77" si="211">ROUND(R76/$S76,5)</f>
        <v>5.4679999999999999E-2</v>
      </c>
      <c r="S77" s="28">
        <f>SUM(D77:R77)</f>
        <v>1</v>
      </c>
      <c r="U77" t="s">
        <v>201</v>
      </c>
      <c r="V77" s="29">
        <v>18708062</v>
      </c>
    </row>
    <row r="78" spans="1:22" x14ac:dyDescent="0.2">
      <c r="A78" s="1">
        <f t="shared" si="165"/>
        <v>78</v>
      </c>
      <c r="B78" t="s">
        <v>127</v>
      </c>
      <c r="D78" s="1">
        <v>19533790</v>
      </c>
      <c r="E78" s="1">
        <v>98056373</v>
      </c>
      <c r="F78" s="1">
        <v>39806839</v>
      </c>
      <c r="G78" s="1">
        <v>39285786</v>
      </c>
      <c r="H78" s="1">
        <v>43989331</v>
      </c>
      <c r="I78" s="1">
        <v>38573880</v>
      </c>
      <c r="J78" s="1">
        <v>20390814</v>
      </c>
      <c r="K78" s="1">
        <v>36836353</v>
      </c>
      <c r="L78" s="1">
        <v>72113298</v>
      </c>
      <c r="M78" s="1">
        <v>22625191</v>
      </c>
      <c r="N78" s="1">
        <v>58626706</v>
      </c>
      <c r="O78" s="1">
        <v>103093421</v>
      </c>
      <c r="P78" s="1">
        <f>107108070-627094</f>
        <v>106480976</v>
      </c>
      <c r="Q78" s="1">
        <v>30755911</v>
      </c>
      <c r="R78" s="1">
        <v>43137496</v>
      </c>
      <c r="S78" s="1">
        <f>SUM(D78:R78)</f>
        <v>773306165</v>
      </c>
      <c r="U78" t="s">
        <v>203</v>
      </c>
      <c r="V78" s="5">
        <f>V76-V77</f>
        <v>36296404</v>
      </c>
    </row>
    <row r="79" spans="1:22" x14ac:dyDescent="0.2">
      <c r="A79" s="1">
        <f t="shared" si="165"/>
        <v>79</v>
      </c>
      <c r="B79" t="s">
        <v>128</v>
      </c>
      <c r="D79" s="28">
        <f>ROUND(D78/$S78,5)</f>
        <v>2.5260000000000001E-2</v>
      </c>
      <c r="E79" s="28">
        <f t="shared" ref="E79" si="212">ROUND(E78/$S78,5)</f>
        <v>0.1268</v>
      </c>
      <c r="F79" s="28">
        <f t="shared" ref="F79" si="213">ROUND(F78/$S78,5)</f>
        <v>5.1479999999999998E-2</v>
      </c>
      <c r="G79" s="28">
        <f t="shared" ref="G79" si="214">ROUND(G78/$S78,5)</f>
        <v>5.0799999999999998E-2</v>
      </c>
      <c r="H79" s="28">
        <f t="shared" ref="H79" si="215">ROUND(H78/$S78,5)</f>
        <v>5.688E-2</v>
      </c>
      <c r="I79" s="28">
        <f t="shared" ref="I79" si="216">ROUND(I78/$S78,5)</f>
        <v>4.9880000000000001E-2</v>
      </c>
      <c r="J79" s="28">
        <f t="shared" ref="J79" si="217">ROUND(J78/$S78,5)</f>
        <v>2.6370000000000001E-2</v>
      </c>
      <c r="K79" s="28">
        <f t="shared" ref="K79" si="218">ROUND(K78/$S78,5)</f>
        <v>4.7629999999999999E-2</v>
      </c>
      <c r="L79" s="28">
        <f t="shared" ref="L79" si="219">ROUND(L78/$S78,5)</f>
        <v>9.325E-2</v>
      </c>
      <c r="M79" s="28">
        <f t="shared" ref="M79" si="220">ROUND(M78/$S78,5)</f>
        <v>2.9260000000000001E-2</v>
      </c>
      <c r="N79" s="28">
        <f t="shared" ref="N79" si="221">ROUND(N78/$S78,5)</f>
        <v>7.5810000000000002E-2</v>
      </c>
      <c r="O79" s="28">
        <f t="shared" ref="O79" si="222">ROUND(O78/$S78,5)</f>
        <v>0.13331999999999999</v>
      </c>
      <c r="P79" s="28">
        <f t="shared" ref="P79" si="223">ROUND(P78/$S78,5)</f>
        <v>0.13769999999999999</v>
      </c>
      <c r="Q79" s="28">
        <f t="shared" ref="Q79" si="224">ROUND(Q78/$S78,5)</f>
        <v>3.977E-2</v>
      </c>
      <c r="R79" s="28">
        <f t="shared" ref="R79" si="225">ROUND(R78/$S78,5)</f>
        <v>5.5780000000000003E-2</v>
      </c>
      <c r="S79" s="28">
        <f>SUM(D79:R79)</f>
        <v>0.99998999999999993</v>
      </c>
    </row>
    <row r="80" spans="1:22" x14ac:dyDescent="0.2">
      <c r="A80" s="1">
        <f t="shared" si="165"/>
        <v>80</v>
      </c>
      <c r="U80" t="s">
        <v>204</v>
      </c>
      <c r="V80" s="5">
        <v>74766247</v>
      </c>
    </row>
    <row r="81" spans="1:22" x14ac:dyDescent="0.2">
      <c r="A81" s="1">
        <f t="shared" si="165"/>
        <v>81</v>
      </c>
      <c r="B81" t="s">
        <v>129</v>
      </c>
      <c r="C81" s="5">
        <f>'Calculation on 58MW'!M34</f>
        <v>349160</v>
      </c>
      <c r="D81" s="5">
        <f>ROUND($C81*D77,0)</f>
        <v>8973</v>
      </c>
      <c r="E81" s="5">
        <f t="shared" ref="E81" si="226">ROUND($C81*E77,0)</f>
        <v>45855</v>
      </c>
      <c r="F81" s="5">
        <f>ROUND($C81*F77,0)</f>
        <v>18177</v>
      </c>
      <c r="G81" s="5">
        <f t="shared" ref="G81:R81" si="227">ROUND($C81*G77,0)</f>
        <v>17503</v>
      </c>
      <c r="H81" s="5">
        <f t="shared" si="227"/>
        <v>19797</v>
      </c>
      <c r="I81" s="5">
        <f t="shared" si="227"/>
        <v>16610</v>
      </c>
      <c r="J81" s="5">
        <f t="shared" si="227"/>
        <v>8858</v>
      </c>
      <c r="K81" s="5">
        <f t="shared" si="227"/>
        <v>17437</v>
      </c>
      <c r="L81" s="5">
        <f t="shared" si="227"/>
        <v>33561</v>
      </c>
      <c r="M81" s="5">
        <f t="shared" si="227"/>
        <v>10545</v>
      </c>
      <c r="N81" s="5">
        <f t="shared" si="227"/>
        <v>27266</v>
      </c>
      <c r="O81" s="5">
        <f t="shared" si="227"/>
        <v>44493</v>
      </c>
      <c r="P81" s="5">
        <f t="shared" si="227"/>
        <v>47433</v>
      </c>
      <c r="Q81" s="5">
        <f t="shared" si="227"/>
        <v>13558</v>
      </c>
      <c r="R81" s="5">
        <f t="shared" si="227"/>
        <v>19092</v>
      </c>
      <c r="S81" s="5">
        <f>SUM(D81:R81)</f>
        <v>349158</v>
      </c>
    </row>
    <row r="82" spans="1:22" x14ac:dyDescent="0.2">
      <c r="A82" s="1">
        <f t="shared" si="165"/>
        <v>82</v>
      </c>
      <c r="B82" t="s">
        <v>130</v>
      </c>
      <c r="C82" s="5">
        <f>ROUND(('Calculation on 58MW'!N34+'Calculation on 58MW'!O34)*V82,0)</f>
        <v>1024752</v>
      </c>
      <c r="D82" s="5">
        <f>ROUND($C82*D79,0)</f>
        <v>25885</v>
      </c>
      <c r="E82" s="5">
        <f t="shared" ref="E82" si="228">ROUND($C82*E79,0)</f>
        <v>129939</v>
      </c>
      <c r="F82" s="5">
        <f>ROUND($C82*F79,0)</f>
        <v>52754</v>
      </c>
      <c r="G82" s="5">
        <f t="shared" ref="G82:R82" si="229">ROUND($C82*G79,0)</f>
        <v>52057</v>
      </c>
      <c r="H82" s="5">
        <f t="shared" si="229"/>
        <v>58288</v>
      </c>
      <c r="I82" s="5">
        <f t="shared" si="229"/>
        <v>51115</v>
      </c>
      <c r="J82" s="5">
        <f t="shared" si="229"/>
        <v>27023</v>
      </c>
      <c r="K82" s="5">
        <f t="shared" si="229"/>
        <v>48809</v>
      </c>
      <c r="L82" s="5">
        <f t="shared" si="229"/>
        <v>95558</v>
      </c>
      <c r="M82" s="5">
        <f t="shared" si="229"/>
        <v>29984</v>
      </c>
      <c r="N82" s="5">
        <f t="shared" si="229"/>
        <v>77686</v>
      </c>
      <c r="O82" s="5">
        <f t="shared" si="229"/>
        <v>136620</v>
      </c>
      <c r="P82" s="5">
        <f t="shared" si="229"/>
        <v>141108</v>
      </c>
      <c r="Q82" s="5">
        <f t="shared" si="229"/>
        <v>40754</v>
      </c>
      <c r="R82" s="5">
        <f t="shared" si="229"/>
        <v>57161</v>
      </c>
      <c r="S82" s="5">
        <f>SUM(D82:R82)</f>
        <v>1024741</v>
      </c>
      <c r="U82" t="s">
        <v>205</v>
      </c>
      <c r="V82" s="28">
        <f>ROUND(V78/V80,5)</f>
        <v>0.48547000000000001</v>
      </c>
    </row>
    <row r="83" spans="1:22" x14ac:dyDescent="0.2">
      <c r="A83" s="1">
        <f t="shared" si="165"/>
        <v>83</v>
      </c>
    </row>
    <row r="84" spans="1:22" x14ac:dyDescent="0.2">
      <c r="A84" s="1">
        <f t="shared" si="165"/>
        <v>84</v>
      </c>
      <c r="B84" t="s">
        <v>19</v>
      </c>
    </row>
    <row r="85" spans="1:22" x14ac:dyDescent="0.2">
      <c r="A85" s="1">
        <f t="shared" si="165"/>
        <v>85</v>
      </c>
      <c r="B85" t="s">
        <v>125</v>
      </c>
      <c r="D85" s="1">
        <v>38554</v>
      </c>
      <c r="E85" s="1">
        <v>200707</v>
      </c>
      <c r="F85" s="1">
        <v>79015</v>
      </c>
      <c r="G85" s="1">
        <v>76280</v>
      </c>
      <c r="H85" s="1">
        <v>85907</v>
      </c>
      <c r="I85" s="1">
        <v>77404</v>
      </c>
      <c r="J85" s="1">
        <v>41901</v>
      </c>
      <c r="K85" s="1">
        <v>75598</v>
      </c>
      <c r="L85" s="1">
        <v>142475</v>
      </c>
      <c r="M85" s="1">
        <v>45199</v>
      </c>
      <c r="N85" s="1">
        <v>116675</v>
      </c>
      <c r="O85" s="1">
        <v>205903</v>
      </c>
      <c r="P85" s="1">
        <f>210563-1761</f>
        <v>208802</v>
      </c>
      <c r="Q85" s="1">
        <v>60460</v>
      </c>
      <c r="R85" s="1">
        <v>81376</v>
      </c>
      <c r="S85" s="1">
        <f>SUM(D85:R85)</f>
        <v>1536256</v>
      </c>
      <c r="U85" t="s">
        <v>202</v>
      </c>
      <c r="V85" s="5">
        <f>43365466+6399882</f>
        <v>49765348</v>
      </c>
    </row>
    <row r="86" spans="1:22" x14ac:dyDescent="0.2">
      <c r="A86" s="1">
        <f t="shared" si="165"/>
        <v>86</v>
      </c>
      <c r="B86" t="s">
        <v>126</v>
      </c>
      <c r="D86" s="28">
        <f>ROUND(D85/$S85,5)</f>
        <v>2.5100000000000001E-2</v>
      </c>
      <c r="E86" s="28">
        <f t="shared" ref="E86" si="230">ROUND(E85/$S85,5)</f>
        <v>0.13064999999999999</v>
      </c>
      <c r="F86" s="28">
        <f t="shared" ref="F86" si="231">ROUND(F85/$S85,5)</f>
        <v>5.1429999999999997E-2</v>
      </c>
      <c r="G86" s="28">
        <f t="shared" ref="G86" si="232">ROUND(G85/$S85,5)</f>
        <v>4.965E-2</v>
      </c>
      <c r="H86" s="28">
        <f t="shared" ref="H86" si="233">ROUND(H85/$S85,5)</f>
        <v>5.5919999999999997E-2</v>
      </c>
      <c r="I86" s="28">
        <f t="shared" ref="I86" si="234">ROUND(I85/$S85,5)</f>
        <v>5.0380000000000001E-2</v>
      </c>
      <c r="J86" s="28">
        <f t="shared" ref="J86" si="235">ROUND(J85/$S85,5)</f>
        <v>2.7269999999999999E-2</v>
      </c>
      <c r="K86" s="28">
        <f t="shared" ref="K86" si="236">ROUND(K85/$S85,5)</f>
        <v>4.9209999999999997E-2</v>
      </c>
      <c r="L86" s="28">
        <f t="shared" ref="L86" si="237">ROUND(L85/$S85,5)</f>
        <v>9.2740000000000003E-2</v>
      </c>
      <c r="M86" s="28">
        <f t="shared" ref="M86" si="238">ROUND(M85/$S85,5)</f>
        <v>2.9420000000000002E-2</v>
      </c>
      <c r="N86" s="28">
        <f t="shared" ref="N86" si="239">ROUND(N85/$S85,5)</f>
        <v>7.5950000000000004E-2</v>
      </c>
      <c r="O86" s="28">
        <f t="shared" ref="O86" si="240">ROUND(O85/$S85,5)</f>
        <v>0.13403000000000001</v>
      </c>
      <c r="P86" s="28">
        <f t="shared" ref="P86" si="241">ROUND(P85/$S85,5)</f>
        <v>0.13592000000000001</v>
      </c>
      <c r="Q86" s="28">
        <f t="shared" ref="Q86" si="242">ROUND(Q85/$S85,5)</f>
        <v>3.9359999999999999E-2</v>
      </c>
      <c r="R86" s="28">
        <f t="shared" ref="R86" si="243">ROUND(R85/$S85,5)</f>
        <v>5.2970000000000003E-2</v>
      </c>
      <c r="S86" s="28">
        <f>SUM(D86:R86)</f>
        <v>0.99999999999999989</v>
      </c>
      <c r="U86" t="s">
        <v>201</v>
      </c>
      <c r="V86" s="29">
        <v>18554029</v>
      </c>
    </row>
    <row r="87" spans="1:22" x14ac:dyDescent="0.2">
      <c r="A87" s="1">
        <f t="shared" si="165"/>
        <v>87</v>
      </c>
      <c r="B87" t="s">
        <v>127</v>
      </c>
      <c r="D87" s="1">
        <v>17335569</v>
      </c>
      <c r="E87" s="1">
        <v>87253112</v>
      </c>
      <c r="F87" s="1">
        <v>35303621</v>
      </c>
      <c r="G87" s="1">
        <v>36264283</v>
      </c>
      <c r="H87" s="1">
        <v>39659748</v>
      </c>
      <c r="I87" s="1">
        <v>35213310</v>
      </c>
      <c r="J87" s="1">
        <v>18000619</v>
      </c>
      <c r="K87" s="1">
        <v>32095223</v>
      </c>
      <c r="L87" s="1">
        <v>64810013</v>
      </c>
      <c r="M87" s="1">
        <v>20074536</v>
      </c>
      <c r="N87" s="1">
        <v>51498196</v>
      </c>
      <c r="O87" s="1">
        <v>92549246</v>
      </c>
      <c r="P87" s="1">
        <f>95665135-1138287</f>
        <v>94526848</v>
      </c>
      <c r="Q87" s="1">
        <v>27497599</v>
      </c>
      <c r="R87" s="1">
        <v>38004273</v>
      </c>
      <c r="S87" s="1">
        <f>SUM(D87:R87)</f>
        <v>690086196</v>
      </c>
      <c r="U87" t="s">
        <v>203</v>
      </c>
      <c r="V87" s="5">
        <f>V85-V86</f>
        <v>31211319</v>
      </c>
    </row>
    <row r="88" spans="1:22" x14ac:dyDescent="0.2">
      <c r="A88" s="1">
        <f t="shared" si="165"/>
        <v>88</v>
      </c>
      <c r="B88" t="s">
        <v>128</v>
      </c>
      <c r="D88" s="28">
        <f>ROUND(D87/$S87,5)</f>
        <v>2.512E-2</v>
      </c>
      <c r="E88" s="28">
        <f t="shared" ref="E88" si="244">ROUND(E87/$S87,5)</f>
        <v>0.12644</v>
      </c>
      <c r="F88" s="28">
        <f t="shared" ref="F88" si="245">ROUND(F87/$S87,5)</f>
        <v>5.1159999999999997E-2</v>
      </c>
      <c r="G88" s="28">
        <f t="shared" ref="G88" si="246">ROUND(G87/$S87,5)</f>
        <v>5.2549999999999999E-2</v>
      </c>
      <c r="H88" s="28">
        <f t="shared" ref="H88" si="247">ROUND(H87/$S87,5)</f>
        <v>5.747E-2</v>
      </c>
      <c r="I88" s="28">
        <f t="shared" ref="I88" si="248">ROUND(I87/$S87,5)</f>
        <v>5.1029999999999999E-2</v>
      </c>
      <c r="J88" s="28">
        <f t="shared" ref="J88" si="249">ROUND(J87/$S87,5)</f>
        <v>2.6079999999999999E-2</v>
      </c>
      <c r="K88" s="28">
        <f t="shared" ref="K88" si="250">ROUND(K87/$S87,5)</f>
        <v>4.6510000000000003E-2</v>
      </c>
      <c r="L88" s="28">
        <f t="shared" ref="L88" si="251">ROUND(L87/$S87,5)</f>
        <v>9.3920000000000003E-2</v>
      </c>
      <c r="M88" s="28">
        <f t="shared" ref="M88" si="252">ROUND(M87/$S87,5)</f>
        <v>2.9090000000000001E-2</v>
      </c>
      <c r="N88" s="28">
        <f t="shared" ref="N88" si="253">ROUND(N87/$S87,5)</f>
        <v>7.4630000000000002E-2</v>
      </c>
      <c r="O88" s="28">
        <f t="shared" ref="O88" si="254">ROUND(O87/$S87,5)</f>
        <v>0.13411000000000001</v>
      </c>
      <c r="P88" s="28">
        <f t="shared" ref="P88" si="255">ROUND(P87/$S87,5)</f>
        <v>0.13697999999999999</v>
      </c>
      <c r="Q88" s="28">
        <f t="shared" ref="Q88" si="256">ROUND(Q87/$S87,5)</f>
        <v>3.9849999999999997E-2</v>
      </c>
      <c r="R88" s="28">
        <f t="shared" ref="R88" si="257">ROUND(R87/$S87,5)</f>
        <v>5.5070000000000001E-2</v>
      </c>
      <c r="S88" s="28">
        <f>SUM(D88:R88)</f>
        <v>1.0000100000000001</v>
      </c>
    </row>
    <row r="89" spans="1:22" x14ac:dyDescent="0.2">
      <c r="A89" s="1">
        <f t="shared" si="165"/>
        <v>89</v>
      </c>
      <c r="U89" t="s">
        <v>204</v>
      </c>
      <c r="V89" s="5">
        <v>69887640</v>
      </c>
    </row>
    <row r="90" spans="1:22" x14ac:dyDescent="0.2">
      <c r="A90" s="1">
        <f t="shared" si="165"/>
        <v>90</v>
      </c>
      <c r="B90" t="s">
        <v>129</v>
      </c>
      <c r="C90" s="5">
        <f>'Calculation on 58MW'!M36</f>
        <v>349160</v>
      </c>
      <c r="D90" s="5">
        <f>ROUND($C90*D86,0)</f>
        <v>8764</v>
      </c>
      <c r="E90" s="5">
        <f t="shared" ref="E90" si="258">ROUND($C90*E86,0)</f>
        <v>45618</v>
      </c>
      <c r="F90" s="5">
        <f>ROUND($C90*F86,0)</f>
        <v>17957</v>
      </c>
      <c r="G90" s="5">
        <f t="shared" ref="G90:R90" si="259">ROUND($C90*G86,0)</f>
        <v>17336</v>
      </c>
      <c r="H90" s="5">
        <f t="shared" si="259"/>
        <v>19525</v>
      </c>
      <c r="I90" s="5">
        <f t="shared" si="259"/>
        <v>17591</v>
      </c>
      <c r="J90" s="5">
        <f t="shared" si="259"/>
        <v>9522</v>
      </c>
      <c r="K90" s="5">
        <f t="shared" si="259"/>
        <v>17182</v>
      </c>
      <c r="L90" s="5">
        <f t="shared" si="259"/>
        <v>32381</v>
      </c>
      <c r="M90" s="5">
        <f t="shared" si="259"/>
        <v>10272</v>
      </c>
      <c r="N90" s="5">
        <f t="shared" si="259"/>
        <v>26519</v>
      </c>
      <c r="O90" s="5">
        <f t="shared" si="259"/>
        <v>46798</v>
      </c>
      <c r="P90" s="5">
        <f t="shared" si="259"/>
        <v>47458</v>
      </c>
      <c r="Q90" s="5">
        <f t="shared" si="259"/>
        <v>13743</v>
      </c>
      <c r="R90" s="5">
        <f t="shared" si="259"/>
        <v>18495</v>
      </c>
      <c r="S90" s="5">
        <f>SUM(D90:R90)</f>
        <v>349161</v>
      </c>
    </row>
    <row r="91" spans="1:22" x14ac:dyDescent="0.2">
      <c r="A91" s="1">
        <f t="shared" si="165"/>
        <v>91</v>
      </c>
      <c r="B91" t="s">
        <v>130</v>
      </c>
      <c r="C91" s="5">
        <f>ROUND(('Calculation on 58MW'!N36+'Calculation on 58MW'!O36)*V91,0)</f>
        <v>942682</v>
      </c>
      <c r="D91" s="5">
        <f>ROUND($C91*D88,0)</f>
        <v>23680</v>
      </c>
      <c r="E91" s="5">
        <f t="shared" ref="E91" si="260">ROUND($C91*E88,0)</f>
        <v>119193</v>
      </c>
      <c r="F91" s="5">
        <f>ROUND($C91*F88,0)</f>
        <v>48228</v>
      </c>
      <c r="G91" s="5">
        <f t="shared" ref="G91:R91" si="261">ROUND($C91*G88,0)</f>
        <v>49538</v>
      </c>
      <c r="H91" s="5">
        <f t="shared" si="261"/>
        <v>54176</v>
      </c>
      <c r="I91" s="5">
        <f t="shared" si="261"/>
        <v>48105</v>
      </c>
      <c r="J91" s="5">
        <f t="shared" si="261"/>
        <v>24585</v>
      </c>
      <c r="K91" s="5">
        <f t="shared" si="261"/>
        <v>43844</v>
      </c>
      <c r="L91" s="5">
        <f t="shared" si="261"/>
        <v>88537</v>
      </c>
      <c r="M91" s="5">
        <f t="shared" si="261"/>
        <v>27423</v>
      </c>
      <c r="N91" s="5">
        <f t="shared" si="261"/>
        <v>70352</v>
      </c>
      <c r="O91" s="5">
        <f t="shared" si="261"/>
        <v>126423</v>
      </c>
      <c r="P91" s="5">
        <f t="shared" si="261"/>
        <v>129129</v>
      </c>
      <c r="Q91" s="5">
        <f t="shared" si="261"/>
        <v>37566</v>
      </c>
      <c r="R91" s="5">
        <f t="shared" si="261"/>
        <v>51913</v>
      </c>
      <c r="S91" s="5">
        <f>SUM(D91:R91)</f>
        <v>942692</v>
      </c>
      <c r="U91" t="s">
        <v>205</v>
      </c>
      <c r="V91" s="28">
        <f>ROUND(V87/V89,5)</f>
        <v>0.44658999999999999</v>
      </c>
    </row>
    <row r="92" spans="1:22" x14ac:dyDescent="0.2">
      <c r="A92" s="1">
        <f t="shared" si="165"/>
        <v>92</v>
      </c>
    </row>
    <row r="93" spans="1:22" x14ac:dyDescent="0.2">
      <c r="A93" s="1">
        <f t="shared" si="165"/>
        <v>93</v>
      </c>
      <c r="B93" t="s">
        <v>20</v>
      </c>
    </row>
    <row r="94" spans="1:22" x14ac:dyDescent="0.2">
      <c r="A94" s="1">
        <f t="shared" si="165"/>
        <v>94</v>
      </c>
      <c r="B94" t="s">
        <v>125</v>
      </c>
      <c r="D94" s="1">
        <v>32805</v>
      </c>
      <c r="E94" s="1">
        <v>177534</v>
      </c>
      <c r="F94" s="1">
        <v>67227</v>
      </c>
      <c r="G94" s="1">
        <v>67040</v>
      </c>
      <c r="H94" s="1">
        <v>76610</v>
      </c>
      <c r="I94" s="1">
        <v>69653</v>
      </c>
      <c r="J94" s="1">
        <v>35517</v>
      </c>
      <c r="K94" s="1">
        <v>65999</v>
      </c>
      <c r="L94" s="1">
        <v>124110</v>
      </c>
      <c r="M94" s="1">
        <v>37544</v>
      </c>
      <c r="N94" s="1">
        <v>110462</v>
      </c>
      <c r="O94" s="1">
        <v>194563</v>
      </c>
      <c r="P94" s="1">
        <f>198495-1280</f>
        <v>197215</v>
      </c>
      <c r="Q94" s="1">
        <v>58787</v>
      </c>
      <c r="R94" s="1">
        <v>72566</v>
      </c>
      <c r="S94" s="1">
        <f>SUM(D94:R94)</f>
        <v>1387632</v>
      </c>
      <c r="U94" t="s">
        <v>202</v>
      </c>
      <c r="V94" s="5">
        <f>40803907+8146560</f>
        <v>48950467</v>
      </c>
    </row>
    <row r="95" spans="1:22" x14ac:dyDescent="0.2">
      <c r="A95" s="1">
        <f t="shared" si="165"/>
        <v>95</v>
      </c>
      <c r="B95" t="s">
        <v>126</v>
      </c>
      <c r="D95" s="28">
        <f>ROUND(D94/$S94,5)</f>
        <v>2.3640000000000001E-2</v>
      </c>
      <c r="E95" s="28">
        <f t="shared" ref="E95" si="262">ROUND(E94/$S94,5)</f>
        <v>0.12794</v>
      </c>
      <c r="F95" s="28">
        <f t="shared" ref="F95" si="263">ROUND(F94/$S94,5)</f>
        <v>4.845E-2</v>
      </c>
      <c r="G95" s="28">
        <f t="shared" ref="G95" si="264">ROUND(G94/$S94,5)</f>
        <v>4.8309999999999999E-2</v>
      </c>
      <c r="H95" s="28">
        <f t="shared" ref="H95" si="265">ROUND(H94/$S94,5)</f>
        <v>5.5210000000000002E-2</v>
      </c>
      <c r="I95" s="28">
        <f t="shared" ref="I95" si="266">ROUND(I94/$S94,5)</f>
        <v>5.0200000000000002E-2</v>
      </c>
      <c r="J95" s="28">
        <f t="shared" ref="J95" si="267">ROUND(J94/$S94,5)</f>
        <v>2.5600000000000001E-2</v>
      </c>
      <c r="K95" s="28">
        <f t="shared" ref="K95" si="268">ROUND(K94/$S94,5)</f>
        <v>4.7559999999999998E-2</v>
      </c>
      <c r="L95" s="28">
        <f t="shared" ref="L95" si="269">ROUND(L94/$S94,5)</f>
        <v>8.9440000000000006E-2</v>
      </c>
      <c r="M95" s="28">
        <f t="shared" ref="M95" si="270">ROUND(M94/$S94,5)</f>
        <v>2.7060000000000001E-2</v>
      </c>
      <c r="N95" s="28">
        <f t="shared" ref="N95" si="271">ROUND(N94/$S94,5)</f>
        <v>7.9600000000000004E-2</v>
      </c>
      <c r="O95" s="28">
        <f t="shared" ref="O95" si="272">ROUND(O94/$S94,5)</f>
        <v>0.14021</v>
      </c>
      <c r="P95" s="28">
        <f t="shared" ref="P95" si="273">ROUND(P94/$S94,5)</f>
        <v>0.14212</v>
      </c>
      <c r="Q95" s="28">
        <f t="shared" ref="Q95" si="274">ROUND(Q94/$S94,5)</f>
        <v>4.2360000000000002E-2</v>
      </c>
      <c r="R95" s="28">
        <f t="shared" ref="R95" si="275">ROUND(R94/$S94,5)</f>
        <v>5.2290000000000003E-2</v>
      </c>
      <c r="S95" s="28">
        <f>SUM(D95:R95)</f>
        <v>0.99998999999999993</v>
      </c>
      <c r="U95" t="s">
        <v>201</v>
      </c>
      <c r="V95" s="29">
        <v>13290090</v>
      </c>
    </row>
    <row r="96" spans="1:22" x14ac:dyDescent="0.2">
      <c r="A96" s="1">
        <f t="shared" si="165"/>
        <v>96</v>
      </c>
      <c r="B96" t="s">
        <v>127</v>
      </c>
      <c r="D96" s="1">
        <v>14206968</v>
      </c>
      <c r="E96" s="1">
        <v>71250505</v>
      </c>
      <c r="F96" s="1">
        <v>28536951</v>
      </c>
      <c r="G96" s="1">
        <v>30023081</v>
      </c>
      <c r="H96" s="1">
        <v>32302193</v>
      </c>
      <c r="I96" s="1">
        <v>29278462</v>
      </c>
      <c r="J96" s="1">
        <v>14889862</v>
      </c>
      <c r="K96" s="1">
        <v>26358305</v>
      </c>
      <c r="L96" s="1">
        <v>53661378</v>
      </c>
      <c r="M96" s="1">
        <v>16630920</v>
      </c>
      <c r="N96" s="1">
        <v>43124849</v>
      </c>
      <c r="O96" s="1">
        <v>77063014</v>
      </c>
      <c r="P96" s="1">
        <f>79102147-730036</f>
        <v>78372111</v>
      </c>
      <c r="Q96" s="1">
        <v>23224746</v>
      </c>
      <c r="R96" s="1">
        <v>31138453</v>
      </c>
      <c r="S96" s="1">
        <f>SUM(D96:R96)</f>
        <v>570061798</v>
      </c>
      <c r="U96" t="s">
        <v>203</v>
      </c>
      <c r="V96" s="5">
        <f>V94-V95</f>
        <v>35660377</v>
      </c>
    </row>
    <row r="97" spans="1:22" x14ac:dyDescent="0.2">
      <c r="A97" s="1">
        <f t="shared" si="165"/>
        <v>97</v>
      </c>
      <c r="B97" t="s">
        <v>128</v>
      </c>
      <c r="D97" s="28">
        <f>ROUND(D96/$S96,5)</f>
        <v>2.4920000000000001E-2</v>
      </c>
      <c r="E97" s="28">
        <f t="shared" ref="E97" si="276">ROUND(E96/$S96,5)</f>
        <v>0.12499</v>
      </c>
      <c r="F97" s="28">
        <f t="shared" ref="F97" si="277">ROUND(F96/$S96,5)</f>
        <v>5.006E-2</v>
      </c>
      <c r="G97" s="28">
        <f t="shared" ref="G97" si="278">ROUND(G96/$S96,5)</f>
        <v>5.2670000000000002E-2</v>
      </c>
      <c r="H97" s="28">
        <f t="shared" ref="H97" si="279">ROUND(H96/$S96,5)</f>
        <v>5.6660000000000002E-2</v>
      </c>
      <c r="I97" s="28">
        <f t="shared" ref="I97" si="280">ROUND(I96/$S96,5)</f>
        <v>5.1360000000000003E-2</v>
      </c>
      <c r="J97" s="28">
        <f t="shared" ref="J97" si="281">ROUND(J96/$S96,5)</f>
        <v>2.6120000000000001E-2</v>
      </c>
      <c r="K97" s="28">
        <f t="shared" ref="K97" si="282">ROUND(K96/$S96,5)</f>
        <v>4.6240000000000003E-2</v>
      </c>
      <c r="L97" s="28">
        <f t="shared" ref="L97" si="283">ROUND(L96/$S96,5)</f>
        <v>9.4130000000000005E-2</v>
      </c>
      <c r="M97" s="28">
        <f t="shared" ref="M97" si="284">ROUND(M96/$S96,5)</f>
        <v>2.9170000000000001E-2</v>
      </c>
      <c r="N97" s="28">
        <f t="shared" ref="N97" si="285">ROUND(N96/$S96,5)</f>
        <v>7.5649999999999995E-2</v>
      </c>
      <c r="O97" s="28">
        <f t="shared" ref="O97" si="286">ROUND(O96/$S96,5)</f>
        <v>0.13517999999999999</v>
      </c>
      <c r="P97" s="28">
        <f t="shared" ref="P97" si="287">ROUND(P96/$S96,5)</f>
        <v>0.13747999999999999</v>
      </c>
      <c r="Q97" s="28">
        <f t="shared" ref="Q97" si="288">ROUND(Q96/$S96,5)</f>
        <v>4.0739999999999998E-2</v>
      </c>
      <c r="R97" s="28">
        <f t="shared" ref="R97" si="289">ROUND(R96/$S96,5)</f>
        <v>5.4620000000000002E-2</v>
      </c>
      <c r="S97" s="28">
        <f>SUM(D97:R97)</f>
        <v>0.99999000000000005</v>
      </c>
    </row>
    <row r="98" spans="1:22" x14ac:dyDescent="0.2">
      <c r="A98" s="1">
        <f t="shared" si="165"/>
        <v>98</v>
      </c>
      <c r="U98" t="s">
        <v>204</v>
      </c>
      <c r="V98" s="5">
        <v>68877448</v>
      </c>
    </row>
    <row r="99" spans="1:22" x14ac:dyDescent="0.2">
      <c r="A99" s="1">
        <f t="shared" si="165"/>
        <v>99</v>
      </c>
      <c r="B99" t="s">
        <v>129</v>
      </c>
      <c r="C99" s="5">
        <f>'Calculation on 58MW'!M38</f>
        <v>349160</v>
      </c>
      <c r="D99" s="5">
        <f>ROUND($C99*D95,0)</f>
        <v>8254</v>
      </c>
      <c r="E99" s="5">
        <f t="shared" ref="E99" si="290">ROUND($C99*E95,0)</f>
        <v>44672</v>
      </c>
      <c r="F99" s="5">
        <f>ROUND($C99*F95,0)</f>
        <v>16917</v>
      </c>
      <c r="G99" s="5">
        <f t="shared" ref="G99:R99" si="291">ROUND($C99*G95,0)</f>
        <v>16868</v>
      </c>
      <c r="H99" s="5">
        <f t="shared" si="291"/>
        <v>19277</v>
      </c>
      <c r="I99" s="5">
        <f t="shared" si="291"/>
        <v>17528</v>
      </c>
      <c r="J99" s="5">
        <f t="shared" si="291"/>
        <v>8938</v>
      </c>
      <c r="K99" s="5">
        <f t="shared" si="291"/>
        <v>16606</v>
      </c>
      <c r="L99" s="5">
        <f t="shared" si="291"/>
        <v>31229</v>
      </c>
      <c r="M99" s="5">
        <f t="shared" si="291"/>
        <v>9448</v>
      </c>
      <c r="N99" s="5">
        <f t="shared" si="291"/>
        <v>27793</v>
      </c>
      <c r="O99" s="5">
        <f t="shared" si="291"/>
        <v>48956</v>
      </c>
      <c r="P99" s="5">
        <f t="shared" si="291"/>
        <v>49623</v>
      </c>
      <c r="Q99" s="5">
        <f t="shared" si="291"/>
        <v>14790</v>
      </c>
      <c r="R99" s="5">
        <f t="shared" si="291"/>
        <v>18258</v>
      </c>
      <c r="S99" s="5">
        <f>SUM(D99:R99)</f>
        <v>349157</v>
      </c>
    </row>
    <row r="100" spans="1:22" x14ac:dyDescent="0.2">
      <c r="A100" s="1">
        <f t="shared" si="165"/>
        <v>100</v>
      </c>
      <c r="B100" t="s">
        <v>130</v>
      </c>
      <c r="C100" s="5">
        <f>ROUND(('Calculation on 58MW'!N38+'Calculation on 58MW'!O38)*V100,0)</f>
        <v>1006157</v>
      </c>
      <c r="D100" s="5">
        <f>ROUND($C100*D97,0)</f>
        <v>25073</v>
      </c>
      <c r="E100" s="5">
        <f t="shared" ref="E100" si="292">ROUND($C100*E97,0)</f>
        <v>125760</v>
      </c>
      <c r="F100" s="5">
        <f>ROUND($C100*F97,0)</f>
        <v>50368</v>
      </c>
      <c r="G100" s="5">
        <f t="shared" ref="G100:R100" si="293">ROUND($C100*G97,0)</f>
        <v>52994</v>
      </c>
      <c r="H100" s="5">
        <f t="shared" si="293"/>
        <v>57009</v>
      </c>
      <c r="I100" s="5">
        <f t="shared" si="293"/>
        <v>51676</v>
      </c>
      <c r="J100" s="5">
        <f t="shared" si="293"/>
        <v>26281</v>
      </c>
      <c r="K100" s="5">
        <f t="shared" si="293"/>
        <v>46525</v>
      </c>
      <c r="L100" s="5">
        <f t="shared" si="293"/>
        <v>94710</v>
      </c>
      <c r="M100" s="5">
        <f t="shared" si="293"/>
        <v>29350</v>
      </c>
      <c r="N100" s="5">
        <f t="shared" si="293"/>
        <v>76116</v>
      </c>
      <c r="O100" s="5">
        <f t="shared" si="293"/>
        <v>136012</v>
      </c>
      <c r="P100" s="5">
        <f t="shared" si="293"/>
        <v>138326</v>
      </c>
      <c r="Q100" s="5">
        <f t="shared" si="293"/>
        <v>40991</v>
      </c>
      <c r="R100" s="5">
        <f t="shared" si="293"/>
        <v>54956</v>
      </c>
      <c r="S100" s="5">
        <f>SUM(D100:R100)</f>
        <v>1006147</v>
      </c>
      <c r="U100" t="s">
        <v>205</v>
      </c>
      <c r="V100" s="28">
        <f>ROUND(V96/V98,5)</f>
        <v>0.51773999999999998</v>
      </c>
    </row>
    <row r="101" spans="1:22" x14ac:dyDescent="0.2">
      <c r="A101" s="1">
        <f t="shared" si="165"/>
        <v>101</v>
      </c>
    </row>
    <row r="102" spans="1:22" x14ac:dyDescent="0.2">
      <c r="A102" s="1">
        <f t="shared" si="165"/>
        <v>102</v>
      </c>
      <c r="B102" t="s">
        <v>21</v>
      </c>
    </row>
    <row r="103" spans="1:22" x14ac:dyDescent="0.2">
      <c r="A103" s="1">
        <f t="shared" si="165"/>
        <v>103</v>
      </c>
      <c r="B103" t="s">
        <v>125</v>
      </c>
      <c r="D103" s="1">
        <v>37727</v>
      </c>
      <c r="E103" s="1">
        <v>173122</v>
      </c>
      <c r="F103" s="1">
        <v>73677</v>
      </c>
      <c r="G103" s="1">
        <v>78984</v>
      </c>
      <c r="H103" s="1">
        <v>72979</v>
      </c>
      <c r="I103" s="1">
        <v>73862</v>
      </c>
      <c r="J103" s="1">
        <v>36592</v>
      </c>
      <c r="K103" s="1">
        <v>71728</v>
      </c>
      <c r="L103" s="1">
        <v>149845</v>
      </c>
      <c r="M103" s="1">
        <v>41583</v>
      </c>
      <c r="N103" s="1">
        <v>96557</v>
      </c>
      <c r="O103" s="1">
        <v>146264</v>
      </c>
      <c r="P103" s="1">
        <f>155691-1709</f>
        <v>153982</v>
      </c>
      <c r="Q103" s="1">
        <v>51037</v>
      </c>
      <c r="R103" s="1">
        <v>77708</v>
      </c>
      <c r="S103" s="1">
        <f>SUM(D103:R103)</f>
        <v>1335647</v>
      </c>
      <c r="U103" t="s">
        <v>202</v>
      </c>
      <c r="V103" s="5">
        <f>41340549+10034914</f>
        <v>51375463</v>
      </c>
    </row>
    <row r="104" spans="1:22" x14ac:dyDescent="0.2">
      <c r="A104" s="1">
        <f t="shared" si="165"/>
        <v>104</v>
      </c>
      <c r="B104" t="s">
        <v>126</v>
      </c>
      <c r="D104" s="28">
        <f>ROUND(D103/$S103,5)</f>
        <v>2.8250000000000001E-2</v>
      </c>
      <c r="E104" s="28">
        <f t="shared" ref="E104" si="294">ROUND(E103/$S103,5)</f>
        <v>0.12962000000000001</v>
      </c>
      <c r="F104" s="28">
        <f t="shared" ref="F104" si="295">ROUND(F103/$S103,5)</f>
        <v>5.5160000000000001E-2</v>
      </c>
      <c r="G104" s="28">
        <f t="shared" ref="G104" si="296">ROUND(G103/$S103,5)</f>
        <v>5.9139999999999998E-2</v>
      </c>
      <c r="H104" s="28">
        <f t="shared" ref="H104" si="297">ROUND(H103/$S103,5)</f>
        <v>5.4640000000000001E-2</v>
      </c>
      <c r="I104" s="28">
        <f t="shared" ref="I104" si="298">ROUND(I103/$S103,5)</f>
        <v>5.5300000000000002E-2</v>
      </c>
      <c r="J104" s="28">
        <f t="shared" ref="J104" si="299">ROUND(J103/$S103,5)</f>
        <v>2.7400000000000001E-2</v>
      </c>
      <c r="K104" s="28">
        <f t="shared" ref="K104" si="300">ROUND(K103/$S103,5)</f>
        <v>5.3699999999999998E-2</v>
      </c>
      <c r="L104" s="28">
        <f t="shared" ref="L104" si="301">ROUND(L103/$S103,5)</f>
        <v>0.11219</v>
      </c>
      <c r="M104" s="28">
        <f t="shared" ref="M104" si="302">ROUND(M103/$S103,5)</f>
        <v>3.1130000000000001E-2</v>
      </c>
      <c r="N104" s="28">
        <f t="shared" ref="N104" si="303">ROUND(N103/$S103,5)</f>
        <v>7.2289999999999993E-2</v>
      </c>
      <c r="O104" s="28">
        <f t="shared" ref="O104" si="304">ROUND(O103/$S103,5)</f>
        <v>0.10951</v>
      </c>
      <c r="P104" s="28">
        <f t="shared" ref="P104" si="305">ROUND(P103/$S103,5)</f>
        <v>0.11529</v>
      </c>
      <c r="Q104" s="28">
        <f t="shared" ref="Q104" si="306">ROUND(Q103/$S103,5)</f>
        <v>3.8210000000000001E-2</v>
      </c>
      <c r="R104" s="28">
        <f t="shared" ref="R104" si="307">ROUND(R103/$S103,5)</f>
        <v>5.8180000000000003E-2</v>
      </c>
      <c r="S104" s="28">
        <f>SUM(D104:R104)</f>
        <v>1.0000099999999998</v>
      </c>
      <c r="U104" t="s">
        <v>201</v>
      </c>
      <c r="V104" s="29">
        <v>11408661</v>
      </c>
    </row>
    <row r="105" spans="1:22" x14ac:dyDescent="0.2">
      <c r="A105" s="1">
        <f t="shared" si="165"/>
        <v>105</v>
      </c>
      <c r="B105" t="s">
        <v>127</v>
      </c>
      <c r="D105" s="1">
        <v>14986538</v>
      </c>
      <c r="E105" s="1">
        <v>69982852</v>
      </c>
      <c r="F105" s="1">
        <v>29259112</v>
      </c>
      <c r="G105" s="1">
        <v>32004659</v>
      </c>
      <c r="H105" s="1">
        <v>32030398</v>
      </c>
      <c r="I105" s="1">
        <v>30886355</v>
      </c>
      <c r="J105" s="1">
        <v>15576351</v>
      </c>
      <c r="K105" s="1">
        <v>26822917</v>
      </c>
      <c r="L105" s="1">
        <v>56362576</v>
      </c>
      <c r="M105" s="1">
        <v>17810657</v>
      </c>
      <c r="N105" s="1">
        <v>41776449</v>
      </c>
      <c r="O105" s="1">
        <v>73189024</v>
      </c>
      <c r="P105" s="1">
        <f>74073619-733600</f>
        <v>73340019</v>
      </c>
      <c r="Q105" s="1">
        <v>22855794</v>
      </c>
      <c r="R105" s="1">
        <v>31240619</v>
      </c>
      <c r="S105" s="1">
        <f>SUM(D105:R105)</f>
        <v>568124320</v>
      </c>
      <c r="U105" t="s">
        <v>203</v>
      </c>
      <c r="V105" s="5">
        <f>V103-V104</f>
        <v>39966802</v>
      </c>
    </row>
    <row r="106" spans="1:22" x14ac:dyDescent="0.2">
      <c r="A106" s="1">
        <f t="shared" si="165"/>
        <v>106</v>
      </c>
      <c r="B106" t="s">
        <v>128</v>
      </c>
      <c r="D106" s="28">
        <f>ROUND(D105/$S105,5)</f>
        <v>2.6380000000000001E-2</v>
      </c>
      <c r="E106" s="28">
        <f t="shared" ref="E106" si="308">ROUND(E105/$S105,5)</f>
        <v>0.12318</v>
      </c>
      <c r="F106" s="28">
        <f t="shared" ref="F106" si="309">ROUND(F105/$S105,5)</f>
        <v>5.1499999999999997E-2</v>
      </c>
      <c r="G106" s="28">
        <f t="shared" ref="G106" si="310">ROUND(G105/$S105,5)</f>
        <v>5.6329999999999998E-2</v>
      </c>
      <c r="H106" s="28">
        <f t="shared" ref="H106" si="311">ROUND(H105/$S105,5)</f>
        <v>5.638E-2</v>
      </c>
      <c r="I106" s="28">
        <f t="shared" ref="I106" si="312">ROUND(I105/$S105,5)</f>
        <v>5.4370000000000002E-2</v>
      </c>
      <c r="J106" s="28">
        <f t="shared" ref="J106" si="313">ROUND(J105/$S105,5)</f>
        <v>2.742E-2</v>
      </c>
      <c r="K106" s="28">
        <f t="shared" ref="K106" si="314">ROUND(K105/$S105,5)</f>
        <v>4.7210000000000002E-2</v>
      </c>
      <c r="L106" s="28">
        <f t="shared" ref="L106" si="315">ROUND(L105/$S105,5)</f>
        <v>9.9210000000000007E-2</v>
      </c>
      <c r="M106" s="28">
        <f t="shared" ref="M106" si="316">ROUND(M105/$S105,5)</f>
        <v>3.1350000000000003E-2</v>
      </c>
      <c r="N106" s="28">
        <f t="shared" ref="N106" si="317">ROUND(N105/$S105,5)</f>
        <v>7.3529999999999998E-2</v>
      </c>
      <c r="O106" s="28">
        <f t="shared" ref="O106" si="318">ROUND(O105/$S105,5)</f>
        <v>0.12883</v>
      </c>
      <c r="P106" s="28">
        <f t="shared" ref="P106" si="319">ROUND(P105/$S105,5)</f>
        <v>0.12909000000000001</v>
      </c>
      <c r="Q106" s="28">
        <f t="shared" ref="Q106" si="320">ROUND(Q105/$S105,5)</f>
        <v>4.0230000000000002E-2</v>
      </c>
      <c r="R106" s="28">
        <f t="shared" ref="R106" si="321">ROUND(R105/$S105,5)</f>
        <v>5.4989999999999997E-2</v>
      </c>
      <c r="S106" s="28">
        <f>SUM(D106:R106)</f>
        <v>1</v>
      </c>
    </row>
    <row r="107" spans="1:22" x14ac:dyDescent="0.2">
      <c r="A107" s="1">
        <f t="shared" si="165"/>
        <v>107</v>
      </c>
      <c r="U107" t="s">
        <v>204</v>
      </c>
      <c r="V107" s="5">
        <v>71906053</v>
      </c>
    </row>
    <row r="108" spans="1:22" x14ac:dyDescent="0.2">
      <c r="A108" s="1">
        <f t="shared" si="165"/>
        <v>108</v>
      </c>
      <c r="B108" t="s">
        <v>129</v>
      </c>
      <c r="C108" s="5">
        <f>'Calculation on 58MW'!M40</f>
        <v>349160</v>
      </c>
      <c r="D108" s="5">
        <f>ROUND($C108*D104,0)</f>
        <v>9864</v>
      </c>
      <c r="E108" s="5">
        <f t="shared" ref="E108" si="322">ROUND($C108*E104,0)</f>
        <v>45258</v>
      </c>
      <c r="F108" s="5">
        <f>ROUND($C108*F104,0)</f>
        <v>19260</v>
      </c>
      <c r="G108" s="5">
        <f t="shared" ref="G108:R108" si="323">ROUND($C108*G104,0)</f>
        <v>20649</v>
      </c>
      <c r="H108" s="5">
        <f t="shared" si="323"/>
        <v>19078</v>
      </c>
      <c r="I108" s="5">
        <f t="shared" si="323"/>
        <v>19309</v>
      </c>
      <c r="J108" s="5">
        <f t="shared" si="323"/>
        <v>9567</v>
      </c>
      <c r="K108" s="5">
        <f t="shared" si="323"/>
        <v>18750</v>
      </c>
      <c r="L108" s="5">
        <f t="shared" si="323"/>
        <v>39172</v>
      </c>
      <c r="M108" s="5">
        <f t="shared" si="323"/>
        <v>10869</v>
      </c>
      <c r="N108" s="5">
        <f t="shared" si="323"/>
        <v>25241</v>
      </c>
      <c r="O108" s="5">
        <f t="shared" si="323"/>
        <v>38237</v>
      </c>
      <c r="P108" s="5">
        <f t="shared" si="323"/>
        <v>40255</v>
      </c>
      <c r="Q108" s="5">
        <f t="shared" si="323"/>
        <v>13341</v>
      </c>
      <c r="R108" s="5">
        <f t="shared" si="323"/>
        <v>20314</v>
      </c>
      <c r="S108" s="5">
        <f>SUM(D108:R108)</f>
        <v>349164</v>
      </c>
    </row>
    <row r="109" spans="1:22" x14ac:dyDescent="0.2">
      <c r="A109" s="1">
        <f t="shared" si="165"/>
        <v>109</v>
      </c>
      <c r="B109" t="s">
        <v>130</v>
      </c>
      <c r="C109" s="5">
        <f>ROUND(('Calculation on 58MW'!N40+'Calculation on 58MW'!O40)*V109,0)</f>
        <v>1098734</v>
      </c>
      <c r="D109" s="5">
        <f>ROUND($C109*D106,0)</f>
        <v>28985</v>
      </c>
      <c r="E109" s="5">
        <f t="shared" ref="E109" si="324">ROUND($C109*E106,0)</f>
        <v>135342</v>
      </c>
      <c r="F109" s="5">
        <f>ROUND($C109*F106,0)</f>
        <v>56585</v>
      </c>
      <c r="G109" s="5">
        <f t="shared" ref="G109:R109" si="325">ROUND($C109*G106,0)</f>
        <v>61892</v>
      </c>
      <c r="H109" s="5">
        <f t="shared" si="325"/>
        <v>61947</v>
      </c>
      <c r="I109" s="5">
        <f t="shared" si="325"/>
        <v>59738</v>
      </c>
      <c r="J109" s="5">
        <f t="shared" si="325"/>
        <v>30127</v>
      </c>
      <c r="K109" s="5">
        <f t="shared" si="325"/>
        <v>51871</v>
      </c>
      <c r="L109" s="5">
        <f t="shared" si="325"/>
        <v>109005</v>
      </c>
      <c r="M109" s="5">
        <f t="shared" si="325"/>
        <v>34445</v>
      </c>
      <c r="N109" s="5">
        <f t="shared" si="325"/>
        <v>80790</v>
      </c>
      <c r="O109" s="5">
        <f t="shared" si="325"/>
        <v>141550</v>
      </c>
      <c r="P109" s="5">
        <f t="shared" si="325"/>
        <v>141836</v>
      </c>
      <c r="Q109" s="5">
        <f t="shared" si="325"/>
        <v>44202</v>
      </c>
      <c r="R109" s="5">
        <f t="shared" si="325"/>
        <v>60419</v>
      </c>
      <c r="S109" s="5">
        <f>SUM(D109:R109)</f>
        <v>1098734</v>
      </c>
      <c r="U109" t="s">
        <v>205</v>
      </c>
      <c r="V109" s="28">
        <f>ROUND(V105/V107,5)</f>
        <v>0.55581999999999998</v>
      </c>
    </row>
    <row r="110" spans="1:22" x14ac:dyDescent="0.2">
      <c r="A110" s="1">
        <f t="shared" si="165"/>
        <v>110</v>
      </c>
    </row>
    <row r="111" spans="1:22" x14ac:dyDescent="0.2">
      <c r="A111" s="1">
        <f t="shared" si="165"/>
        <v>111</v>
      </c>
      <c r="B111" t="s">
        <v>22</v>
      </c>
    </row>
    <row r="112" spans="1:22" x14ac:dyDescent="0.2">
      <c r="A112" s="1">
        <f t="shared" si="165"/>
        <v>112</v>
      </c>
      <c r="B112" t="s">
        <v>125</v>
      </c>
      <c r="D112" s="1">
        <v>45113</v>
      </c>
      <c r="E112" s="1">
        <v>210505</v>
      </c>
      <c r="F112" s="1">
        <v>87548</v>
      </c>
      <c r="G112" s="1">
        <v>89575</v>
      </c>
      <c r="H112" s="1">
        <v>82904</v>
      </c>
      <c r="I112" s="1">
        <v>84651</v>
      </c>
      <c r="J112" s="1">
        <v>41236</v>
      </c>
      <c r="K112" s="1">
        <v>85270</v>
      </c>
      <c r="L112" s="1">
        <v>175149</v>
      </c>
      <c r="M112" s="1">
        <v>47713</v>
      </c>
      <c r="N112" s="1">
        <v>120394</v>
      </c>
      <c r="O112" s="1">
        <v>169876</v>
      </c>
      <c r="P112" s="1">
        <f>186954-1779</f>
        <v>185175</v>
      </c>
      <c r="Q112" s="1">
        <v>59509</v>
      </c>
      <c r="R112" s="1">
        <v>90231</v>
      </c>
      <c r="S112" s="1">
        <f>SUM(D112:R112)</f>
        <v>1574849</v>
      </c>
      <c r="U112" t="s">
        <v>202</v>
      </c>
      <c r="V112" s="5">
        <f>42272507+8935711</f>
        <v>51208218</v>
      </c>
    </row>
    <row r="113" spans="1:22" x14ac:dyDescent="0.2">
      <c r="A113" s="1">
        <f t="shared" si="165"/>
        <v>113</v>
      </c>
      <c r="B113" t="s">
        <v>126</v>
      </c>
      <c r="D113" s="28">
        <f>ROUND(D112/$S112,5)</f>
        <v>2.8649999999999998E-2</v>
      </c>
      <c r="E113" s="28">
        <f t="shared" ref="E113" si="326">ROUND(E112/$S112,5)</f>
        <v>0.13367000000000001</v>
      </c>
      <c r="F113" s="28">
        <f t="shared" ref="F113" si="327">ROUND(F112/$S112,5)</f>
        <v>5.5590000000000001E-2</v>
      </c>
      <c r="G113" s="28">
        <f t="shared" ref="G113" si="328">ROUND(G112/$S112,5)</f>
        <v>5.688E-2</v>
      </c>
      <c r="H113" s="28">
        <f t="shared" ref="H113" si="329">ROUND(H112/$S112,5)</f>
        <v>5.2639999999999999E-2</v>
      </c>
      <c r="I113" s="28">
        <f t="shared" ref="I113" si="330">ROUND(I112/$S112,5)</f>
        <v>5.3749999999999999E-2</v>
      </c>
      <c r="J113" s="28">
        <f t="shared" ref="J113" si="331">ROUND(J112/$S112,5)</f>
        <v>2.6179999999999998E-2</v>
      </c>
      <c r="K113" s="28">
        <f t="shared" ref="K113" si="332">ROUND(K112/$S112,5)</f>
        <v>5.4140000000000001E-2</v>
      </c>
      <c r="L113" s="28">
        <f t="shared" ref="L113" si="333">ROUND(L112/$S112,5)</f>
        <v>0.11122</v>
      </c>
      <c r="M113" s="28">
        <f t="shared" ref="M113" si="334">ROUND(M112/$S112,5)</f>
        <v>3.0300000000000001E-2</v>
      </c>
      <c r="N113" s="28">
        <f t="shared" ref="N113" si="335">ROUND(N112/$S112,5)</f>
        <v>7.6450000000000004E-2</v>
      </c>
      <c r="O113" s="28">
        <f t="shared" ref="O113" si="336">ROUND(O112/$S112,5)</f>
        <v>0.10786999999999999</v>
      </c>
      <c r="P113" s="28">
        <f t="shared" ref="P113" si="337">ROUND(P112/$S112,5)</f>
        <v>0.11758</v>
      </c>
      <c r="Q113" s="28">
        <f t="shared" ref="Q113" si="338">ROUND(Q112/$S112,5)</f>
        <v>3.7789999999999997E-2</v>
      </c>
      <c r="R113" s="28">
        <f t="shared" ref="R113" si="339">ROUND(R112/$S112,5)</f>
        <v>5.7299999999999997E-2</v>
      </c>
      <c r="S113" s="28">
        <f>SUM(D113:R113)</f>
        <v>1.0000100000000001</v>
      </c>
      <c r="U113" t="s">
        <v>201</v>
      </c>
      <c r="V113" s="29">
        <v>10251805</v>
      </c>
    </row>
    <row r="114" spans="1:22" x14ac:dyDescent="0.2">
      <c r="A114" s="1">
        <f t="shared" si="165"/>
        <v>114</v>
      </c>
      <c r="B114" t="s">
        <v>127</v>
      </c>
      <c r="D114" s="1">
        <v>18917333</v>
      </c>
      <c r="E114" s="1">
        <v>84776471</v>
      </c>
      <c r="F114" s="1">
        <v>36444480</v>
      </c>
      <c r="G114" s="1">
        <v>37417931</v>
      </c>
      <c r="H114" s="1">
        <v>36033482</v>
      </c>
      <c r="I114" s="1">
        <v>37179126</v>
      </c>
      <c r="J114" s="1">
        <v>18999929</v>
      </c>
      <c r="K114" s="1">
        <v>34033262</v>
      </c>
      <c r="L114" s="1">
        <v>68926605</v>
      </c>
      <c r="M114" s="1">
        <v>21382734</v>
      </c>
      <c r="N114" s="1">
        <v>48365521</v>
      </c>
      <c r="O114" s="1">
        <v>81937399</v>
      </c>
      <c r="P114" s="1">
        <f>82749748-1169780</f>
        <v>81579968</v>
      </c>
      <c r="Q114" s="1">
        <v>27077331</v>
      </c>
      <c r="R114" s="1">
        <v>36254433</v>
      </c>
      <c r="S114" s="1">
        <f>SUM(D114:R114)</f>
        <v>669326005</v>
      </c>
      <c r="U114" t="s">
        <v>203</v>
      </c>
      <c r="V114" s="5">
        <f>V112-V113</f>
        <v>40956413</v>
      </c>
    </row>
    <row r="115" spans="1:22" x14ac:dyDescent="0.2">
      <c r="A115" s="1">
        <f t="shared" si="165"/>
        <v>115</v>
      </c>
      <c r="B115" t="s">
        <v>128</v>
      </c>
      <c r="D115" s="28">
        <f>ROUND(D114/$S114,5)</f>
        <v>2.826E-2</v>
      </c>
      <c r="E115" s="28">
        <f t="shared" ref="E115" si="340">ROUND(E114/$S114,5)</f>
        <v>0.12665999999999999</v>
      </c>
      <c r="F115" s="28">
        <f t="shared" ref="F115" si="341">ROUND(F114/$S114,5)</f>
        <v>5.4449999999999998E-2</v>
      </c>
      <c r="G115" s="28">
        <f t="shared" ref="G115" si="342">ROUND(G114/$S114,5)</f>
        <v>5.5899999999999998E-2</v>
      </c>
      <c r="H115" s="28">
        <f t="shared" ref="H115" si="343">ROUND(H114/$S114,5)</f>
        <v>5.3839999999999999E-2</v>
      </c>
      <c r="I115" s="28">
        <f t="shared" ref="I115" si="344">ROUND(I114/$S114,5)</f>
        <v>5.5550000000000002E-2</v>
      </c>
      <c r="J115" s="28">
        <f t="shared" ref="J115" si="345">ROUND(J114/$S114,5)</f>
        <v>2.8389999999999999E-2</v>
      </c>
      <c r="K115" s="28">
        <f t="shared" ref="K115" si="346">ROUND(K114/$S114,5)</f>
        <v>5.0849999999999999E-2</v>
      </c>
      <c r="L115" s="28">
        <f t="shared" ref="L115" si="347">ROUND(L114/$S114,5)</f>
        <v>0.10298</v>
      </c>
      <c r="M115" s="28">
        <f t="shared" ref="M115" si="348">ROUND(M114/$S114,5)</f>
        <v>3.1949999999999999E-2</v>
      </c>
      <c r="N115" s="28">
        <f t="shared" ref="N115" si="349">ROUND(N114/$S114,5)</f>
        <v>7.2260000000000005E-2</v>
      </c>
      <c r="O115" s="28">
        <f t="shared" ref="O115" si="350">ROUND(O114/$S114,5)</f>
        <v>0.12242</v>
      </c>
      <c r="P115" s="28">
        <f t="shared" ref="P115" si="351">ROUND(P114/$S114,5)</f>
        <v>0.12188</v>
      </c>
      <c r="Q115" s="28">
        <f t="shared" ref="Q115" si="352">ROUND(Q114/$S114,5)</f>
        <v>4.045E-2</v>
      </c>
      <c r="R115" s="28">
        <f t="shared" ref="R115" si="353">ROUND(R114/$S114,5)</f>
        <v>5.4170000000000003E-2</v>
      </c>
      <c r="S115" s="28">
        <f>SUM(D115:R115)</f>
        <v>1.0000100000000001</v>
      </c>
    </row>
    <row r="116" spans="1:22" x14ac:dyDescent="0.2">
      <c r="A116" s="1">
        <f t="shared" si="165"/>
        <v>116</v>
      </c>
      <c r="U116" t="s">
        <v>204</v>
      </c>
      <c r="V116" s="5">
        <v>71289251</v>
      </c>
    </row>
    <row r="117" spans="1:22" x14ac:dyDescent="0.2">
      <c r="A117" s="1">
        <f t="shared" si="165"/>
        <v>117</v>
      </c>
      <c r="B117" t="s">
        <v>129</v>
      </c>
      <c r="C117" s="5">
        <f>'Calculation on 58MW'!M42</f>
        <v>349160</v>
      </c>
      <c r="D117" s="5">
        <f>ROUND($C117*D113,0)</f>
        <v>10003</v>
      </c>
      <c r="E117" s="5">
        <f t="shared" ref="E117" si="354">ROUND($C117*E113,0)</f>
        <v>46672</v>
      </c>
      <c r="F117" s="5">
        <f>ROUND($C117*F113,0)</f>
        <v>19410</v>
      </c>
      <c r="G117" s="5">
        <f t="shared" ref="G117:R117" si="355">ROUND($C117*G113,0)</f>
        <v>19860</v>
      </c>
      <c r="H117" s="5">
        <f t="shared" si="355"/>
        <v>18380</v>
      </c>
      <c r="I117" s="5">
        <f t="shared" si="355"/>
        <v>18767</v>
      </c>
      <c r="J117" s="5">
        <f t="shared" si="355"/>
        <v>9141</v>
      </c>
      <c r="K117" s="5">
        <f t="shared" si="355"/>
        <v>18904</v>
      </c>
      <c r="L117" s="5">
        <f t="shared" si="355"/>
        <v>38834</v>
      </c>
      <c r="M117" s="5">
        <f t="shared" si="355"/>
        <v>10580</v>
      </c>
      <c r="N117" s="5">
        <f t="shared" si="355"/>
        <v>26693</v>
      </c>
      <c r="O117" s="5">
        <f t="shared" si="355"/>
        <v>37664</v>
      </c>
      <c r="P117" s="5">
        <f t="shared" si="355"/>
        <v>41054</v>
      </c>
      <c r="Q117" s="5">
        <f t="shared" si="355"/>
        <v>13195</v>
      </c>
      <c r="R117" s="5">
        <f t="shared" si="355"/>
        <v>20007</v>
      </c>
      <c r="S117" s="5">
        <f>SUM(D117:R117)</f>
        <v>349164</v>
      </c>
    </row>
    <row r="118" spans="1:22" x14ac:dyDescent="0.2">
      <c r="A118" s="1">
        <f t="shared" si="165"/>
        <v>118</v>
      </c>
      <c r="B118" t="s">
        <v>130</v>
      </c>
      <c r="C118" s="5">
        <f>ROUND(('Calculation on 58MW'!N42+'Calculation on 58MW'!O42)*V118,0)</f>
        <v>1099045</v>
      </c>
      <c r="D118" s="5">
        <f>ROUND($C118*D115,0)</f>
        <v>31059</v>
      </c>
      <c r="E118" s="5">
        <f t="shared" ref="E118" si="356">ROUND($C118*E115,0)</f>
        <v>139205</v>
      </c>
      <c r="F118" s="5">
        <f>ROUND($C118*F115,0)</f>
        <v>59843</v>
      </c>
      <c r="G118" s="5">
        <f t="shared" ref="G118:R118" si="357">ROUND($C118*G115,0)</f>
        <v>61437</v>
      </c>
      <c r="H118" s="5">
        <f t="shared" si="357"/>
        <v>59173</v>
      </c>
      <c r="I118" s="5">
        <f t="shared" si="357"/>
        <v>61052</v>
      </c>
      <c r="J118" s="5">
        <f t="shared" si="357"/>
        <v>31202</v>
      </c>
      <c r="K118" s="5">
        <f t="shared" si="357"/>
        <v>55886</v>
      </c>
      <c r="L118" s="5">
        <f t="shared" si="357"/>
        <v>113180</v>
      </c>
      <c r="M118" s="5">
        <f t="shared" si="357"/>
        <v>35114</v>
      </c>
      <c r="N118" s="5">
        <f t="shared" si="357"/>
        <v>79417</v>
      </c>
      <c r="O118" s="5">
        <f t="shared" si="357"/>
        <v>134545</v>
      </c>
      <c r="P118" s="5">
        <f t="shared" si="357"/>
        <v>133952</v>
      </c>
      <c r="Q118" s="5">
        <f t="shared" si="357"/>
        <v>44456</v>
      </c>
      <c r="R118" s="5">
        <f t="shared" si="357"/>
        <v>59535</v>
      </c>
      <c r="S118" s="5">
        <f>SUM(D118:R118)</f>
        <v>1099056</v>
      </c>
      <c r="U118" t="s">
        <v>205</v>
      </c>
      <c r="V118" s="28">
        <f>ROUND(V114/V116,5)</f>
        <v>0.57450999999999997</v>
      </c>
    </row>
    <row r="119" spans="1:22" x14ac:dyDescent="0.2">
      <c r="A119" s="1">
        <f t="shared" si="165"/>
        <v>119</v>
      </c>
    </row>
    <row r="120" spans="1:22" x14ac:dyDescent="0.2">
      <c r="A120" s="1">
        <f t="shared" si="165"/>
        <v>120</v>
      </c>
      <c r="B120" t="s">
        <v>135</v>
      </c>
    </row>
    <row r="121" spans="1:22" x14ac:dyDescent="0.2">
      <c r="A121" s="1">
        <f t="shared" si="165"/>
        <v>121</v>
      </c>
      <c r="B121" t="s">
        <v>136</v>
      </c>
      <c r="C121" s="5">
        <f>C17+C26+C35+C44+C53+C62+C72+C81+C90+C99+C108+C117</f>
        <v>4189920</v>
      </c>
      <c r="D121" s="5">
        <f>D17+D26+D35+D44+D53+D62+D72+D81+D90+D99+D108+D117</f>
        <v>113193</v>
      </c>
      <c r="E121" s="5">
        <f t="shared" ref="E121:S121" si="358">E17+E26+E35+E44+E53+E62+E72+E81+E90+E99+E108+E117</f>
        <v>555965</v>
      </c>
      <c r="F121" s="5">
        <f t="shared" si="358"/>
        <v>225215</v>
      </c>
      <c r="G121" s="5">
        <f t="shared" si="358"/>
        <v>221250</v>
      </c>
      <c r="H121" s="5">
        <f t="shared" si="358"/>
        <v>223320</v>
      </c>
      <c r="I121" s="5">
        <f t="shared" si="358"/>
        <v>217766</v>
      </c>
      <c r="J121" s="5">
        <f t="shared" si="358"/>
        <v>112726</v>
      </c>
      <c r="K121" s="5">
        <f t="shared" si="358"/>
        <v>220994</v>
      </c>
      <c r="L121" s="5">
        <f t="shared" si="358"/>
        <v>426858</v>
      </c>
      <c r="M121" s="5">
        <f t="shared" si="358"/>
        <v>125143</v>
      </c>
      <c r="N121" s="5">
        <f t="shared" si="358"/>
        <v>322621</v>
      </c>
      <c r="O121" s="5">
        <f t="shared" si="358"/>
        <v>504261</v>
      </c>
      <c r="P121" s="5">
        <f t="shared" si="358"/>
        <v>526167</v>
      </c>
      <c r="Q121" s="5">
        <f t="shared" si="358"/>
        <v>164883</v>
      </c>
      <c r="R121" s="5">
        <f t="shared" si="358"/>
        <v>229577</v>
      </c>
      <c r="S121" s="5">
        <f t="shared" si="358"/>
        <v>4189939</v>
      </c>
    </row>
    <row r="122" spans="1:22" x14ac:dyDescent="0.2">
      <c r="A122" s="1">
        <f t="shared" si="165"/>
        <v>122</v>
      </c>
    </row>
    <row r="123" spans="1:22" x14ac:dyDescent="0.2">
      <c r="A123" s="1">
        <f t="shared" si="165"/>
        <v>123</v>
      </c>
      <c r="B123" t="s">
        <v>137</v>
      </c>
      <c r="C123" s="5">
        <f>C18+C27+C36+C45+C54+C63+C73+C82+C91+C100+C109+C118</f>
        <v>12265577</v>
      </c>
      <c r="D123" s="5">
        <f>D18+D27+D36+D45+D54+D63+D73+D82+D91+D100+D109+D118</f>
        <v>324798</v>
      </c>
      <c r="E123" s="5">
        <f t="shared" ref="E123:S123" si="359">E18+E27+E36+E45+E54+E63+E73+E82+E91+E100+E109+E118</f>
        <v>1555637</v>
      </c>
      <c r="F123" s="5">
        <f t="shared" si="359"/>
        <v>647062</v>
      </c>
      <c r="G123" s="5">
        <f t="shared" si="359"/>
        <v>663890</v>
      </c>
      <c r="H123" s="5">
        <f t="shared" si="359"/>
        <v>677103</v>
      </c>
      <c r="I123" s="5">
        <f t="shared" si="359"/>
        <v>655049</v>
      </c>
      <c r="J123" s="5">
        <f t="shared" si="359"/>
        <v>332854</v>
      </c>
      <c r="K123" s="5">
        <f t="shared" si="359"/>
        <v>598126</v>
      </c>
      <c r="L123" s="5">
        <f t="shared" si="359"/>
        <v>1209953</v>
      </c>
      <c r="M123" s="5">
        <f t="shared" si="359"/>
        <v>375487</v>
      </c>
      <c r="N123" s="5">
        <f t="shared" si="359"/>
        <v>906572</v>
      </c>
      <c r="O123" s="5">
        <f t="shared" si="359"/>
        <v>1574721</v>
      </c>
      <c r="P123" s="5">
        <f t="shared" si="359"/>
        <v>1582493</v>
      </c>
      <c r="Q123" s="5">
        <f t="shared" si="359"/>
        <v>494566</v>
      </c>
      <c r="R123" s="5">
        <f t="shared" si="359"/>
        <v>667270</v>
      </c>
      <c r="S123" s="5">
        <f t="shared" si="359"/>
        <v>12265581</v>
      </c>
    </row>
    <row r="124" spans="1:22" x14ac:dyDescent="0.2">
      <c r="A124" s="1">
        <f t="shared" si="165"/>
        <v>124</v>
      </c>
    </row>
    <row r="125" spans="1:22" x14ac:dyDescent="0.2">
      <c r="A125" s="1">
        <f t="shared" si="165"/>
        <v>125</v>
      </c>
      <c r="R125" t="s">
        <v>76</v>
      </c>
      <c r="S125" s="5">
        <f>S121+S123</f>
        <v>16455520</v>
      </c>
    </row>
    <row r="126" spans="1:22" x14ac:dyDescent="0.2">
      <c r="A126" s="1"/>
    </row>
    <row r="127" spans="1:22" x14ac:dyDescent="0.2">
      <c r="A127" s="1"/>
      <c r="Q127" t="s">
        <v>168</v>
      </c>
      <c r="S127" s="5">
        <f>'Calculation on 58MW'!P44</f>
        <v>28527456</v>
      </c>
    </row>
    <row r="128" spans="1:22" x14ac:dyDescent="0.2">
      <c r="A128" s="1"/>
    </row>
    <row r="129" spans="1:1" x14ac:dyDescent="0.2">
      <c r="A129" s="1"/>
    </row>
    <row r="130" spans="1:1" x14ac:dyDescent="0.2">
      <c r="A130" s="1"/>
    </row>
  </sheetData>
  <mergeCells count="1">
    <mergeCell ref="U9:V9"/>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7"/>
  <sheetViews>
    <sheetView zoomScale="80" zoomScaleNormal="80" workbookViewId="0">
      <pane xSplit="3" ySplit="9" topLeftCell="J10" activePane="bottomRight" state="frozen"/>
      <selection pane="topRight" activeCell="D1" sqref="D1"/>
      <selection pane="bottomLeft" activeCell="A10" sqref="A10"/>
      <selection pane="bottomRight" activeCell="V13" sqref="V13"/>
    </sheetView>
  </sheetViews>
  <sheetFormatPr defaultColWidth="15.625" defaultRowHeight="14.25" x14ac:dyDescent="0.2"/>
  <cols>
    <col min="1" max="1" width="4.625" customWidth="1"/>
    <col min="2" max="2" width="20.625" customWidth="1"/>
    <col min="23" max="23" width="21.625" customWidth="1"/>
  </cols>
  <sheetData>
    <row r="1" spans="1:24" x14ac:dyDescent="0.2">
      <c r="A1" s="1">
        <v>1</v>
      </c>
      <c r="B1" t="str">
        <f>'FAC Recalc'!B1</f>
        <v>SoKentuckyAmend3-2017 58MW Var Adj.xlsx</v>
      </c>
    </row>
    <row r="2" spans="1:24" x14ac:dyDescent="0.2">
      <c r="A2" s="1">
        <f>A1+1</f>
        <v>2</v>
      </c>
      <c r="B2" t="s">
        <v>122</v>
      </c>
    </row>
    <row r="3" spans="1:24" x14ac:dyDescent="0.2">
      <c r="A3" s="1">
        <f t="shared" ref="A3:A66" si="0">A2+1</f>
        <v>3</v>
      </c>
    </row>
    <row r="4" spans="1:24" x14ac:dyDescent="0.2">
      <c r="A4" s="1">
        <f t="shared" si="0"/>
        <v>4</v>
      </c>
      <c r="B4" t="s">
        <v>123</v>
      </c>
    </row>
    <row r="5" spans="1:24" x14ac:dyDescent="0.2">
      <c r="A5" s="1">
        <f t="shared" si="0"/>
        <v>5</v>
      </c>
    </row>
    <row r="6" spans="1:24" ht="15" x14ac:dyDescent="0.25">
      <c r="A6" s="1">
        <f t="shared" si="0"/>
        <v>6</v>
      </c>
      <c r="B6" s="2" t="s">
        <v>138</v>
      </c>
    </row>
    <row r="7" spans="1:24" x14ac:dyDescent="0.2">
      <c r="A7" s="1">
        <f t="shared" si="0"/>
        <v>7</v>
      </c>
    </row>
    <row r="8" spans="1:24" x14ac:dyDescent="0.2">
      <c r="A8" s="1">
        <f t="shared" si="0"/>
        <v>8</v>
      </c>
      <c r="B8" s="19"/>
      <c r="C8" s="19" t="s">
        <v>78</v>
      </c>
      <c r="D8" s="19"/>
      <c r="E8" s="19"/>
      <c r="F8" s="19"/>
      <c r="G8" s="19" t="s">
        <v>132</v>
      </c>
      <c r="H8" s="19"/>
      <c r="I8" s="19"/>
      <c r="J8" s="19"/>
      <c r="K8" s="19"/>
      <c r="L8" s="19"/>
      <c r="M8" s="19"/>
      <c r="N8" s="19"/>
      <c r="O8" s="19"/>
      <c r="P8" s="19"/>
      <c r="Q8" s="19"/>
      <c r="R8" s="19"/>
      <c r="S8" s="19"/>
    </row>
    <row r="9" spans="1:24" ht="15" thickBot="1" x14ac:dyDescent="0.25">
      <c r="A9" s="1">
        <f t="shared" si="0"/>
        <v>9</v>
      </c>
      <c r="B9" s="4" t="s">
        <v>1</v>
      </c>
      <c r="C9" s="4" t="s">
        <v>131</v>
      </c>
      <c r="D9" s="4" t="s">
        <v>52</v>
      </c>
      <c r="E9" s="4" t="s">
        <v>53</v>
      </c>
      <c r="F9" s="4" t="s">
        <v>54</v>
      </c>
      <c r="G9" s="4" t="s">
        <v>133</v>
      </c>
      <c r="H9" s="4" t="s">
        <v>56</v>
      </c>
      <c r="I9" s="4" t="s">
        <v>134</v>
      </c>
      <c r="J9" s="4" t="s">
        <v>58</v>
      </c>
      <c r="K9" s="4" t="s">
        <v>59</v>
      </c>
      <c r="L9" s="4" t="s">
        <v>60</v>
      </c>
      <c r="M9" s="4" t="s">
        <v>61</v>
      </c>
      <c r="N9" s="4" t="s">
        <v>62</v>
      </c>
      <c r="O9" s="4" t="s">
        <v>63</v>
      </c>
      <c r="P9" s="4" t="s">
        <v>64</v>
      </c>
      <c r="Q9" s="4" t="s">
        <v>65</v>
      </c>
      <c r="R9" s="4" t="s">
        <v>66</v>
      </c>
      <c r="S9" s="4" t="s">
        <v>139</v>
      </c>
      <c r="T9" s="17" t="s">
        <v>78</v>
      </c>
      <c r="U9" s="17" t="s">
        <v>114</v>
      </c>
      <c r="W9" s="34" t="s">
        <v>200</v>
      </c>
      <c r="X9" s="36"/>
    </row>
    <row r="10" spans="1:24" x14ac:dyDescent="0.2">
      <c r="A10" s="1">
        <f t="shared" si="0"/>
        <v>10</v>
      </c>
    </row>
    <row r="11" spans="1:24" x14ac:dyDescent="0.2">
      <c r="A11" s="1">
        <f t="shared" si="0"/>
        <v>11</v>
      </c>
      <c r="B11" s="16" t="s">
        <v>49</v>
      </c>
    </row>
    <row r="12" spans="1:24" x14ac:dyDescent="0.2">
      <c r="A12" s="1">
        <f t="shared" si="0"/>
        <v>12</v>
      </c>
      <c r="B12" t="s">
        <v>125</v>
      </c>
      <c r="D12" s="1">
        <v>51893</v>
      </c>
      <c r="E12" s="1">
        <v>259882</v>
      </c>
      <c r="F12" s="1">
        <v>105521</v>
      </c>
      <c r="G12" s="1">
        <v>94906</v>
      </c>
      <c r="H12" s="1">
        <v>100826</v>
      </c>
      <c r="I12" s="1">
        <v>101208</v>
      </c>
      <c r="J12" s="1">
        <v>50654</v>
      </c>
      <c r="K12" s="1">
        <v>107309</v>
      </c>
      <c r="L12" s="1">
        <v>193053</v>
      </c>
      <c r="M12" s="1">
        <v>57592</v>
      </c>
      <c r="N12" s="1">
        <v>157319</v>
      </c>
      <c r="O12" s="1">
        <v>212549</v>
      </c>
      <c r="P12" s="1">
        <f>228405-1105</f>
        <v>227300</v>
      </c>
      <c r="Q12" s="1">
        <v>75195</v>
      </c>
      <c r="R12" s="1">
        <v>108521</v>
      </c>
      <c r="S12" s="1">
        <f>SUM(D12:R12)</f>
        <v>1903728</v>
      </c>
      <c r="T12" s="1">
        <f>288529-'Calculation on 58MW'!D20</f>
        <v>230529</v>
      </c>
      <c r="U12" s="1">
        <f>S12+T12</f>
        <v>2134257</v>
      </c>
      <c r="W12" t="s">
        <v>202</v>
      </c>
      <c r="X12" s="5">
        <f>55075143+9073363</f>
        <v>64148506</v>
      </c>
    </row>
    <row r="13" spans="1:24" x14ac:dyDescent="0.2">
      <c r="A13" s="1">
        <f t="shared" si="0"/>
        <v>13</v>
      </c>
      <c r="B13" t="s">
        <v>126</v>
      </c>
      <c r="D13" s="28">
        <f>ROUND(D12/$U12,5)</f>
        <v>2.4309999999999998E-2</v>
      </c>
      <c r="E13" s="28">
        <f t="shared" ref="E13:T13" si="1">ROUND(E12/$U12,5)</f>
        <v>0.12177</v>
      </c>
      <c r="F13" s="28">
        <f t="shared" si="1"/>
        <v>4.9439999999999998E-2</v>
      </c>
      <c r="G13" s="28">
        <f t="shared" si="1"/>
        <v>4.4470000000000003E-2</v>
      </c>
      <c r="H13" s="28">
        <f t="shared" si="1"/>
        <v>4.7239999999999997E-2</v>
      </c>
      <c r="I13" s="28">
        <f t="shared" si="1"/>
        <v>4.7419999999999997E-2</v>
      </c>
      <c r="J13" s="28">
        <f t="shared" si="1"/>
        <v>2.3730000000000001E-2</v>
      </c>
      <c r="K13" s="28">
        <f t="shared" si="1"/>
        <v>5.0279999999999998E-2</v>
      </c>
      <c r="L13" s="28">
        <f t="shared" si="1"/>
        <v>9.0450000000000003E-2</v>
      </c>
      <c r="M13" s="28">
        <f t="shared" si="1"/>
        <v>2.6980000000000001E-2</v>
      </c>
      <c r="N13" s="28">
        <f t="shared" si="1"/>
        <v>7.3709999999999998E-2</v>
      </c>
      <c r="O13" s="28">
        <f t="shared" si="1"/>
        <v>9.9589999999999998E-2</v>
      </c>
      <c r="P13" s="28">
        <f t="shared" si="1"/>
        <v>0.1065</v>
      </c>
      <c r="Q13" s="28">
        <f t="shared" si="1"/>
        <v>3.5229999999999997E-2</v>
      </c>
      <c r="R13" s="28">
        <f t="shared" si="1"/>
        <v>5.0849999999999999E-2</v>
      </c>
      <c r="S13" s="28">
        <f>SUM(D13:R13)</f>
        <v>0.89197000000000004</v>
      </c>
      <c r="T13" s="28">
        <f t="shared" si="1"/>
        <v>0.10800999999999999</v>
      </c>
      <c r="U13" s="28">
        <f>S13+T13</f>
        <v>0.99998000000000009</v>
      </c>
      <c r="W13" t="s">
        <v>201</v>
      </c>
      <c r="X13" s="29">
        <v>26580503</v>
      </c>
    </row>
    <row r="14" spans="1:24" x14ac:dyDescent="0.2">
      <c r="A14" s="1">
        <f t="shared" si="0"/>
        <v>14</v>
      </c>
      <c r="B14" t="s">
        <v>127</v>
      </c>
      <c r="D14" s="1">
        <v>23954645</v>
      </c>
      <c r="E14" s="1">
        <v>113599770</v>
      </c>
      <c r="F14" s="1">
        <v>47585118</v>
      </c>
      <c r="G14" s="1">
        <v>47179731</v>
      </c>
      <c r="H14" s="1">
        <v>46453205</v>
      </c>
      <c r="I14" s="1">
        <v>46843758</v>
      </c>
      <c r="J14" s="1">
        <v>23797171</v>
      </c>
      <c r="K14" s="1">
        <v>46812650</v>
      </c>
      <c r="L14" s="1">
        <v>91038878</v>
      </c>
      <c r="M14" s="1">
        <v>27148885</v>
      </c>
      <c r="N14" s="1">
        <v>65335740</v>
      </c>
      <c r="O14" s="1">
        <v>106067312</v>
      </c>
      <c r="P14" s="1">
        <f>105464880-1063707</f>
        <v>104401173</v>
      </c>
      <c r="Q14" s="1">
        <v>35280422</v>
      </c>
      <c r="R14" s="1">
        <v>47269516</v>
      </c>
      <c r="S14" s="1">
        <f>SUM(D14:R14)</f>
        <v>872767974</v>
      </c>
      <c r="T14" s="1">
        <f>123125591-'Calculation on 58MW'!E20</f>
        <v>79973591</v>
      </c>
      <c r="U14" s="1">
        <f>S14+T14</f>
        <v>952741565</v>
      </c>
      <c r="W14" t="s">
        <v>203</v>
      </c>
      <c r="X14" s="5">
        <f>X12-X13</f>
        <v>37568003</v>
      </c>
    </row>
    <row r="15" spans="1:24" x14ac:dyDescent="0.2">
      <c r="A15" s="1">
        <f t="shared" si="0"/>
        <v>15</v>
      </c>
      <c r="B15" t="s">
        <v>128</v>
      </c>
      <c r="D15" s="28">
        <f>ROUND(D14/$U14,5)</f>
        <v>2.5139999999999999E-2</v>
      </c>
      <c r="E15" s="28">
        <f t="shared" ref="E15:T15" si="2">ROUND(E14/$U14,5)</f>
        <v>0.11923</v>
      </c>
      <c r="F15" s="28">
        <f t="shared" si="2"/>
        <v>4.9950000000000001E-2</v>
      </c>
      <c r="G15" s="28">
        <f t="shared" si="2"/>
        <v>4.9520000000000002E-2</v>
      </c>
      <c r="H15" s="28">
        <f t="shared" si="2"/>
        <v>4.8759999999999998E-2</v>
      </c>
      <c r="I15" s="28">
        <f t="shared" si="2"/>
        <v>4.9169999999999998E-2</v>
      </c>
      <c r="J15" s="28">
        <f t="shared" si="2"/>
        <v>2.4979999999999999E-2</v>
      </c>
      <c r="K15" s="28">
        <f t="shared" si="2"/>
        <v>4.913E-2</v>
      </c>
      <c r="L15" s="28">
        <f t="shared" si="2"/>
        <v>9.5549999999999996E-2</v>
      </c>
      <c r="M15" s="28">
        <f t="shared" si="2"/>
        <v>2.8500000000000001E-2</v>
      </c>
      <c r="N15" s="28">
        <f t="shared" si="2"/>
        <v>6.8580000000000002E-2</v>
      </c>
      <c r="O15" s="28">
        <f t="shared" si="2"/>
        <v>0.11133</v>
      </c>
      <c r="P15" s="28">
        <f t="shared" si="2"/>
        <v>0.10958</v>
      </c>
      <c r="Q15" s="28">
        <f t="shared" si="2"/>
        <v>3.703E-2</v>
      </c>
      <c r="R15" s="28">
        <f t="shared" si="2"/>
        <v>4.9610000000000001E-2</v>
      </c>
      <c r="S15" s="28">
        <f>SUM(D15:R15)</f>
        <v>0.91605999999999999</v>
      </c>
      <c r="T15" s="28">
        <f t="shared" si="2"/>
        <v>8.3940000000000001E-2</v>
      </c>
      <c r="U15" s="28">
        <f>S15+T15</f>
        <v>1</v>
      </c>
    </row>
    <row r="16" spans="1:24" x14ac:dyDescent="0.2">
      <c r="A16" s="1">
        <f t="shared" si="0"/>
        <v>16</v>
      </c>
      <c r="W16" t="s">
        <v>204</v>
      </c>
      <c r="X16" s="5">
        <v>85959069</v>
      </c>
    </row>
    <row r="17" spans="1:24" x14ac:dyDescent="0.2">
      <c r="A17" s="1">
        <f t="shared" si="0"/>
        <v>17</v>
      </c>
      <c r="B17" t="s">
        <v>129</v>
      </c>
      <c r="C17" s="5">
        <f>'Calculation on 58MW'!M20</f>
        <v>349160</v>
      </c>
      <c r="D17" s="5">
        <f>ROUND($C17*D13,0)</f>
        <v>8488</v>
      </c>
      <c r="E17" s="5">
        <f t="shared" ref="E17:R17" si="3">ROUND($C17*E13,0)</f>
        <v>42517</v>
      </c>
      <c r="F17" s="5">
        <f>ROUND($C17*F13,0)</f>
        <v>17262</v>
      </c>
      <c r="G17" s="5">
        <f t="shared" si="3"/>
        <v>15527</v>
      </c>
      <c r="H17" s="5">
        <f t="shared" si="3"/>
        <v>16494</v>
      </c>
      <c r="I17" s="5">
        <f t="shared" si="3"/>
        <v>16557</v>
      </c>
      <c r="J17" s="5">
        <f t="shared" si="3"/>
        <v>8286</v>
      </c>
      <c r="K17" s="5">
        <f t="shared" si="3"/>
        <v>17556</v>
      </c>
      <c r="L17" s="5">
        <f t="shared" si="3"/>
        <v>31582</v>
      </c>
      <c r="M17" s="5">
        <f t="shared" si="3"/>
        <v>9420</v>
      </c>
      <c r="N17" s="5">
        <f t="shared" si="3"/>
        <v>25737</v>
      </c>
      <c r="O17" s="5">
        <f t="shared" si="3"/>
        <v>34773</v>
      </c>
      <c r="P17" s="5">
        <f t="shared" si="3"/>
        <v>37186</v>
      </c>
      <c r="Q17" s="5">
        <f t="shared" si="3"/>
        <v>12301</v>
      </c>
      <c r="R17" s="5">
        <f t="shared" si="3"/>
        <v>17755</v>
      </c>
      <c r="S17" s="5">
        <f>SUM(D17:R17)</f>
        <v>311441</v>
      </c>
      <c r="T17" s="5">
        <f t="shared" ref="T17" si="4">ROUND($C17*T13,0)</f>
        <v>37713</v>
      </c>
      <c r="U17" s="5">
        <f>S17+T17</f>
        <v>349154</v>
      </c>
    </row>
    <row r="18" spans="1:24" x14ac:dyDescent="0.2">
      <c r="A18" s="1">
        <f t="shared" si="0"/>
        <v>18</v>
      </c>
      <c r="B18" t="s">
        <v>130</v>
      </c>
      <c r="C18" s="5">
        <f>ROUND(('Calculation on 58MW'!N20+'Calculation on 58MW'!O20)*X18,0)</f>
        <v>908838</v>
      </c>
      <c r="D18" s="5">
        <f>ROUND($C18*D15,0)</f>
        <v>22848</v>
      </c>
      <c r="E18" s="5">
        <f t="shared" ref="E18:R18" si="5">ROUND($C18*E15,0)</f>
        <v>108361</v>
      </c>
      <c r="F18" s="5">
        <f>ROUND($C18*F15,0)</f>
        <v>45396</v>
      </c>
      <c r="G18" s="5">
        <f t="shared" si="5"/>
        <v>45006</v>
      </c>
      <c r="H18" s="5">
        <f t="shared" si="5"/>
        <v>44315</v>
      </c>
      <c r="I18" s="5">
        <f t="shared" si="5"/>
        <v>44688</v>
      </c>
      <c r="J18" s="5">
        <f t="shared" si="5"/>
        <v>22703</v>
      </c>
      <c r="K18" s="5">
        <f t="shared" si="5"/>
        <v>44651</v>
      </c>
      <c r="L18" s="5">
        <f t="shared" si="5"/>
        <v>86839</v>
      </c>
      <c r="M18" s="5">
        <f t="shared" si="5"/>
        <v>25902</v>
      </c>
      <c r="N18" s="5">
        <f t="shared" si="5"/>
        <v>62328</v>
      </c>
      <c r="O18" s="5">
        <f t="shared" si="5"/>
        <v>101181</v>
      </c>
      <c r="P18" s="5">
        <f t="shared" si="5"/>
        <v>99590</v>
      </c>
      <c r="Q18" s="5">
        <f t="shared" si="5"/>
        <v>33654</v>
      </c>
      <c r="R18" s="5">
        <f t="shared" si="5"/>
        <v>45087</v>
      </c>
      <c r="S18" s="5">
        <f>SUM(D18:R18)</f>
        <v>832549</v>
      </c>
      <c r="T18" s="5">
        <f t="shared" ref="T18" si="6">ROUND($C18*T15,0)</f>
        <v>76288</v>
      </c>
      <c r="U18" s="5">
        <f>S18+T18</f>
        <v>908837</v>
      </c>
      <c r="W18" t="s">
        <v>205</v>
      </c>
      <c r="X18" s="28">
        <f>ROUND(X14/X16,5)</f>
        <v>0.43704999999999999</v>
      </c>
    </row>
    <row r="19" spans="1:24" x14ac:dyDescent="0.2">
      <c r="A19" s="1">
        <f t="shared" si="0"/>
        <v>19</v>
      </c>
    </row>
    <row r="20" spans="1:24" x14ac:dyDescent="0.2">
      <c r="A20" s="1">
        <f t="shared" si="0"/>
        <v>20</v>
      </c>
      <c r="B20" t="s">
        <v>12</v>
      </c>
    </row>
    <row r="21" spans="1:24" x14ac:dyDescent="0.2">
      <c r="A21" s="1">
        <f t="shared" si="0"/>
        <v>21</v>
      </c>
      <c r="B21" t="s">
        <v>125</v>
      </c>
      <c r="D21" s="1">
        <v>56265</v>
      </c>
      <c r="E21" s="1">
        <v>292425</v>
      </c>
      <c r="F21" s="1">
        <v>113618</v>
      </c>
      <c r="G21" s="1">
        <v>109649</v>
      </c>
      <c r="H21" s="1">
        <v>110305</v>
      </c>
      <c r="I21" s="1">
        <v>103183</v>
      </c>
      <c r="J21" s="1">
        <v>54300</v>
      </c>
      <c r="K21" s="1">
        <v>129420</v>
      </c>
      <c r="L21" s="1">
        <v>224676</v>
      </c>
      <c r="M21" s="1">
        <v>58660</v>
      </c>
      <c r="N21" s="1">
        <v>178236</v>
      </c>
      <c r="O21" s="1">
        <v>214151</v>
      </c>
      <c r="P21" s="1">
        <f>247736-1539</f>
        <v>246197</v>
      </c>
      <c r="Q21" s="1">
        <v>80729</v>
      </c>
      <c r="R21" s="1">
        <v>123473</v>
      </c>
      <c r="S21" s="1">
        <f>SUM(D21:R21)</f>
        <v>2095287</v>
      </c>
      <c r="T21" s="1">
        <f>340769-'Calculation on 58MW'!D22</f>
        <v>282769</v>
      </c>
      <c r="U21" s="1">
        <f>S21+T21</f>
        <v>2378056</v>
      </c>
      <c r="W21" t="s">
        <v>202</v>
      </c>
      <c r="X21" s="5">
        <f>50066162+4152689</f>
        <v>54218851</v>
      </c>
    </row>
    <row r="22" spans="1:24" x14ac:dyDescent="0.2">
      <c r="A22" s="1">
        <f t="shared" si="0"/>
        <v>22</v>
      </c>
      <c r="B22" t="s">
        <v>126</v>
      </c>
      <c r="D22" s="28">
        <f>ROUND(D21/$U21,5)</f>
        <v>2.366E-2</v>
      </c>
      <c r="E22" s="28">
        <f t="shared" ref="E22" si="7">ROUND(E21/$U21,5)</f>
        <v>0.12297</v>
      </c>
      <c r="F22" s="28">
        <f t="shared" ref="F22" si="8">ROUND(F21/$U21,5)</f>
        <v>4.7780000000000003E-2</v>
      </c>
      <c r="G22" s="28">
        <f t="shared" ref="G22" si="9">ROUND(G21/$U21,5)</f>
        <v>4.6109999999999998E-2</v>
      </c>
      <c r="H22" s="28">
        <f t="shared" ref="H22" si="10">ROUND(H21/$U21,5)</f>
        <v>4.6379999999999998E-2</v>
      </c>
      <c r="I22" s="28">
        <f t="shared" ref="I22" si="11">ROUND(I21/$U21,5)</f>
        <v>4.3389999999999998E-2</v>
      </c>
      <c r="J22" s="28">
        <f t="shared" ref="J22" si="12">ROUND(J21/$U21,5)</f>
        <v>2.283E-2</v>
      </c>
      <c r="K22" s="28">
        <f t="shared" ref="K22" si="13">ROUND(K21/$U21,5)</f>
        <v>5.4420000000000003E-2</v>
      </c>
      <c r="L22" s="28">
        <f t="shared" ref="L22" si="14">ROUND(L21/$U21,5)</f>
        <v>9.4479999999999995E-2</v>
      </c>
      <c r="M22" s="28">
        <f t="shared" ref="M22" si="15">ROUND(M21/$U21,5)</f>
        <v>2.4670000000000001E-2</v>
      </c>
      <c r="N22" s="28">
        <f t="shared" ref="N22" si="16">ROUND(N21/$U21,5)</f>
        <v>7.4950000000000003E-2</v>
      </c>
      <c r="O22" s="28">
        <f t="shared" ref="O22" si="17">ROUND(O21/$U21,5)</f>
        <v>9.0050000000000005E-2</v>
      </c>
      <c r="P22" s="28">
        <f t="shared" ref="P22" si="18">ROUND(P21/$U21,5)</f>
        <v>0.10353</v>
      </c>
      <c r="Q22" s="28">
        <f t="shared" ref="Q22" si="19">ROUND(Q21/$U21,5)</f>
        <v>3.3950000000000001E-2</v>
      </c>
      <c r="R22" s="28">
        <f t="shared" ref="R22" si="20">ROUND(R21/$U21,5)</f>
        <v>5.1920000000000001E-2</v>
      </c>
      <c r="S22" s="28">
        <f>SUM(D22:R22)</f>
        <v>0.88108999999999982</v>
      </c>
      <c r="T22" s="28">
        <f t="shared" ref="T22" si="21">ROUND(T21/$U21,5)</f>
        <v>0.11891</v>
      </c>
      <c r="U22" s="28">
        <f>S22+T22</f>
        <v>0.99999999999999978</v>
      </c>
      <c r="W22" t="s">
        <v>201</v>
      </c>
      <c r="X22" s="29">
        <v>19889789</v>
      </c>
    </row>
    <row r="23" spans="1:24" x14ac:dyDescent="0.2">
      <c r="A23" s="1">
        <f t="shared" si="0"/>
        <v>23</v>
      </c>
      <c r="B23" t="s">
        <v>127</v>
      </c>
      <c r="D23" s="1">
        <v>22094730</v>
      </c>
      <c r="E23" s="1">
        <v>107323960</v>
      </c>
      <c r="F23" s="1">
        <v>44518120</v>
      </c>
      <c r="G23" s="1">
        <v>43870038</v>
      </c>
      <c r="H23" s="1">
        <v>43302743</v>
      </c>
      <c r="I23" s="1">
        <v>44752696</v>
      </c>
      <c r="J23" s="1">
        <v>22237788</v>
      </c>
      <c r="K23" s="1">
        <v>43527766</v>
      </c>
      <c r="L23" s="1">
        <v>84470673</v>
      </c>
      <c r="M23" s="1">
        <v>25192068</v>
      </c>
      <c r="N23" s="1">
        <v>61052937</v>
      </c>
      <c r="O23" s="1">
        <v>99961152</v>
      </c>
      <c r="P23" s="1">
        <f>99160646-947103</f>
        <v>98213543</v>
      </c>
      <c r="Q23" s="1">
        <v>33376872</v>
      </c>
      <c r="R23" s="1">
        <v>43980977</v>
      </c>
      <c r="S23" s="1">
        <f>SUM(D23:R23)</f>
        <v>817876063</v>
      </c>
      <c r="T23" s="1">
        <f>114636233-'Calculation on 58MW'!E22</f>
        <v>71484233</v>
      </c>
      <c r="U23" s="1">
        <f>S23+T23</f>
        <v>889360296</v>
      </c>
      <c r="W23" t="s">
        <v>203</v>
      </c>
      <c r="X23" s="5">
        <f>X21-X22</f>
        <v>34329062</v>
      </c>
    </row>
    <row r="24" spans="1:24" x14ac:dyDescent="0.2">
      <c r="A24" s="1">
        <f t="shared" si="0"/>
        <v>24</v>
      </c>
      <c r="B24" t="s">
        <v>128</v>
      </c>
      <c r="D24" s="28">
        <f>ROUND(D23/$U23,5)</f>
        <v>2.4840000000000001E-2</v>
      </c>
      <c r="E24" s="28">
        <f t="shared" ref="E24" si="22">ROUND(E23/$U23,5)</f>
        <v>0.12068</v>
      </c>
      <c r="F24" s="28">
        <f t="shared" ref="F24" si="23">ROUND(F23/$U23,5)</f>
        <v>5.006E-2</v>
      </c>
      <c r="G24" s="28">
        <f t="shared" ref="G24" si="24">ROUND(G23/$U23,5)</f>
        <v>4.9329999999999999E-2</v>
      </c>
      <c r="H24" s="28">
        <f t="shared" ref="H24" si="25">ROUND(H23/$U23,5)</f>
        <v>4.8689999999999997E-2</v>
      </c>
      <c r="I24" s="28">
        <f t="shared" ref="I24" si="26">ROUND(I23/$U23,5)</f>
        <v>5.0319999999999997E-2</v>
      </c>
      <c r="J24" s="28">
        <f t="shared" ref="J24" si="27">ROUND(J23/$U23,5)</f>
        <v>2.5000000000000001E-2</v>
      </c>
      <c r="K24" s="28">
        <f t="shared" ref="K24" si="28">ROUND(K23/$U23,5)</f>
        <v>4.8939999999999997E-2</v>
      </c>
      <c r="L24" s="28">
        <f t="shared" ref="L24" si="29">ROUND(L23/$U23,5)</f>
        <v>9.4979999999999995E-2</v>
      </c>
      <c r="M24" s="28">
        <f t="shared" ref="M24" si="30">ROUND(M23/$U23,5)</f>
        <v>2.8330000000000001E-2</v>
      </c>
      <c r="N24" s="28">
        <f t="shared" ref="N24" si="31">ROUND(N23/$U23,5)</f>
        <v>6.8650000000000003E-2</v>
      </c>
      <c r="O24" s="28">
        <f t="shared" ref="O24" si="32">ROUND(O23/$U23,5)</f>
        <v>0.1124</v>
      </c>
      <c r="P24" s="28">
        <f t="shared" ref="P24" si="33">ROUND(P23/$U23,5)</f>
        <v>0.11043</v>
      </c>
      <c r="Q24" s="28">
        <f t="shared" ref="Q24" si="34">ROUND(Q23/$U23,5)</f>
        <v>3.7530000000000001E-2</v>
      </c>
      <c r="R24" s="28">
        <f t="shared" ref="R24" si="35">ROUND(R23/$U23,5)</f>
        <v>4.9450000000000001E-2</v>
      </c>
      <c r="S24" s="28">
        <f>SUM(D24:R24)</f>
        <v>0.91962999999999984</v>
      </c>
      <c r="T24" s="28">
        <f t="shared" ref="T24" si="36">ROUND(T23/$U23,5)</f>
        <v>8.0379999999999993E-2</v>
      </c>
      <c r="U24" s="28">
        <f>S24+T24</f>
        <v>1.0000099999999998</v>
      </c>
    </row>
    <row r="25" spans="1:24" x14ac:dyDescent="0.2">
      <c r="A25" s="1">
        <f t="shared" si="0"/>
        <v>25</v>
      </c>
      <c r="W25" t="s">
        <v>204</v>
      </c>
      <c r="X25" s="5">
        <v>73192706</v>
      </c>
    </row>
    <row r="26" spans="1:24" x14ac:dyDescent="0.2">
      <c r="A26" s="1">
        <f t="shared" si="0"/>
        <v>26</v>
      </c>
      <c r="B26" t="s">
        <v>129</v>
      </c>
      <c r="C26" s="5">
        <f>'Calculation on 58MW'!M22</f>
        <v>349160</v>
      </c>
      <c r="D26" s="5">
        <f>ROUND($C26*D22,0)</f>
        <v>8261</v>
      </c>
      <c r="E26" s="5">
        <f t="shared" ref="E26" si="37">ROUND($C26*E22,0)</f>
        <v>42936</v>
      </c>
      <c r="F26" s="5">
        <f>ROUND($C26*F22,0)</f>
        <v>16683</v>
      </c>
      <c r="G26" s="5">
        <f t="shared" ref="G26:R26" si="38">ROUND($C26*G22,0)</f>
        <v>16100</v>
      </c>
      <c r="H26" s="5">
        <f t="shared" si="38"/>
        <v>16194</v>
      </c>
      <c r="I26" s="5">
        <f t="shared" si="38"/>
        <v>15150</v>
      </c>
      <c r="J26" s="5">
        <f t="shared" si="38"/>
        <v>7971</v>
      </c>
      <c r="K26" s="5">
        <f t="shared" si="38"/>
        <v>19001</v>
      </c>
      <c r="L26" s="5">
        <f t="shared" si="38"/>
        <v>32989</v>
      </c>
      <c r="M26" s="5">
        <f t="shared" si="38"/>
        <v>8614</v>
      </c>
      <c r="N26" s="5">
        <f t="shared" si="38"/>
        <v>26170</v>
      </c>
      <c r="O26" s="5">
        <f t="shared" si="38"/>
        <v>31442</v>
      </c>
      <c r="P26" s="5">
        <f t="shared" si="38"/>
        <v>36149</v>
      </c>
      <c r="Q26" s="5">
        <f t="shared" si="38"/>
        <v>11854</v>
      </c>
      <c r="R26" s="5">
        <f t="shared" si="38"/>
        <v>18128</v>
      </c>
      <c r="S26" s="5">
        <f>SUM(D26:R26)</f>
        <v>307642</v>
      </c>
      <c r="T26" s="5">
        <f t="shared" ref="T26" si="39">ROUND($C26*T22,0)</f>
        <v>41519</v>
      </c>
      <c r="U26" s="5">
        <f>S26+T26</f>
        <v>349161</v>
      </c>
    </row>
    <row r="27" spans="1:24" x14ac:dyDescent="0.2">
      <c r="A27" s="1">
        <f t="shared" si="0"/>
        <v>27</v>
      </c>
      <c r="B27" t="s">
        <v>130</v>
      </c>
      <c r="C27" s="5">
        <f>ROUND(('Calculation on 58MW'!N22+'Calculation on 58MW'!O22)*X27,0)</f>
        <v>975319</v>
      </c>
      <c r="D27" s="5">
        <f>ROUND($C27*D24,0)</f>
        <v>24227</v>
      </c>
      <c r="E27" s="5">
        <f t="shared" ref="E27" si="40">ROUND($C27*E24,0)</f>
        <v>117701</v>
      </c>
      <c r="F27" s="5">
        <f>ROUND($C27*F24,0)</f>
        <v>48824</v>
      </c>
      <c r="G27" s="5">
        <f t="shared" ref="G27:R27" si="41">ROUND($C27*G24,0)</f>
        <v>48112</v>
      </c>
      <c r="H27" s="5">
        <f t="shared" si="41"/>
        <v>47488</v>
      </c>
      <c r="I27" s="5">
        <f t="shared" si="41"/>
        <v>49078</v>
      </c>
      <c r="J27" s="5">
        <f t="shared" si="41"/>
        <v>24383</v>
      </c>
      <c r="K27" s="5">
        <f t="shared" si="41"/>
        <v>47732</v>
      </c>
      <c r="L27" s="5">
        <f t="shared" si="41"/>
        <v>92636</v>
      </c>
      <c r="M27" s="5">
        <f t="shared" si="41"/>
        <v>27631</v>
      </c>
      <c r="N27" s="5">
        <f t="shared" si="41"/>
        <v>66956</v>
      </c>
      <c r="O27" s="5">
        <f t="shared" si="41"/>
        <v>109626</v>
      </c>
      <c r="P27" s="5">
        <f t="shared" si="41"/>
        <v>107704</v>
      </c>
      <c r="Q27" s="5">
        <f t="shared" si="41"/>
        <v>36604</v>
      </c>
      <c r="R27" s="5">
        <f t="shared" si="41"/>
        <v>48230</v>
      </c>
      <c r="S27" s="5">
        <f>SUM(D27:R27)</f>
        <v>896932</v>
      </c>
      <c r="T27" s="5">
        <f t="shared" ref="T27" si="42">ROUND($C27*T24,0)</f>
        <v>78396</v>
      </c>
      <c r="U27" s="5">
        <f>S27+T27</f>
        <v>975328</v>
      </c>
      <c r="W27" t="s">
        <v>205</v>
      </c>
      <c r="X27" s="28">
        <f>ROUND(X23/X25,5)</f>
        <v>0.46901999999999999</v>
      </c>
    </row>
    <row r="28" spans="1:24" x14ac:dyDescent="0.2">
      <c r="A28" s="1">
        <f t="shared" si="0"/>
        <v>28</v>
      </c>
    </row>
    <row r="29" spans="1:24" x14ac:dyDescent="0.2">
      <c r="A29" s="1">
        <f t="shared" si="0"/>
        <v>29</v>
      </c>
      <c r="B29" t="s">
        <v>13</v>
      </c>
    </row>
    <row r="30" spans="1:24" x14ac:dyDescent="0.2">
      <c r="A30" s="1">
        <f t="shared" si="0"/>
        <v>30</v>
      </c>
      <c r="B30" t="s">
        <v>125</v>
      </c>
      <c r="D30" s="1">
        <v>54976</v>
      </c>
      <c r="E30" s="1">
        <v>254231</v>
      </c>
      <c r="F30" s="1">
        <v>105142</v>
      </c>
      <c r="G30" s="1">
        <v>102692</v>
      </c>
      <c r="H30" s="1">
        <v>86393</v>
      </c>
      <c r="I30" s="1">
        <v>95595</v>
      </c>
      <c r="J30" s="1">
        <v>52106</v>
      </c>
      <c r="K30" s="1">
        <v>106353</v>
      </c>
      <c r="L30" s="1">
        <v>204542</v>
      </c>
      <c r="M30" s="1">
        <v>57808</v>
      </c>
      <c r="N30" s="1">
        <v>139219</v>
      </c>
      <c r="O30" s="1">
        <v>197594</v>
      </c>
      <c r="P30" s="1">
        <f>211232-1670</f>
        <v>209562</v>
      </c>
      <c r="Q30" s="1">
        <v>71622</v>
      </c>
      <c r="R30" s="1">
        <v>94576</v>
      </c>
      <c r="S30" s="1">
        <f>SUM(D30:R30)</f>
        <v>1832411</v>
      </c>
      <c r="T30" s="1">
        <f>270528-'Calculation on 58MW'!D24</f>
        <v>212528</v>
      </c>
      <c r="U30" s="1">
        <f>S30+T30</f>
        <v>2044939</v>
      </c>
      <c r="W30" t="s">
        <v>202</v>
      </c>
      <c r="X30" s="5">
        <f>39585915+5098075</f>
        <v>44683990</v>
      </c>
    </row>
    <row r="31" spans="1:24" x14ac:dyDescent="0.2">
      <c r="A31" s="1">
        <f t="shared" si="0"/>
        <v>31</v>
      </c>
      <c r="B31" t="s">
        <v>126</v>
      </c>
      <c r="D31" s="28">
        <f>ROUND(D30/$U30,5)</f>
        <v>2.6880000000000001E-2</v>
      </c>
      <c r="E31" s="28">
        <f t="shared" ref="E31" si="43">ROUND(E30/$U30,5)</f>
        <v>0.12432</v>
      </c>
      <c r="F31" s="28">
        <f t="shared" ref="F31" si="44">ROUND(F30/$U30,5)</f>
        <v>5.142E-2</v>
      </c>
      <c r="G31" s="28">
        <f t="shared" ref="G31" si="45">ROUND(G30/$U30,5)</f>
        <v>5.0220000000000001E-2</v>
      </c>
      <c r="H31" s="28">
        <f t="shared" ref="H31" si="46">ROUND(H30/$U30,5)</f>
        <v>4.2250000000000003E-2</v>
      </c>
      <c r="I31" s="28">
        <f t="shared" ref="I31" si="47">ROUND(I30/$U30,5)</f>
        <v>4.675E-2</v>
      </c>
      <c r="J31" s="28">
        <f t="shared" ref="J31" si="48">ROUND(J30/$U30,5)</f>
        <v>2.5479999999999999E-2</v>
      </c>
      <c r="K31" s="28">
        <f t="shared" ref="K31" si="49">ROUND(K30/$U30,5)</f>
        <v>5.2010000000000001E-2</v>
      </c>
      <c r="L31" s="28">
        <f t="shared" ref="L31" si="50">ROUND(L30/$U30,5)</f>
        <v>0.10002</v>
      </c>
      <c r="M31" s="28">
        <f t="shared" ref="M31" si="51">ROUND(M30/$U30,5)</f>
        <v>2.827E-2</v>
      </c>
      <c r="N31" s="28">
        <f t="shared" ref="N31" si="52">ROUND(N30/$U30,5)</f>
        <v>6.8080000000000002E-2</v>
      </c>
      <c r="O31" s="28">
        <f t="shared" ref="O31" si="53">ROUND(O30/$U30,5)</f>
        <v>9.6629999999999994E-2</v>
      </c>
      <c r="P31" s="28">
        <f t="shared" ref="P31" si="54">ROUND(P30/$U30,5)</f>
        <v>0.10248</v>
      </c>
      <c r="Q31" s="28">
        <f t="shared" ref="Q31" si="55">ROUND(Q30/$U30,5)</f>
        <v>3.5020000000000003E-2</v>
      </c>
      <c r="R31" s="28">
        <f t="shared" ref="R31" si="56">ROUND(R30/$U30,5)</f>
        <v>4.6249999999999999E-2</v>
      </c>
      <c r="S31" s="28">
        <f>SUM(D31:R31)</f>
        <v>0.8960800000000001</v>
      </c>
      <c r="T31" s="28">
        <f t="shared" ref="T31" si="57">ROUND(T30/$U30,5)</f>
        <v>0.10392999999999999</v>
      </c>
      <c r="U31" s="28">
        <f>S31+T31</f>
        <v>1.0000100000000001</v>
      </c>
      <c r="W31" t="s">
        <v>201</v>
      </c>
      <c r="X31" s="29">
        <v>13672290</v>
      </c>
    </row>
    <row r="32" spans="1:24" x14ac:dyDescent="0.2">
      <c r="A32" s="1">
        <f t="shared" si="0"/>
        <v>32</v>
      </c>
      <c r="B32" t="s">
        <v>127</v>
      </c>
      <c r="D32" s="1">
        <v>18003248</v>
      </c>
      <c r="E32" s="1">
        <v>81727524</v>
      </c>
      <c r="F32" s="1">
        <v>34640561</v>
      </c>
      <c r="G32" s="1">
        <v>36346461</v>
      </c>
      <c r="H32" s="1">
        <v>33964221</v>
      </c>
      <c r="I32" s="1">
        <v>35573739</v>
      </c>
      <c r="J32" s="1">
        <v>17941043</v>
      </c>
      <c r="K32" s="1">
        <v>32466833</v>
      </c>
      <c r="L32" s="1">
        <v>66822543</v>
      </c>
      <c r="M32" s="1">
        <v>20456200</v>
      </c>
      <c r="N32" s="1">
        <v>46471906</v>
      </c>
      <c r="O32" s="1">
        <v>78858424</v>
      </c>
      <c r="P32" s="1">
        <f>77556330-1095699</f>
        <v>76460631</v>
      </c>
      <c r="Q32" s="1">
        <v>25766253</v>
      </c>
      <c r="R32" s="1">
        <v>34478332</v>
      </c>
      <c r="S32" s="1">
        <f>SUM(D32:R32)</f>
        <v>639977919</v>
      </c>
      <c r="T32" s="1">
        <f>89093002-'Calculation on 58MW'!E24</f>
        <v>50117002</v>
      </c>
      <c r="U32" s="1">
        <f>S32+T32</f>
        <v>690094921</v>
      </c>
      <c r="W32" t="s">
        <v>203</v>
      </c>
      <c r="X32" s="5">
        <f>X30-X31</f>
        <v>31011700</v>
      </c>
    </row>
    <row r="33" spans="1:24" x14ac:dyDescent="0.2">
      <c r="A33" s="1">
        <f t="shared" si="0"/>
        <v>33</v>
      </c>
      <c r="B33" t="s">
        <v>128</v>
      </c>
      <c r="D33" s="28">
        <f>ROUND(D32/$U32,5)</f>
        <v>2.6089999999999999E-2</v>
      </c>
      <c r="E33" s="28">
        <f t="shared" ref="E33" si="58">ROUND(E32/$U32,5)</f>
        <v>0.11842999999999999</v>
      </c>
      <c r="F33" s="28">
        <f t="shared" ref="F33" si="59">ROUND(F32/$U32,5)</f>
        <v>5.0200000000000002E-2</v>
      </c>
      <c r="G33" s="28">
        <f t="shared" ref="G33" si="60">ROUND(G32/$U32,5)</f>
        <v>5.2670000000000002E-2</v>
      </c>
      <c r="H33" s="28">
        <f t="shared" ref="H33" si="61">ROUND(H32/$U32,5)</f>
        <v>4.922E-2</v>
      </c>
      <c r="I33" s="28">
        <f t="shared" ref="I33" si="62">ROUND(I32/$U32,5)</f>
        <v>5.1549999999999999E-2</v>
      </c>
      <c r="J33" s="28">
        <f t="shared" ref="J33" si="63">ROUND(J32/$U32,5)</f>
        <v>2.5999999999999999E-2</v>
      </c>
      <c r="K33" s="28">
        <f t="shared" ref="K33" si="64">ROUND(K32/$U32,5)</f>
        <v>4.7050000000000002E-2</v>
      </c>
      <c r="L33" s="28">
        <f t="shared" ref="L33" si="65">ROUND(L32/$U32,5)</f>
        <v>9.6829999999999999E-2</v>
      </c>
      <c r="M33" s="28">
        <f t="shared" ref="M33" si="66">ROUND(M32/$U32,5)</f>
        <v>2.964E-2</v>
      </c>
      <c r="N33" s="28">
        <f t="shared" ref="N33" si="67">ROUND(N32/$U32,5)</f>
        <v>6.7339999999999997E-2</v>
      </c>
      <c r="O33" s="28">
        <f t="shared" ref="O33" si="68">ROUND(O32/$U32,5)</f>
        <v>0.11427</v>
      </c>
      <c r="P33" s="28">
        <f t="shared" ref="P33" si="69">ROUND(P32/$U32,5)</f>
        <v>0.1108</v>
      </c>
      <c r="Q33" s="28">
        <f t="shared" ref="Q33" si="70">ROUND(Q32/$U32,5)</f>
        <v>3.7339999999999998E-2</v>
      </c>
      <c r="R33" s="28">
        <f t="shared" ref="R33" si="71">ROUND(R32/$U32,5)</f>
        <v>4.9959999999999997E-2</v>
      </c>
      <c r="S33" s="28">
        <f>SUM(D33:R33)</f>
        <v>0.92738999999999994</v>
      </c>
      <c r="T33" s="28">
        <f t="shared" ref="T33" si="72">ROUND(T32/$U32,5)</f>
        <v>7.2620000000000004E-2</v>
      </c>
      <c r="U33" s="28">
        <f>S33+T33</f>
        <v>1.0000099999999998</v>
      </c>
    </row>
    <row r="34" spans="1:24" x14ac:dyDescent="0.2">
      <c r="A34" s="1">
        <f t="shared" si="0"/>
        <v>34</v>
      </c>
      <c r="W34" t="s">
        <v>204</v>
      </c>
      <c r="X34" s="5">
        <v>63114135</v>
      </c>
    </row>
    <row r="35" spans="1:24" x14ac:dyDescent="0.2">
      <c r="A35" s="1">
        <f t="shared" si="0"/>
        <v>35</v>
      </c>
      <c r="B35" t="s">
        <v>129</v>
      </c>
      <c r="C35" s="5">
        <f>'Calculation on 58MW'!M24</f>
        <v>349160</v>
      </c>
      <c r="D35" s="5">
        <f>ROUND($C35*D31,0)</f>
        <v>9385</v>
      </c>
      <c r="E35" s="5">
        <f t="shared" ref="E35" si="73">ROUND($C35*E31,0)</f>
        <v>43408</v>
      </c>
      <c r="F35" s="5">
        <f>ROUND($C35*F31,0)</f>
        <v>17954</v>
      </c>
      <c r="G35" s="5">
        <f t="shared" ref="G35:R35" si="74">ROUND($C35*G31,0)</f>
        <v>17535</v>
      </c>
      <c r="H35" s="5">
        <f t="shared" si="74"/>
        <v>14752</v>
      </c>
      <c r="I35" s="5">
        <f t="shared" si="74"/>
        <v>16323</v>
      </c>
      <c r="J35" s="5">
        <f t="shared" si="74"/>
        <v>8897</v>
      </c>
      <c r="K35" s="5">
        <f t="shared" si="74"/>
        <v>18160</v>
      </c>
      <c r="L35" s="5">
        <f t="shared" si="74"/>
        <v>34923</v>
      </c>
      <c r="M35" s="5">
        <f t="shared" si="74"/>
        <v>9871</v>
      </c>
      <c r="N35" s="5">
        <f t="shared" si="74"/>
        <v>23771</v>
      </c>
      <c r="O35" s="5">
        <f t="shared" si="74"/>
        <v>33739</v>
      </c>
      <c r="P35" s="5">
        <f t="shared" si="74"/>
        <v>35782</v>
      </c>
      <c r="Q35" s="5">
        <f t="shared" si="74"/>
        <v>12228</v>
      </c>
      <c r="R35" s="5">
        <f t="shared" si="74"/>
        <v>16149</v>
      </c>
      <c r="S35" s="5">
        <f>SUM(D35:R35)</f>
        <v>312877</v>
      </c>
      <c r="T35" s="5">
        <f t="shared" ref="T35" si="75">ROUND($C35*T31,0)</f>
        <v>36288</v>
      </c>
      <c r="U35" s="5">
        <f>S35+T35</f>
        <v>349165</v>
      </c>
    </row>
    <row r="36" spans="1:24" x14ac:dyDescent="0.2">
      <c r="A36" s="1">
        <f t="shared" si="0"/>
        <v>36</v>
      </c>
      <c r="B36" t="s">
        <v>130</v>
      </c>
      <c r="C36" s="5">
        <f>ROUND(('Calculation on 58MW'!N24+'Calculation on 58MW'!O24)*X36,0)</f>
        <v>922893</v>
      </c>
      <c r="D36" s="5">
        <f>ROUND($C36*D33,0)</f>
        <v>24078</v>
      </c>
      <c r="E36" s="5">
        <f t="shared" ref="E36" si="76">ROUND($C36*E33,0)</f>
        <v>109298</v>
      </c>
      <c r="F36" s="5">
        <f>ROUND($C36*F33,0)</f>
        <v>46329</v>
      </c>
      <c r="G36" s="5">
        <f t="shared" ref="G36:R36" si="77">ROUND($C36*G33,0)</f>
        <v>48609</v>
      </c>
      <c r="H36" s="5">
        <f t="shared" si="77"/>
        <v>45425</v>
      </c>
      <c r="I36" s="5">
        <f t="shared" si="77"/>
        <v>47575</v>
      </c>
      <c r="J36" s="5">
        <f t="shared" si="77"/>
        <v>23995</v>
      </c>
      <c r="K36" s="5">
        <f t="shared" si="77"/>
        <v>43422</v>
      </c>
      <c r="L36" s="5">
        <f t="shared" si="77"/>
        <v>89364</v>
      </c>
      <c r="M36" s="5">
        <f t="shared" si="77"/>
        <v>27355</v>
      </c>
      <c r="N36" s="5">
        <f t="shared" si="77"/>
        <v>62148</v>
      </c>
      <c r="O36" s="5">
        <f t="shared" si="77"/>
        <v>105459</v>
      </c>
      <c r="P36" s="5">
        <f t="shared" si="77"/>
        <v>102257</v>
      </c>
      <c r="Q36" s="5">
        <f t="shared" si="77"/>
        <v>34461</v>
      </c>
      <c r="R36" s="5">
        <f t="shared" si="77"/>
        <v>46108</v>
      </c>
      <c r="S36" s="5">
        <f>SUM(D36:R36)</f>
        <v>855883</v>
      </c>
      <c r="T36" s="5">
        <f t="shared" ref="T36" si="78">ROUND($C36*T33,0)</f>
        <v>67020</v>
      </c>
      <c r="U36" s="5">
        <f>S36+T36</f>
        <v>922903</v>
      </c>
      <c r="W36" t="s">
        <v>205</v>
      </c>
      <c r="X36" s="28">
        <f>ROUND(X32/X34,5)</f>
        <v>0.49136000000000002</v>
      </c>
    </row>
    <row r="37" spans="1:24" x14ac:dyDescent="0.2">
      <c r="A37" s="1">
        <f t="shared" si="0"/>
        <v>37</v>
      </c>
    </row>
    <row r="38" spans="1:24" x14ac:dyDescent="0.2">
      <c r="A38" s="1">
        <f t="shared" si="0"/>
        <v>38</v>
      </c>
      <c r="B38" t="s">
        <v>14</v>
      </c>
      <c r="D38" s="1"/>
      <c r="E38" s="1"/>
      <c r="F38" s="1"/>
      <c r="G38" s="1"/>
      <c r="H38" s="1"/>
      <c r="I38" s="1"/>
      <c r="J38" s="1"/>
      <c r="K38" s="1"/>
      <c r="L38" s="1"/>
      <c r="M38" s="1"/>
      <c r="N38" s="1"/>
      <c r="O38" s="1"/>
      <c r="P38" s="1"/>
      <c r="Q38" s="1"/>
      <c r="R38" s="1"/>
      <c r="S38" s="1"/>
    </row>
    <row r="39" spans="1:24" x14ac:dyDescent="0.2">
      <c r="A39" s="1">
        <f t="shared" si="0"/>
        <v>39</v>
      </c>
      <c r="B39" t="s">
        <v>125</v>
      </c>
      <c r="D39" s="1">
        <v>56345</v>
      </c>
      <c r="E39" s="1">
        <v>240593</v>
      </c>
      <c r="F39" s="1">
        <v>101182</v>
      </c>
      <c r="G39" s="1">
        <v>108879</v>
      </c>
      <c r="H39" s="1">
        <v>91218</v>
      </c>
      <c r="I39" s="1">
        <v>98740</v>
      </c>
      <c r="J39" s="1">
        <v>49931</v>
      </c>
      <c r="K39" s="1">
        <v>97564</v>
      </c>
      <c r="L39" s="1">
        <v>203823</v>
      </c>
      <c r="M39" s="1">
        <v>56455</v>
      </c>
      <c r="N39" s="1">
        <v>136534</v>
      </c>
      <c r="O39" s="1">
        <v>190371</v>
      </c>
      <c r="P39" s="1">
        <f>205479-1673</f>
        <v>203806</v>
      </c>
      <c r="Q39" s="1">
        <v>67518</v>
      </c>
      <c r="R39" s="1">
        <v>100666</v>
      </c>
      <c r="S39" s="1">
        <f>SUM(D39:R39)</f>
        <v>1803625</v>
      </c>
      <c r="T39" s="1">
        <f>277858-'Calculation on 58MW'!D26</f>
        <v>219858</v>
      </c>
      <c r="U39" s="1">
        <f>S39+T39</f>
        <v>2023483</v>
      </c>
      <c r="W39" t="s">
        <v>202</v>
      </c>
      <c r="X39" s="5">
        <f>45157040+7496915</f>
        <v>52653955</v>
      </c>
    </row>
    <row r="40" spans="1:24" x14ac:dyDescent="0.2">
      <c r="A40" s="1">
        <f t="shared" si="0"/>
        <v>40</v>
      </c>
      <c r="B40" t="s">
        <v>126</v>
      </c>
      <c r="D40" s="28">
        <f>ROUND(D39/$U39,5)</f>
        <v>2.785E-2</v>
      </c>
      <c r="E40" s="28">
        <f t="shared" ref="E40" si="79">ROUND(E39/$U39,5)</f>
        <v>0.11890000000000001</v>
      </c>
      <c r="F40" s="28">
        <f t="shared" ref="F40" si="80">ROUND(F39/$U39,5)</f>
        <v>0.05</v>
      </c>
      <c r="G40" s="28">
        <f t="shared" ref="G40" si="81">ROUND(G39/$U39,5)</f>
        <v>5.3809999999999997E-2</v>
      </c>
      <c r="H40" s="28">
        <f t="shared" ref="H40" si="82">ROUND(H39/$U39,5)</f>
        <v>4.5080000000000002E-2</v>
      </c>
      <c r="I40" s="28">
        <f t="shared" ref="I40" si="83">ROUND(I39/$U39,5)</f>
        <v>4.8800000000000003E-2</v>
      </c>
      <c r="J40" s="28">
        <f t="shared" ref="J40" si="84">ROUND(J39/$U39,5)</f>
        <v>2.4680000000000001E-2</v>
      </c>
      <c r="K40" s="28">
        <f t="shared" ref="K40" si="85">ROUND(K39/$U39,5)</f>
        <v>4.8219999999999999E-2</v>
      </c>
      <c r="L40" s="28">
        <f t="shared" ref="L40" si="86">ROUND(L39/$U39,5)</f>
        <v>0.10073</v>
      </c>
      <c r="M40" s="28">
        <f t="shared" ref="M40" si="87">ROUND(M39/$U39,5)</f>
        <v>2.7900000000000001E-2</v>
      </c>
      <c r="N40" s="28">
        <f t="shared" ref="N40" si="88">ROUND(N39/$U39,5)</f>
        <v>6.7470000000000002E-2</v>
      </c>
      <c r="O40" s="28">
        <f t="shared" ref="O40" si="89">ROUND(O39/$U39,5)</f>
        <v>9.4079999999999997E-2</v>
      </c>
      <c r="P40" s="28">
        <f t="shared" ref="P40" si="90">ROUND(P39/$U39,5)</f>
        <v>0.10072</v>
      </c>
      <c r="Q40" s="28">
        <f t="shared" ref="Q40" si="91">ROUND(Q39/$U39,5)</f>
        <v>3.3369999999999997E-2</v>
      </c>
      <c r="R40" s="28">
        <f t="shared" ref="R40" si="92">ROUND(R39/$U39,5)</f>
        <v>4.9750000000000003E-2</v>
      </c>
      <c r="S40" s="28">
        <f>SUM(D40:R40)</f>
        <v>0.89136000000000015</v>
      </c>
      <c r="T40" s="28">
        <f t="shared" ref="T40" si="93">ROUND(T39/$U39,5)</f>
        <v>0.10865</v>
      </c>
      <c r="U40" s="28">
        <f>S40+T40</f>
        <v>1.0000100000000001</v>
      </c>
      <c r="W40" t="s">
        <v>201</v>
      </c>
      <c r="X40" s="29">
        <v>15069496</v>
      </c>
    </row>
    <row r="41" spans="1:24" x14ac:dyDescent="0.2">
      <c r="A41" s="1">
        <f t="shared" si="0"/>
        <v>41</v>
      </c>
      <c r="B41" t="s">
        <v>127</v>
      </c>
      <c r="D41" s="1">
        <v>19371183</v>
      </c>
      <c r="E41" s="1">
        <v>87187732</v>
      </c>
      <c r="F41" s="1">
        <v>37470155</v>
      </c>
      <c r="G41" s="1">
        <v>38319927</v>
      </c>
      <c r="H41" s="1">
        <v>36330410</v>
      </c>
      <c r="I41" s="1">
        <v>38415067</v>
      </c>
      <c r="J41" s="1">
        <v>19535132</v>
      </c>
      <c r="K41" s="1">
        <v>34157811</v>
      </c>
      <c r="L41" s="1">
        <v>70155841</v>
      </c>
      <c r="M41" s="1">
        <v>21919915</v>
      </c>
      <c r="N41" s="1">
        <v>48484222</v>
      </c>
      <c r="O41" s="1">
        <v>84470606</v>
      </c>
      <c r="P41" s="1">
        <f>82636076-1083643</f>
        <v>81552433</v>
      </c>
      <c r="Q41" s="1">
        <v>27328837</v>
      </c>
      <c r="R41" s="1">
        <v>36211028</v>
      </c>
      <c r="S41" s="1">
        <f>SUM(D41:R41)</f>
        <v>680910299</v>
      </c>
      <c r="T41" s="1">
        <f>94305027-'Calculation on 58MW'!E26</f>
        <v>51153027</v>
      </c>
      <c r="U41" s="1">
        <f>S41+T41</f>
        <v>732063326</v>
      </c>
      <c r="W41" t="s">
        <v>203</v>
      </c>
      <c r="X41" s="5">
        <f>X39-X40</f>
        <v>37584459</v>
      </c>
    </row>
    <row r="42" spans="1:24" x14ac:dyDescent="0.2">
      <c r="A42" s="1">
        <f t="shared" si="0"/>
        <v>42</v>
      </c>
      <c r="B42" t="s">
        <v>128</v>
      </c>
      <c r="D42" s="28">
        <f>ROUND(D41/$U41,5)</f>
        <v>2.6460000000000001E-2</v>
      </c>
      <c r="E42" s="28">
        <f t="shared" ref="E42" si="94">ROUND(E41/$U41,5)</f>
        <v>0.1191</v>
      </c>
      <c r="F42" s="28">
        <f t="shared" ref="F42" si="95">ROUND(F41/$U41,5)</f>
        <v>5.1180000000000003E-2</v>
      </c>
      <c r="G42" s="28">
        <f t="shared" ref="G42" si="96">ROUND(G41/$U41,5)</f>
        <v>5.2350000000000001E-2</v>
      </c>
      <c r="H42" s="28">
        <f t="shared" ref="H42" si="97">ROUND(H41/$U41,5)</f>
        <v>4.9630000000000001E-2</v>
      </c>
      <c r="I42" s="28">
        <f t="shared" ref="I42" si="98">ROUND(I41/$U41,5)</f>
        <v>5.2479999999999999E-2</v>
      </c>
      <c r="J42" s="28">
        <f t="shared" ref="J42" si="99">ROUND(J41/$U41,5)</f>
        <v>2.6689999999999998E-2</v>
      </c>
      <c r="K42" s="28">
        <f t="shared" ref="K42" si="100">ROUND(K41/$U41,5)</f>
        <v>4.666E-2</v>
      </c>
      <c r="L42" s="28">
        <f t="shared" ref="L42" si="101">ROUND(L41/$U41,5)</f>
        <v>9.5829999999999999E-2</v>
      </c>
      <c r="M42" s="28">
        <f t="shared" ref="M42" si="102">ROUND(M41/$U41,5)</f>
        <v>2.9940000000000001E-2</v>
      </c>
      <c r="N42" s="28">
        <f t="shared" ref="N42" si="103">ROUND(N41/$U41,5)</f>
        <v>6.6229999999999997E-2</v>
      </c>
      <c r="O42" s="28">
        <f t="shared" ref="O42" si="104">ROUND(O41/$U41,5)</f>
        <v>0.11539000000000001</v>
      </c>
      <c r="P42" s="28">
        <f t="shared" ref="P42" si="105">ROUND(P41/$U41,5)</f>
        <v>0.1114</v>
      </c>
      <c r="Q42" s="28">
        <f t="shared" ref="Q42" si="106">ROUND(Q41/$U41,5)</f>
        <v>3.7330000000000002E-2</v>
      </c>
      <c r="R42" s="28">
        <f t="shared" ref="R42" si="107">ROUND(R41/$U41,5)</f>
        <v>4.9459999999999997E-2</v>
      </c>
      <c r="S42" s="28">
        <f>SUM(D42:R42)</f>
        <v>0.9301299999999999</v>
      </c>
      <c r="T42" s="28">
        <f t="shared" ref="T42" si="108">ROUND(T41/$U41,5)</f>
        <v>6.9879999999999998E-2</v>
      </c>
      <c r="U42" s="28">
        <f>S42+T42</f>
        <v>1.0000099999999998</v>
      </c>
    </row>
    <row r="43" spans="1:24" x14ac:dyDescent="0.2">
      <c r="A43" s="1">
        <f t="shared" si="0"/>
        <v>43</v>
      </c>
      <c r="W43" t="s">
        <v>204</v>
      </c>
      <c r="X43" s="5">
        <v>72291087</v>
      </c>
    </row>
    <row r="44" spans="1:24" x14ac:dyDescent="0.2">
      <c r="A44" s="1">
        <f t="shared" si="0"/>
        <v>44</v>
      </c>
      <c r="B44" t="s">
        <v>129</v>
      </c>
      <c r="C44" s="5">
        <f>'Calculation on 58MW'!M26</f>
        <v>349160</v>
      </c>
      <c r="D44" s="5">
        <f>ROUND($C44*D40,0)</f>
        <v>9724</v>
      </c>
      <c r="E44" s="5">
        <f t="shared" ref="E44" si="109">ROUND($C44*E40,0)</f>
        <v>41515</v>
      </c>
      <c r="F44" s="5">
        <f>ROUND($C44*F40,0)</f>
        <v>17458</v>
      </c>
      <c r="G44" s="5">
        <f t="shared" ref="G44:R44" si="110">ROUND($C44*G40,0)</f>
        <v>18788</v>
      </c>
      <c r="H44" s="5">
        <f t="shared" si="110"/>
        <v>15740</v>
      </c>
      <c r="I44" s="5">
        <f t="shared" si="110"/>
        <v>17039</v>
      </c>
      <c r="J44" s="5">
        <f t="shared" si="110"/>
        <v>8617</v>
      </c>
      <c r="K44" s="5">
        <f t="shared" si="110"/>
        <v>16836</v>
      </c>
      <c r="L44" s="5">
        <f t="shared" si="110"/>
        <v>35171</v>
      </c>
      <c r="M44" s="5">
        <f t="shared" si="110"/>
        <v>9742</v>
      </c>
      <c r="N44" s="5">
        <f t="shared" si="110"/>
        <v>23558</v>
      </c>
      <c r="O44" s="5">
        <f t="shared" si="110"/>
        <v>32849</v>
      </c>
      <c r="P44" s="5">
        <f t="shared" si="110"/>
        <v>35167</v>
      </c>
      <c r="Q44" s="5">
        <f t="shared" si="110"/>
        <v>11651</v>
      </c>
      <c r="R44" s="5">
        <f t="shared" si="110"/>
        <v>17371</v>
      </c>
      <c r="S44" s="5">
        <f>SUM(D44:R44)</f>
        <v>311226</v>
      </c>
      <c r="T44" s="5">
        <f t="shared" ref="T44" si="111">ROUND($C44*T40,0)</f>
        <v>37936</v>
      </c>
      <c r="U44" s="5">
        <f>S44+T44</f>
        <v>349162</v>
      </c>
    </row>
    <row r="45" spans="1:24" x14ac:dyDescent="0.2">
      <c r="A45" s="1">
        <f t="shared" si="0"/>
        <v>45</v>
      </c>
      <c r="B45" t="s">
        <v>130</v>
      </c>
      <c r="C45" s="5">
        <f>ROUND(('Calculation on 58MW'!N26+'Calculation on 58MW'!O26)*X45,0)</f>
        <v>1081123</v>
      </c>
      <c r="D45" s="5">
        <f>ROUND($C45*D42,0)</f>
        <v>28607</v>
      </c>
      <c r="E45" s="5">
        <f t="shared" ref="E45" si="112">ROUND($C45*E42,0)</f>
        <v>128762</v>
      </c>
      <c r="F45" s="5">
        <f>ROUND($C45*F42,0)</f>
        <v>55332</v>
      </c>
      <c r="G45" s="5">
        <f t="shared" ref="G45:R45" si="113">ROUND($C45*G42,0)</f>
        <v>56597</v>
      </c>
      <c r="H45" s="5">
        <f t="shared" si="113"/>
        <v>53656</v>
      </c>
      <c r="I45" s="5">
        <f t="shared" si="113"/>
        <v>56737</v>
      </c>
      <c r="J45" s="5">
        <f t="shared" si="113"/>
        <v>28855</v>
      </c>
      <c r="K45" s="5">
        <f t="shared" si="113"/>
        <v>50445</v>
      </c>
      <c r="L45" s="5">
        <f t="shared" si="113"/>
        <v>103604</v>
      </c>
      <c r="M45" s="5">
        <f t="shared" si="113"/>
        <v>32369</v>
      </c>
      <c r="N45" s="5">
        <f t="shared" si="113"/>
        <v>71603</v>
      </c>
      <c r="O45" s="5">
        <f t="shared" si="113"/>
        <v>124751</v>
      </c>
      <c r="P45" s="5">
        <f t="shared" si="113"/>
        <v>120437</v>
      </c>
      <c r="Q45" s="5">
        <f t="shared" si="113"/>
        <v>40358</v>
      </c>
      <c r="R45" s="5">
        <f t="shared" si="113"/>
        <v>53472</v>
      </c>
      <c r="S45" s="5">
        <f>SUM(D45:R45)</f>
        <v>1005585</v>
      </c>
      <c r="T45" s="5">
        <f t="shared" ref="T45" si="114">ROUND($C45*T42,0)</f>
        <v>75549</v>
      </c>
      <c r="U45" s="5">
        <f>S45+T45</f>
        <v>1081134</v>
      </c>
      <c r="W45" t="s">
        <v>205</v>
      </c>
      <c r="X45" s="28">
        <f>ROUND(X41/X43,5)</f>
        <v>0.51990000000000003</v>
      </c>
    </row>
    <row r="46" spans="1:24" x14ac:dyDescent="0.2">
      <c r="A46" s="1">
        <f t="shared" si="0"/>
        <v>46</v>
      </c>
    </row>
    <row r="47" spans="1:24" x14ac:dyDescent="0.2">
      <c r="A47" s="1">
        <f t="shared" si="0"/>
        <v>47</v>
      </c>
      <c r="B47" t="s">
        <v>15</v>
      </c>
    </row>
    <row r="48" spans="1:24" x14ac:dyDescent="0.2">
      <c r="A48" s="1">
        <f t="shared" si="0"/>
        <v>48</v>
      </c>
      <c r="B48" t="s">
        <v>125</v>
      </c>
      <c r="D48" s="1">
        <v>29321</v>
      </c>
      <c r="E48" s="1">
        <v>145127</v>
      </c>
      <c r="F48" s="1">
        <v>62245</v>
      </c>
      <c r="G48" s="1">
        <v>61267</v>
      </c>
      <c r="H48" s="1">
        <v>57231</v>
      </c>
      <c r="I48" s="1">
        <v>64242</v>
      </c>
      <c r="J48" s="1">
        <v>31097</v>
      </c>
      <c r="K48" s="1">
        <v>57054</v>
      </c>
      <c r="L48" s="1">
        <v>116180</v>
      </c>
      <c r="M48" s="1">
        <v>35417</v>
      </c>
      <c r="N48" s="1">
        <v>75711</v>
      </c>
      <c r="O48" s="1">
        <v>146256</v>
      </c>
      <c r="P48" s="1">
        <f>129756-286</f>
        <v>129470</v>
      </c>
      <c r="Q48" s="1">
        <v>44561</v>
      </c>
      <c r="R48" s="1">
        <v>58272</v>
      </c>
      <c r="S48" s="1">
        <f>SUM(D48:R48)</f>
        <v>1113451</v>
      </c>
      <c r="T48" s="1">
        <f>153630-'Calculation on 58MW'!D28</f>
        <v>95630</v>
      </c>
      <c r="U48" s="1">
        <f>S48+T48</f>
        <v>1209081</v>
      </c>
      <c r="W48" t="s">
        <v>202</v>
      </c>
      <c r="X48" s="5">
        <f>38607526+9875686</f>
        <v>48483212</v>
      </c>
    </row>
    <row r="49" spans="1:24" x14ac:dyDescent="0.2">
      <c r="A49" s="1">
        <f t="shared" si="0"/>
        <v>49</v>
      </c>
      <c r="B49" t="s">
        <v>126</v>
      </c>
      <c r="D49" s="28">
        <f>ROUND(D48/$U48,5)</f>
        <v>2.4250000000000001E-2</v>
      </c>
      <c r="E49" s="28">
        <f t="shared" ref="E49" si="115">ROUND(E48/$U48,5)</f>
        <v>0.12003</v>
      </c>
      <c r="F49" s="28">
        <f t="shared" ref="F49" si="116">ROUND(F48/$U48,5)</f>
        <v>5.1479999999999998E-2</v>
      </c>
      <c r="G49" s="28">
        <f t="shared" ref="G49" si="117">ROUND(G48/$U48,5)</f>
        <v>5.067E-2</v>
      </c>
      <c r="H49" s="28">
        <f t="shared" ref="H49" si="118">ROUND(H48/$U48,5)</f>
        <v>4.7329999999999997E-2</v>
      </c>
      <c r="I49" s="28">
        <f t="shared" ref="I49" si="119">ROUND(I48/$U48,5)</f>
        <v>5.3129999999999997E-2</v>
      </c>
      <c r="J49" s="28">
        <f t="shared" ref="J49" si="120">ROUND(J48/$U48,5)</f>
        <v>2.572E-2</v>
      </c>
      <c r="K49" s="28">
        <f t="shared" ref="K49" si="121">ROUND(K48/$U48,5)</f>
        <v>4.7190000000000003E-2</v>
      </c>
      <c r="L49" s="28">
        <f t="shared" ref="L49" si="122">ROUND(L48/$U48,5)</f>
        <v>9.6089999999999995E-2</v>
      </c>
      <c r="M49" s="28">
        <f t="shared" ref="M49" si="123">ROUND(M48/$U48,5)</f>
        <v>2.929E-2</v>
      </c>
      <c r="N49" s="28">
        <f t="shared" ref="N49" si="124">ROUND(N48/$U48,5)</f>
        <v>6.2619999999999995E-2</v>
      </c>
      <c r="O49" s="28">
        <f t="shared" ref="O49" si="125">ROUND(O48/$U48,5)</f>
        <v>0.12096</v>
      </c>
      <c r="P49" s="28">
        <f t="shared" ref="P49" si="126">ROUND(P48/$U48,5)</f>
        <v>0.10707999999999999</v>
      </c>
      <c r="Q49" s="28">
        <f t="shared" ref="Q49" si="127">ROUND(Q48/$U48,5)</f>
        <v>3.6859999999999997E-2</v>
      </c>
      <c r="R49" s="28">
        <f t="shared" ref="R49" si="128">ROUND(R48/$U48,5)</f>
        <v>4.82E-2</v>
      </c>
      <c r="S49" s="28">
        <f>SUM(D49:R49)</f>
        <v>0.92089999999999994</v>
      </c>
      <c r="T49" s="28">
        <f t="shared" ref="T49" si="129">ROUND(T48/$U48,5)</f>
        <v>7.9089999999999994E-2</v>
      </c>
      <c r="U49" s="28">
        <f>S49+T49</f>
        <v>0.99998999999999993</v>
      </c>
      <c r="W49" t="s">
        <v>201</v>
      </c>
      <c r="X49" s="29">
        <v>8861396</v>
      </c>
    </row>
    <row r="50" spans="1:24" x14ac:dyDescent="0.2">
      <c r="A50" s="1">
        <f t="shared" si="0"/>
        <v>50</v>
      </c>
      <c r="B50" t="s">
        <v>127</v>
      </c>
      <c r="D50" s="1">
        <v>14010306</v>
      </c>
      <c r="E50" s="1">
        <v>66288445</v>
      </c>
      <c r="F50" s="1">
        <v>28088518</v>
      </c>
      <c r="G50" s="1">
        <v>29071596</v>
      </c>
      <c r="H50" s="1">
        <v>29328674</v>
      </c>
      <c r="I50" s="1">
        <v>28700202</v>
      </c>
      <c r="J50" s="1">
        <v>14533469</v>
      </c>
      <c r="K50" s="1">
        <v>24834832</v>
      </c>
      <c r="L50" s="1">
        <v>51982166</v>
      </c>
      <c r="M50" s="1">
        <v>16628818</v>
      </c>
      <c r="N50" s="1">
        <v>38375140</v>
      </c>
      <c r="O50" s="1">
        <v>68632437</v>
      </c>
      <c r="P50" s="1">
        <f>69778212-450594</f>
        <v>69327618</v>
      </c>
      <c r="Q50" s="1">
        <v>21240955</v>
      </c>
      <c r="R50" s="1">
        <v>28711167</v>
      </c>
      <c r="S50" s="1">
        <f>SUM(D50:R50)</f>
        <v>529754343</v>
      </c>
      <c r="T50" s="1">
        <f>72009338-'Calculation on 58MW'!E28</f>
        <v>30249338</v>
      </c>
      <c r="U50" s="1">
        <f>S50+T50</f>
        <v>560003681</v>
      </c>
      <c r="W50" t="s">
        <v>203</v>
      </c>
      <c r="X50" s="5">
        <f>X48-X49</f>
        <v>39621816</v>
      </c>
    </row>
    <row r="51" spans="1:24" x14ac:dyDescent="0.2">
      <c r="A51" s="1">
        <f t="shared" si="0"/>
        <v>51</v>
      </c>
      <c r="B51" t="s">
        <v>128</v>
      </c>
      <c r="D51" s="28">
        <f>ROUND(D50/$U50,5)</f>
        <v>2.5020000000000001E-2</v>
      </c>
      <c r="E51" s="28">
        <f t="shared" ref="E51" si="130">ROUND(E50/$U50,5)</f>
        <v>0.11837</v>
      </c>
      <c r="F51" s="28">
        <f t="shared" ref="F51" si="131">ROUND(F50/$U50,5)</f>
        <v>5.0160000000000003E-2</v>
      </c>
      <c r="G51" s="28">
        <f t="shared" ref="G51" si="132">ROUND(G50/$U50,5)</f>
        <v>5.1909999999999998E-2</v>
      </c>
      <c r="H51" s="28">
        <f t="shared" ref="H51" si="133">ROUND(H50/$U50,5)</f>
        <v>5.237E-2</v>
      </c>
      <c r="I51" s="28">
        <f t="shared" ref="I51" si="134">ROUND(I50/$U50,5)</f>
        <v>5.1249999999999997E-2</v>
      </c>
      <c r="J51" s="28">
        <f t="shared" ref="J51" si="135">ROUND(J50/$U50,5)</f>
        <v>2.5950000000000001E-2</v>
      </c>
      <c r="K51" s="28">
        <f t="shared" ref="K51" si="136">ROUND(K50/$U50,5)</f>
        <v>4.4350000000000001E-2</v>
      </c>
      <c r="L51" s="28">
        <f t="shared" ref="L51" si="137">ROUND(L50/$U50,5)</f>
        <v>9.282E-2</v>
      </c>
      <c r="M51" s="28">
        <f t="shared" ref="M51" si="138">ROUND(M50/$U50,5)</f>
        <v>2.9690000000000001E-2</v>
      </c>
      <c r="N51" s="28">
        <f t="shared" ref="N51" si="139">ROUND(N50/$U50,5)</f>
        <v>6.8529999999999994E-2</v>
      </c>
      <c r="O51" s="28">
        <f t="shared" ref="O51" si="140">ROUND(O50/$U50,5)</f>
        <v>0.12256</v>
      </c>
      <c r="P51" s="28">
        <f t="shared" ref="P51" si="141">ROUND(P50/$U50,5)</f>
        <v>0.12379999999999999</v>
      </c>
      <c r="Q51" s="28">
        <f t="shared" ref="Q51" si="142">ROUND(Q50/$U50,5)</f>
        <v>3.7929999999999998E-2</v>
      </c>
      <c r="R51" s="28">
        <f t="shared" ref="R51" si="143">ROUND(R50/$U50,5)</f>
        <v>5.1270000000000003E-2</v>
      </c>
      <c r="S51" s="28">
        <f>SUM(D51:R51)</f>
        <v>0.94598000000000015</v>
      </c>
      <c r="T51" s="28">
        <f t="shared" ref="T51" si="144">ROUND(T50/$U50,5)</f>
        <v>5.4019999999999999E-2</v>
      </c>
      <c r="U51" s="28">
        <f>S51+T51</f>
        <v>1.0000000000000002</v>
      </c>
    </row>
    <row r="52" spans="1:24" x14ac:dyDescent="0.2">
      <c r="A52" s="1">
        <f t="shared" si="0"/>
        <v>52</v>
      </c>
      <c r="W52" t="s">
        <v>204</v>
      </c>
      <c r="X52" s="5">
        <v>67492635</v>
      </c>
    </row>
    <row r="53" spans="1:24" x14ac:dyDescent="0.2">
      <c r="A53" s="1">
        <f t="shared" si="0"/>
        <v>53</v>
      </c>
      <c r="B53" t="s">
        <v>129</v>
      </c>
      <c r="C53" s="5">
        <f>'Calculation on 58MW'!M28</f>
        <v>349160</v>
      </c>
      <c r="D53" s="5">
        <f>ROUND($C53*D49,0)</f>
        <v>8467</v>
      </c>
      <c r="E53" s="5">
        <f t="shared" ref="E53" si="145">ROUND($C53*E49,0)</f>
        <v>41910</v>
      </c>
      <c r="F53" s="5">
        <f>ROUND($C53*F49,0)</f>
        <v>17975</v>
      </c>
      <c r="G53" s="5">
        <f t="shared" ref="G53:R53" si="146">ROUND($C53*G49,0)</f>
        <v>17692</v>
      </c>
      <c r="H53" s="5">
        <f t="shared" si="146"/>
        <v>16526</v>
      </c>
      <c r="I53" s="5">
        <f t="shared" si="146"/>
        <v>18551</v>
      </c>
      <c r="J53" s="5">
        <f t="shared" si="146"/>
        <v>8980</v>
      </c>
      <c r="K53" s="5">
        <f t="shared" si="146"/>
        <v>16477</v>
      </c>
      <c r="L53" s="5">
        <f t="shared" si="146"/>
        <v>33551</v>
      </c>
      <c r="M53" s="5">
        <f t="shared" si="146"/>
        <v>10227</v>
      </c>
      <c r="N53" s="5">
        <f t="shared" si="146"/>
        <v>21864</v>
      </c>
      <c r="O53" s="5">
        <f t="shared" si="146"/>
        <v>42234</v>
      </c>
      <c r="P53" s="5">
        <f t="shared" si="146"/>
        <v>37388</v>
      </c>
      <c r="Q53" s="5">
        <f t="shared" si="146"/>
        <v>12870</v>
      </c>
      <c r="R53" s="5">
        <f t="shared" si="146"/>
        <v>16830</v>
      </c>
      <c r="S53" s="5">
        <f>SUM(D53:R53)</f>
        <v>321542</v>
      </c>
      <c r="T53" s="5">
        <f t="shared" ref="T53" si="147">ROUND($C53*T49,0)</f>
        <v>27615</v>
      </c>
      <c r="U53" s="5">
        <f>S53+T53</f>
        <v>349157</v>
      </c>
    </row>
    <row r="54" spans="1:24" x14ac:dyDescent="0.2">
      <c r="A54" s="1">
        <f t="shared" si="0"/>
        <v>54</v>
      </c>
      <c r="B54" t="s">
        <v>130</v>
      </c>
      <c r="C54" s="5">
        <f>ROUND(('Calculation on 58MW'!N28+'Calculation on 58MW'!O28)*X54,0)</f>
        <v>1181381</v>
      </c>
      <c r="D54" s="5">
        <f>ROUND($C54*D51,0)</f>
        <v>29558</v>
      </c>
      <c r="E54" s="5">
        <f t="shared" ref="E54" si="148">ROUND($C54*E51,0)</f>
        <v>139840</v>
      </c>
      <c r="F54" s="5">
        <f>ROUND($C54*F51,0)</f>
        <v>59258</v>
      </c>
      <c r="G54" s="5">
        <f t="shared" ref="G54:R54" si="149">ROUND($C54*G51,0)</f>
        <v>61325</v>
      </c>
      <c r="H54" s="5">
        <f t="shared" si="149"/>
        <v>61869</v>
      </c>
      <c r="I54" s="5">
        <f t="shared" si="149"/>
        <v>60546</v>
      </c>
      <c r="J54" s="5">
        <f t="shared" si="149"/>
        <v>30657</v>
      </c>
      <c r="K54" s="5">
        <f t="shared" si="149"/>
        <v>52394</v>
      </c>
      <c r="L54" s="5">
        <f t="shared" si="149"/>
        <v>109656</v>
      </c>
      <c r="M54" s="5">
        <f t="shared" si="149"/>
        <v>35075</v>
      </c>
      <c r="N54" s="5">
        <f t="shared" si="149"/>
        <v>80960</v>
      </c>
      <c r="O54" s="5">
        <f t="shared" si="149"/>
        <v>144790</v>
      </c>
      <c r="P54" s="5">
        <f t="shared" si="149"/>
        <v>146255</v>
      </c>
      <c r="Q54" s="5">
        <f t="shared" si="149"/>
        <v>44810</v>
      </c>
      <c r="R54" s="5">
        <f t="shared" si="149"/>
        <v>60569</v>
      </c>
      <c r="S54" s="5">
        <f>SUM(D54:R54)</f>
        <v>1117562</v>
      </c>
      <c r="T54" s="5">
        <f t="shared" ref="T54" si="150">ROUND($C54*T51,0)</f>
        <v>63818</v>
      </c>
      <c r="U54" s="5">
        <f>S54+T54</f>
        <v>1181380</v>
      </c>
      <c r="W54" t="s">
        <v>205</v>
      </c>
      <c r="X54" s="28">
        <f>ROUND(X50/X52,5)</f>
        <v>0.58704999999999996</v>
      </c>
    </row>
    <row r="55" spans="1:24" x14ac:dyDescent="0.2">
      <c r="A55" s="1">
        <f t="shared" si="0"/>
        <v>55</v>
      </c>
    </row>
    <row r="56" spans="1:24" x14ac:dyDescent="0.2">
      <c r="A56" s="1">
        <f t="shared" si="0"/>
        <v>56</v>
      </c>
      <c r="B56" t="s">
        <v>16</v>
      </c>
    </row>
    <row r="57" spans="1:24" x14ac:dyDescent="0.2">
      <c r="A57" s="1">
        <f t="shared" si="0"/>
        <v>57</v>
      </c>
      <c r="B57" t="s">
        <v>125</v>
      </c>
      <c r="D57" s="1">
        <v>33944</v>
      </c>
      <c r="E57" s="1">
        <v>165520</v>
      </c>
      <c r="F57" s="1">
        <v>65710</v>
      </c>
      <c r="G57" s="1">
        <v>66702</v>
      </c>
      <c r="H57" s="1">
        <v>67613</v>
      </c>
      <c r="I57" s="1">
        <v>62832</v>
      </c>
      <c r="J57" s="1">
        <v>34644</v>
      </c>
      <c r="K57" s="1">
        <v>60086</v>
      </c>
      <c r="L57" s="1">
        <v>121587</v>
      </c>
      <c r="M57" s="1">
        <v>37853</v>
      </c>
      <c r="N57" s="1">
        <v>95276</v>
      </c>
      <c r="O57" s="1">
        <v>170683</v>
      </c>
      <c r="P57" s="1">
        <f>178397-1436</f>
        <v>176961</v>
      </c>
      <c r="Q57" s="1">
        <v>51701</v>
      </c>
      <c r="R57" s="1">
        <v>65581</v>
      </c>
      <c r="S57" s="1">
        <f>SUM(D57:R57)</f>
        <v>1276693</v>
      </c>
      <c r="T57" s="1">
        <f>164076-'Calculation on 58MW'!D30</f>
        <v>106076</v>
      </c>
      <c r="U57" s="1">
        <f>S57+T57</f>
        <v>1382769</v>
      </c>
      <c r="W57" t="s">
        <v>202</v>
      </c>
      <c r="X57" s="5">
        <f>39596176+11664218</f>
        <v>51260394</v>
      </c>
    </row>
    <row r="58" spans="1:24" x14ac:dyDescent="0.2">
      <c r="A58" s="1">
        <f t="shared" si="0"/>
        <v>58</v>
      </c>
      <c r="B58" t="s">
        <v>126</v>
      </c>
      <c r="D58" s="28">
        <f>ROUND(D57/$U57,5)</f>
        <v>2.4549999999999999E-2</v>
      </c>
      <c r="E58" s="28">
        <f t="shared" ref="E58" si="151">ROUND(E57/$U57,5)</f>
        <v>0.1197</v>
      </c>
      <c r="F58" s="28">
        <f t="shared" ref="F58" si="152">ROUND(F57/$U57,5)</f>
        <v>4.752E-2</v>
      </c>
      <c r="G58" s="28">
        <f t="shared" ref="G58" si="153">ROUND(G57/$U57,5)</f>
        <v>4.8239999999999998E-2</v>
      </c>
      <c r="H58" s="28">
        <f t="shared" ref="H58" si="154">ROUND(H57/$U57,5)</f>
        <v>4.8899999999999999E-2</v>
      </c>
      <c r="I58" s="28">
        <f t="shared" ref="I58" si="155">ROUND(I57/$U57,5)</f>
        <v>4.5440000000000001E-2</v>
      </c>
      <c r="J58" s="28">
        <f t="shared" ref="J58" si="156">ROUND(J57/$U57,5)</f>
        <v>2.5049999999999999E-2</v>
      </c>
      <c r="K58" s="28">
        <f t="shared" ref="K58" si="157">ROUND(K57/$U57,5)</f>
        <v>4.3450000000000003E-2</v>
      </c>
      <c r="L58" s="28">
        <f t="shared" ref="L58" si="158">ROUND(L57/$U57,5)</f>
        <v>8.7929999999999994E-2</v>
      </c>
      <c r="M58" s="28">
        <f t="shared" ref="M58" si="159">ROUND(M57/$U57,5)</f>
        <v>2.7369999999999998E-2</v>
      </c>
      <c r="N58" s="28">
        <f t="shared" ref="N58" si="160">ROUND(N57/$U57,5)</f>
        <v>6.8900000000000003E-2</v>
      </c>
      <c r="O58" s="28">
        <f t="shared" ref="O58" si="161">ROUND(O57/$U57,5)</f>
        <v>0.12343999999999999</v>
      </c>
      <c r="P58" s="28">
        <f t="shared" ref="P58" si="162">ROUND(P57/$U57,5)</f>
        <v>0.12798000000000001</v>
      </c>
      <c r="Q58" s="28">
        <f t="shared" ref="Q58" si="163">ROUND(Q57/$U57,5)</f>
        <v>3.739E-2</v>
      </c>
      <c r="R58" s="28">
        <f t="shared" ref="R58" si="164">ROUND(R57/$U57,5)</f>
        <v>4.743E-2</v>
      </c>
      <c r="S58" s="28">
        <f>SUM(D58:R58)</f>
        <v>0.92328999999999994</v>
      </c>
      <c r="T58" s="28">
        <f t="shared" ref="T58" si="165">ROUND(T57/$U57,5)</f>
        <v>7.671E-2</v>
      </c>
      <c r="U58" s="28">
        <f>S58+T58</f>
        <v>1</v>
      </c>
      <c r="W58" t="s">
        <v>201</v>
      </c>
      <c r="X58" s="29">
        <v>15019167</v>
      </c>
    </row>
    <row r="59" spans="1:24" x14ac:dyDescent="0.2">
      <c r="A59" s="1">
        <f t="shared" si="0"/>
        <v>59</v>
      </c>
      <c r="B59" t="s">
        <v>127</v>
      </c>
      <c r="D59" s="1">
        <v>14449034</v>
      </c>
      <c r="E59" s="1">
        <v>72264570</v>
      </c>
      <c r="F59" s="1">
        <v>29656150</v>
      </c>
      <c r="G59" s="1">
        <v>30912627</v>
      </c>
      <c r="H59" s="1">
        <v>32383506</v>
      </c>
      <c r="I59" s="1">
        <v>30217202</v>
      </c>
      <c r="J59" s="1">
        <v>15057789</v>
      </c>
      <c r="K59" s="1">
        <v>26705714</v>
      </c>
      <c r="L59" s="1">
        <v>54549228</v>
      </c>
      <c r="M59" s="1">
        <v>17102654</v>
      </c>
      <c r="N59" s="1">
        <v>42785322</v>
      </c>
      <c r="O59" s="1">
        <v>74993928</v>
      </c>
      <c r="P59" s="1">
        <f>78904250-710314</f>
        <v>78193936</v>
      </c>
      <c r="Q59" s="1">
        <v>23209880</v>
      </c>
      <c r="R59" s="1">
        <v>31302764</v>
      </c>
      <c r="S59" s="1">
        <f>SUM(D59:R59)</f>
        <v>573784304</v>
      </c>
      <c r="T59" s="1">
        <f>76573935-'Calculation on 58MW'!E30</f>
        <v>33421935</v>
      </c>
      <c r="U59" s="1">
        <f>S59+T59</f>
        <v>607206239</v>
      </c>
      <c r="W59" t="s">
        <v>203</v>
      </c>
      <c r="X59" s="5">
        <f>X57-X58</f>
        <v>36241227</v>
      </c>
    </row>
    <row r="60" spans="1:24" x14ac:dyDescent="0.2">
      <c r="A60" s="1">
        <f t="shared" si="0"/>
        <v>60</v>
      </c>
      <c r="B60" t="s">
        <v>128</v>
      </c>
      <c r="D60" s="28">
        <f>ROUND(D59/$U59,5)</f>
        <v>2.3800000000000002E-2</v>
      </c>
      <c r="E60" s="28">
        <f t="shared" ref="E60" si="166">ROUND(E59/$U59,5)</f>
        <v>0.11901</v>
      </c>
      <c r="F60" s="28">
        <f t="shared" ref="F60" si="167">ROUND(F59/$U59,5)</f>
        <v>4.8840000000000001E-2</v>
      </c>
      <c r="G60" s="28">
        <f t="shared" ref="G60" si="168">ROUND(G59/$U59,5)</f>
        <v>5.0909999999999997E-2</v>
      </c>
      <c r="H60" s="28">
        <f t="shared" ref="H60" si="169">ROUND(H59/$U59,5)</f>
        <v>5.3330000000000002E-2</v>
      </c>
      <c r="I60" s="28">
        <f t="shared" ref="I60" si="170">ROUND(I59/$U59,5)</f>
        <v>4.9759999999999999E-2</v>
      </c>
      <c r="J60" s="28">
        <f t="shared" ref="J60" si="171">ROUND(J59/$U59,5)</f>
        <v>2.4799999999999999E-2</v>
      </c>
      <c r="K60" s="28">
        <f t="shared" ref="K60" si="172">ROUND(K59/$U59,5)</f>
        <v>4.3979999999999998E-2</v>
      </c>
      <c r="L60" s="28">
        <f t="shared" ref="L60" si="173">ROUND(L59/$U59,5)</f>
        <v>8.9840000000000003E-2</v>
      </c>
      <c r="M60" s="28">
        <f t="shared" ref="M60" si="174">ROUND(M59/$U59,5)</f>
        <v>2.8170000000000001E-2</v>
      </c>
      <c r="N60" s="28">
        <f t="shared" ref="N60" si="175">ROUND(N59/$U59,5)</f>
        <v>7.0459999999999995E-2</v>
      </c>
      <c r="O60" s="28">
        <f t="shared" ref="O60" si="176">ROUND(O59/$U59,5)</f>
        <v>0.12350999999999999</v>
      </c>
      <c r="P60" s="28">
        <f t="shared" ref="P60" si="177">ROUND(P59/$U59,5)</f>
        <v>0.12878000000000001</v>
      </c>
      <c r="Q60" s="28">
        <f t="shared" ref="Q60" si="178">ROUND(Q59/$U59,5)</f>
        <v>3.8219999999999997E-2</v>
      </c>
      <c r="R60" s="28">
        <f t="shared" ref="R60" si="179">ROUND(R59/$U59,5)</f>
        <v>5.1549999999999999E-2</v>
      </c>
      <c r="S60" s="28">
        <f>SUM(D60:R60)</f>
        <v>0.94496000000000002</v>
      </c>
      <c r="T60" s="28">
        <f t="shared" ref="T60" si="180">ROUND(T59/$U59,5)</f>
        <v>5.5039999999999999E-2</v>
      </c>
      <c r="U60" s="28">
        <f>S60+T60</f>
        <v>1</v>
      </c>
    </row>
    <row r="61" spans="1:24" x14ac:dyDescent="0.2">
      <c r="A61" s="1">
        <f t="shared" si="0"/>
        <v>61</v>
      </c>
      <c r="W61" t="s">
        <v>204</v>
      </c>
      <c r="X61" s="5">
        <v>70814335</v>
      </c>
    </row>
    <row r="62" spans="1:24" x14ac:dyDescent="0.2">
      <c r="A62" s="1">
        <f t="shared" si="0"/>
        <v>62</v>
      </c>
      <c r="B62" t="s">
        <v>129</v>
      </c>
      <c r="C62" s="5">
        <f>'Calculation on 58MW'!M30</f>
        <v>349160</v>
      </c>
      <c r="D62" s="5">
        <f>ROUND($C62*D58,0)</f>
        <v>8572</v>
      </c>
      <c r="E62" s="5">
        <f t="shared" ref="E62" si="181">ROUND($C62*E58,0)</f>
        <v>41794</v>
      </c>
      <c r="F62" s="5">
        <f>ROUND($C62*F58,0)</f>
        <v>16592</v>
      </c>
      <c r="G62" s="5">
        <f t="shared" ref="G62:R62" si="182">ROUND($C62*G58,0)</f>
        <v>16843</v>
      </c>
      <c r="H62" s="5">
        <f t="shared" si="182"/>
        <v>17074</v>
      </c>
      <c r="I62" s="5">
        <f t="shared" si="182"/>
        <v>15866</v>
      </c>
      <c r="J62" s="5">
        <f t="shared" si="182"/>
        <v>8746</v>
      </c>
      <c r="K62" s="5">
        <f t="shared" si="182"/>
        <v>15171</v>
      </c>
      <c r="L62" s="5">
        <f t="shared" si="182"/>
        <v>30702</v>
      </c>
      <c r="M62" s="5">
        <f t="shared" si="182"/>
        <v>9557</v>
      </c>
      <c r="N62" s="5">
        <f t="shared" si="182"/>
        <v>24057</v>
      </c>
      <c r="O62" s="5">
        <f t="shared" si="182"/>
        <v>43100</v>
      </c>
      <c r="P62" s="5">
        <f t="shared" si="182"/>
        <v>44685</v>
      </c>
      <c r="Q62" s="5">
        <f t="shared" si="182"/>
        <v>13055</v>
      </c>
      <c r="R62" s="5">
        <f t="shared" si="182"/>
        <v>16561</v>
      </c>
      <c r="S62" s="5">
        <f>SUM(D62:R62)</f>
        <v>322375</v>
      </c>
      <c r="T62" s="5">
        <f t="shared" ref="T62" si="183">ROUND($C62*T58,0)</f>
        <v>26784</v>
      </c>
      <c r="U62" s="5">
        <f>S62+T62</f>
        <v>349159</v>
      </c>
    </row>
    <row r="63" spans="1:24" x14ac:dyDescent="0.2">
      <c r="A63" s="1">
        <f t="shared" si="0"/>
        <v>63</v>
      </c>
      <c r="B63" t="s">
        <v>130</v>
      </c>
      <c r="C63" s="5">
        <f>ROUND(('Calculation on 58MW'!N30+'Calculation on 58MW'!O30)*X63,0)</f>
        <v>1080288</v>
      </c>
      <c r="D63" s="5">
        <f>ROUND($C63*D60,0)</f>
        <v>25711</v>
      </c>
      <c r="E63" s="5">
        <f t="shared" ref="E63" si="184">ROUND($C63*E60,0)</f>
        <v>128565</v>
      </c>
      <c r="F63" s="5">
        <f>ROUND($C63*F60,0)</f>
        <v>52761</v>
      </c>
      <c r="G63" s="5">
        <f t="shared" ref="G63:R63" si="185">ROUND($C63*G60,0)</f>
        <v>54997</v>
      </c>
      <c r="H63" s="5">
        <f t="shared" si="185"/>
        <v>57612</v>
      </c>
      <c r="I63" s="5">
        <f t="shared" si="185"/>
        <v>53755</v>
      </c>
      <c r="J63" s="5">
        <f t="shared" si="185"/>
        <v>26791</v>
      </c>
      <c r="K63" s="5">
        <f t="shared" si="185"/>
        <v>47511</v>
      </c>
      <c r="L63" s="5">
        <f t="shared" si="185"/>
        <v>97053</v>
      </c>
      <c r="M63" s="5">
        <f t="shared" si="185"/>
        <v>30432</v>
      </c>
      <c r="N63" s="5">
        <f t="shared" si="185"/>
        <v>76117</v>
      </c>
      <c r="O63" s="5">
        <f t="shared" si="185"/>
        <v>133426</v>
      </c>
      <c r="P63" s="5">
        <f t="shared" si="185"/>
        <v>139119</v>
      </c>
      <c r="Q63" s="5">
        <f t="shared" si="185"/>
        <v>41289</v>
      </c>
      <c r="R63" s="5">
        <f t="shared" si="185"/>
        <v>55689</v>
      </c>
      <c r="S63" s="5">
        <f>SUM(D63:R63)</f>
        <v>1020828</v>
      </c>
      <c r="T63" s="5">
        <f t="shared" ref="T63" si="186">ROUND($C63*T60,0)</f>
        <v>59459</v>
      </c>
      <c r="U63" s="5">
        <f>S63+T63</f>
        <v>1080287</v>
      </c>
      <c r="W63" t="s">
        <v>205</v>
      </c>
      <c r="X63" s="28">
        <f>ROUND(X59/X61,5)</f>
        <v>0.51178000000000001</v>
      </c>
    </row>
    <row r="64" spans="1:24" x14ac:dyDescent="0.2">
      <c r="A64" s="1">
        <f t="shared" si="0"/>
        <v>64</v>
      </c>
    </row>
    <row r="65" spans="1:24" x14ac:dyDescent="0.2">
      <c r="A65" s="1">
        <f t="shared" si="0"/>
        <v>65</v>
      </c>
    </row>
    <row r="66" spans="1:24" x14ac:dyDescent="0.2">
      <c r="A66" s="1">
        <f t="shared" si="0"/>
        <v>66</v>
      </c>
      <c r="B66" t="s">
        <v>17</v>
      </c>
    </row>
    <row r="67" spans="1:24" x14ac:dyDescent="0.2">
      <c r="A67" s="1">
        <f t="shared" ref="A67:A125" si="187">A66+1</f>
        <v>67</v>
      </c>
      <c r="B67" t="s">
        <v>125</v>
      </c>
      <c r="D67" s="1">
        <v>35678</v>
      </c>
      <c r="E67" s="1">
        <v>189950</v>
      </c>
      <c r="F67" s="1">
        <v>75198</v>
      </c>
      <c r="G67" s="1">
        <v>63400</v>
      </c>
      <c r="H67" s="1">
        <v>82424</v>
      </c>
      <c r="I67" s="1">
        <v>72911</v>
      </c>
      <c r="J67" s="1">
        <v>39636</v>
      </c>
      <c r="K67" s="1">
        <v>72284</v>
      </c>
      <c r="L67" s="1">
        <v>127662</v>
      </c>
      <c r="M67" s="1">
        <v>40257</v>
      </c>
      <c r="N67" s="1">
        <v>115506</v>
      </c>
      <c r="O67" s="1">
        <v>192838</v>
      </c>
      <c r="P67" s="1">
        <f>206315-1633</f>
        <v>204682</v>
      </c>
      <c r="Q67" s="1">
        <v>58928</v>
      </c>
      <c r="R67" s="1">
        <v>79878</v>
      </c>
      <c r="S67" s="1">
        <f>SUM(D67:R67)</f>
        <v>1451232</v>
      </c>
      <c r="T67" s="1">
        <f>193102-'Calculation on 58MW'!D32</f>
        <v>135102</v>
      </c>
      <c r="U67" s="1">
        <f>S67+T67</f>
        <v>1586334</v>
      </c>
      <c r="W67" t="s">
        <v>202</v>
      </c>
      <c r="X67" s="5">
        <f>39580471+7134788</f>
        <v>46715259</v>
      </c>
    </row>
    <row r="68" spans="1:24" x14ac:dyDescent="0.2">
      <c r="A68" s="1">
        <f t="shared" si="187"/>
        <v>68</v>
      </c>
      <c r="B68" t="s">
        <v>126</v>
      </c>
      <c r="D68" s="28">
        <f>ROUND(D67/$U67,5)</f>
        <v>2.249E-2</v>
      </c>
      <c r="E68" s="28">
        <f t="shared" ref="E68" si="188">ROUND(E67/$U67,5)</f>
        <v>0.11974</v>
      </c>
      <c r="F68" s="28">
        <f t="shared" ref="F68" si="189">ROUND(F67/$U67,5)</f>
        <v>4.7399999999999998E-2</v>
      </c>
      <c r="G68" s="28">
        <f t="shared" ref="G68" si="190">ROUND(G67/$U67,5)</f>
        <v>3.9969999999999999E-2</v>
      </c>
      <c r="H68" s="28">
        <f t="shared" ref="H68" si="191">ROUND(H67/$U67,5)</f>
        <v>5.1959999999999999E-2</v>
      </c>
      <c r="I68" s="28">
        <f t="shared" ref="I68" si="192">ROUND(I67/$U67,5)</f>
        <v>4.5960000000000001E-2</v>
      </c>
      <c r="J68" s="28">
        <f t="shared" ref="J68" si="193">ROUND(J67/$U67,5)</f>
        <v>2.4989999999999998E-2</v>
      </c>
      <c r="K68" s="28">
        <f t="shared" ref="K68" si="194">ROUND(K67/$U67,5)</f>
        <v>4.5569999999999999E-2</v>
      </c>
      <c r="L68" s="28">
        <f t="shared" ref="L68" si="195">ROUND(L67/$U67,5)</f>
        <v>8.0479999999999996E-2</v>
      </c>
      <c r="M68" s="28">
        <f t="shared" ref="M68" si="196">ROUND(M67/$U67,5)</f>
        <v>2.538E-2</v>
      </c>
      <c r="N68" s="28">
        <f t="shared" ref="N68" si="197">ROUND(N67/$U67,5)</f>
        <v>7.281E-2</v>
      </c>
      <c r="O68" s="28">
        <f t="shared" ref="O68" si="198">ROUND(O67/$U67,5)</f>
        <v>0.12156</v>
      </c>
      <c r="P68" s="28">
        <f t="shared" ref="P68" si="199">ROUND(P67/$U67,5)</f>
        <v>0.12903000000000001</v>
      </c>
      <c r="Q68" s="28">
        <f t="shared" ref="Q68" si="200">ROUND(Q67/$U67,5)</f>
        <v>3.7150000000000002E-2</v>
      </c>
      <c r="R68" s="28">
        <f t="shared" ref="R68" si="201">ROUND(R67/$U67,5)</f>
        <v>5.0349999999999999E-2</v>
      </c>
      <c r="S68" s="28">
        <f>SUM(D68:R68)</f>
        <v>0.91483999999999999</v>
      </c>
      <c r="T68" s="28">
        <f t="shared" ref="T68" si="202">ROUND(T67/$U67,5)</f>
        <v>8.5169999999999996E-2</v>
      </c>
      <c r="U68" s="28">
        <f>S68+T68</f>
        <v>1.0000100000000001</v>
      </c>
      <c r="W68" t="s">
        <v>201</v>
      </c>
      <c r="X68" s="29">
        <v>16029723</v>
      </c>
    </row>
    <row r="69" spans="1:24" x14ac:dyDescent="0.2">
      <c r="A69" s="1">
        <f t="shared" si="187"/>
        <v>69</v>
      </c>
      <c r="B69" t="s">
        <v>127</v>
      </c>
      <c r="D69" s="1">
        <v>16202688</v>
      </c>
      <c r="E69" s="1">
        <v>82017533</v>
      </c>
      <c r="F69" s="1">
        <v>33364678</v>
      </c>
      <c r="G69" s="1">
        <v>33037467</v>
      </c>
      <c r="H69" s="1">
        <v>36605561</v>
      </c>
      <c r="I69" s="1">
        <v>32885707</v>
      </c>
      <c r="J69" s="1">
        <v>16914452</v>
      </c>
      <c r="K69" s="1">
        <v>30015344</v>
      </c>
      <c r="L69" s="1">
        <v>59618096</v>
      </c>
      <c r="M69" s="1">
        <v>18677888</v>
      </c>
      <c r="N69" s="1">
        <v>48782339</v>
      </c>
      <c r="O69" s="1">
        <v>87538107</v>
      </c>
      <c r="P69" s="1">
        <f>90538167-1003134</f>
        <v>89535033</v>
      </c>
      <c r="Q69" s="1">
        <v>26320276</v>
      </c>
      <c r="R69" s="1">
        <v>35235836</v>
      </c>
      <c r="S69" s="1">
        <f>SUM(D69:R69)</f>
        <v>646751005</v>
      </c>
      <c r="T69" s="1">
        <f>84659936-'Calculation on 58MW'!E32</f>
        <v>42899936</v>
      </c>
      <c r="U69" s="1">
        <f>S69+T69</f>
        <v>689650941</v>
      </c>
      <c r="W69" t="s">
        <v>203</v>
      </c>
      <c r="X69" s="5">
        <f>X67-X68</f>
        <v>30685536</v>
      </c>
    </row>
    <row r="70" spans="1:24" x14ac:dyDescent="0.2">
      <c r="A70" s="1">
        <f t="shared" si="187"/>
        <v>70</v>
      </c>
      <c r="B70" t="s">
        <v>128</v>
      </c>
      <c r="D70" s="28">
        <f>ROUND(D69/$U69,5)</f>
        <v>2.349E-2</v>
      </c>
      <c r="E70" s="28">
        <f t="shared" ref="E70" si="203">ROUND(E69/$U69,5)</f>
        <v>0.11892999999999999</v>
      </c>
      <c r="F70" s="28">
        <f t="shared" ref="F70" si="204">ROUND(F69/$U69,5)</f>
        <v>4.8379999999999999E-2</v>
      </c>
      <c r="G70" s="28">
        <f t="shared" ref="G70" si="205">ROUND(G69/$U69,5)</f>
        <v>4.7899999999999998E-2</v>
      </c>
      <c r="H70" s="28">
        <f t="shared" ref="H70" si="206">ROUND(H69/$U69,5)</f>
        <v>5.3080000000000002E-2</v>
      </c>
      <c r="I70" s="28">
        <f t="shared" ref="I70" si="207">ROUND(I69/$U69,5)</f>
        <v>4.768E-2</v>
      </c>
      <c r="J70" s="28">
        <f t="shared" ref="J70" si="208">ROUND(J69/$U69,5)</f>
        <v>2.453E-2</v>
      </c>
      <c r="K70" s="28">
        <f t="shared" ref="K70" si="209">ROUND(K69/$U69,5)</f>
        <v>4.3520000000000003E-2</v>
      </c>
      <c r="L70" s="28">
        <f t="shared" ref="L70" si="210">ROUND(L69/$U69,5)</f>
        <v>8.6449999999999999E-2</v>
      </c>
      <c r="M70" s="28">
        <f t="shared" ref="M70" si="211">ROUND(M69/$U69,5)</f>
        <v>2.708E-2</v>
      </c>
      <c r="N70" s="28">
        <f t="shared" ref="N70" si="212">ROUND(N69/$U69,5)</f>
        <v>7.0730000000000001E-2</v>
      </c>
      <c r="O70" s="28">
        <f t="shared" ref="O70" si="213">ROUND(O69/$U69,5)</f>
        <v>0.12692999999999999</v>
      </c>
      <c r="P70" s="28">
        <f t="shared" ref="P70" si="214">ROUND(P69/$U69,5)</f>
        <v>0.12983</v>
      </c>
      <c r="Q70" s="28">
        <f t="shared" ref="Q70" si="215">ROUND(Q69/$U69,5)</f>
        <v>3.8159999999999999E-2</v>
      </c>
      <c r="R70" s="28">
        <f t="shared" ref="R70" si="216">ROUND(R69/$U69,5)</f>
        <v>5.1090000000000003E-2</v>
      </c>
      <c r="S70" s="28">
        <f>SUM(D70:R70)</f>
        <v>0.93777999999999984</v>
      </c>
      <c r="T70" s="28">
        <f t="shared" ref="T70" si="217">ROUND(T69/$U69,5)</f>
        <v>6.2210000000000001E-2</v>
      </c>
      <c r="U70" s="28">
        <f>S70+T70</f>
        <v>0.99998999999999982</v>
      </c>
    </row>
    <row r="71" spans="1:24" x14ac:dyDescent="0.2">
      <c r="A71" s="1">
        <f t="shared" si="187"/>
        <v>71</v>
      </c>
      <c r="W71" t="s">
        <v>204</v>
      </c>
      <c r="X71" s="5">
        <v>66375484</v>
      </c>
    </row>
    <row r="72" spans="1:24" x14ac:dyDescent="0.2">
      <c r="A72" s="1">
        <f t="shared" si="187"/>
        <v>72</v>
      </c>
      <c r="B72" t="s">
        <v>129</v>
      </c>
      <c r="C72" s="5">
        <f>'Calculation on 58MW'!M32</f>
        <v>349160</v>
      </c>
      <c r="D72" s="5">
        <f>ROUND($C72*D68,0)</f>
        <v>7853</v>
      </c>
      <c r="E72" s="5">
        <f t="shared" ref="E72" si="218">ROUND($C72*E68,0)</f>
        <v>41808</v>
      </c>
      <c r="F72" s="5">
        <f>ROUND($C72*F68,0)</f>
        <v>16550</v>
      </c>
      <c r="G72" s="5">
        <f t="shared" ref="G72:R72" si="219">ROUND($C72*G68,0)</f>
        <v>13956</v>
      </c>
      <c r="H72" s="5">
        <f t="shared" si="219"/>
        <v>18142</v>
      </c>
      <c r="I72" s="5">
        <f t="shared" si="219"/>
        <v>16047</v>
      </c>
      <c r="J72" s="5">
        <f t="shared" si="219"/>
        <v>8726</v>
      </c>
      <c r="K72" s="5">
        <f t="shared" si="219"/>
        <v>15911</v>
      </c>
      <c r="L72" s="5">
        <f t="shared" si="219"/>
        <v>28100</v>
      </c>
      <c r="M72" s="5">
        <f t="shared" si="219"/>
        <v>8862</v>
      </c>
      <c r="N72" s="5">
        <f t="shared" si="219"/>
        <v>25422</v>
      </c>
      <c r="O72" s="5">
        <f t="shared" si="219"/>
        <v>42444</v>
      </c>
      <c r="P72" s="5">
        <f t="shared" si="219"/>
        <v>45052</v>
      </c>
      <c r="Q72" s="5">
        <f t="shared" si="219"/>
        <v>12971</v>
      </c>
      <c r="R72" s="5">
        <f t="shared" si="219"/>
        <v>17580</v>
      </c>
      <c r="S72" s="5">
        <f>SUM(D72:R72)</f>
        <v>319424</v>
      </c>
      <c r="T72" s="5">
        <f t="shared" ref="T72" si="220">ROUND($C72*T68,0)</f>
        <v>29738</v>
      </c>
      <c r="U72" s="5">
        <f>S72+T72</f>
        <v>349162</v>
      </c>
    </row>
    <row r="73" spans="1:24" x14ac:dyDescent="0.2">
      <c r="A73" s="1">
        <f t="shared" si="187"/>
        <v>73</v>
      </c>
      <c r="B73" t="s">
        <v>130</v>
      </c>
      <c r="C73" s="5">
        <f>ROUND(('Calculation on 58MW'!N32+'Calculation on 58MW'!O32)*X73,0)</f>
        <v>944365</v>
      </c>
      <c r="D73" s="5">
        <f>ROUND($C73*D70,0)</f>
        <v>22183</v>
      </c>
      <c r="E73" s="5">
        <f t="shared" ref="E73" si="221">ROUND($C73*E70,0)</f>
        <v>112313</v>
      </c>
      <c r="F73" s="5">
        <f>ROUND($C73*F70,0)</f>
        <v>45688</v>
      </c>
      <c r="G73" s="5">
        <f t="shared" ref="G73:R73" si="222">ROUND($C73*G70,0)</f>
        <v>45235</v>
      </c>
      <c r="H73" s="5">
        <f t="shared" si="222"/>
        <v>50127</v>
      </c>
      <c r="I73" s="5">
        <f t="shared" si="222"/>
        <v>45027</v>
      </c>
      <c r="J73" s="5">
        <f t="shared" si="222"/>
        <v>23165</v>
      </c>
      <c r="K73" s="5">
        <f t="shared" si="222"/>
        <v>41099</v>
      </c>
      <c r="L73" s="5">
        <f t="shared" si="222"/>
        <v>81640</v>
      </c>
      <c r="M73" s="5">
        <f t="shared" si="222"/>
        <v>25573</v>
      </c>
      <c r="N73" s="5">
        <f t="shared" si="222"/>
        <v>66795</v>
      </c>
      <c r="O73" s="5">
        <f t="shared" si="222"/>
        <v>119868</v>
      </c>
      <c r="P73" s="5">
        <f t="shared" si="222"/>
        <v>122607</v>
      </c>
      <c r="Q73" s="5">
        <f t="shared" si="222"/>
        <v>36037</v>
      </c>
      <c r="R73" s="5">
        <f t="shared" si="222"/>
        <v>48248</v>
      </c>
      <c r="S73" s="5">
        <f>SUM(D73:R73)</f>
        <v>885605</v>
      </c>
      <c r="T73" s="5">
        <f t="shared" ref="T73" si="223">ROUND($C73*T70,0)</f>
        <v>58749</v>
      </c>
      <c r="U73" s="5">
        <f>S73+T73</f>
        <v>944354</v>
      </c>
      <c r="W73" t="s">
        <v>205</v>
      </c>
      <c r="X73" s="28">
        <f>ROUND(X69/X71,5)</f>
        <v>0.46229999999999999</v>
      </c>
    </row>
    <row r="74" spans="1:24" x14ac:dyDescent="0.2">
      <c r="A74" s="1">
        <f t="shared" si="187"/>
        <v>74</v>
      </c>
    </row>
    <row r="75" spans="1:24" x14ac:dyDescent="0.2">
      <c r="A75" s="1">
        <f t="shared" si="187"/>
        <v>75</v>
      </c>
      <c r="B75" t="s">
        <v>18</v>
      </c>
    </row>
    <row r="76" spans="1:24" x14ac:dyDescent="0.2">
      <c r="A76" s="1">
        <f t="shared" si="187"/>
        <v>76</v>
      </c>
      <c r="B76" t="s">
        <v>125</v>
      </c>
      <c r="D76" s="1">
        <v>42410</v>
      </c>
      <c r="E76" s="1">
        <v>216753</v>
      </c>
      <c r="F76" s="1">
        <v>85919</v>
      </c>
      <c r="G76" s="1">
        <v>82738</v>
      </c>
      <c r="H76" s="1">
        <v>93582</v>
      </c>
      <c r="I76" s="1">
        <v>78517</v>
      </c>
      <c r="J76" s="1">
        <v>41874</v>
      </c>
      <c r="K76" s="1">
        <v>82427</v>
      </c>
      <c r="L76" s="1">
        <v>158641</v>
      </c>
      <c r="M76" s="1">
        <v>49850</v>
      </c>
      <c r="N76" s="1">
        <v>128880</v>
      </c>
      <c r="O76" s="1">
        <v>210314</v>
      </c>
      <c r="P76" s="1">
        <f>226018-1805</f>
        <v>224213</v>
      </c>
      <c r="Q76" s="1">
        <v>64094</v>
      </c>
      <c r="R76" s="1">
        <v>90253</v>
      </c>
      <c r="S76" s="1">
        <f>SUM(D76:R76)</f>
        <v>1650465</v>
      </c>
      <c r="T76" s="1">
        <f>218550-'Calculation on 58MW'!D34</f>
        <v>160550</v>
      </c>
      <c r="U76" s="1">
        <f>S76+T76</f>
        <v>1811015</v>
      </c>
      <c r="W76" t="s">
        <v>202</v>
      </c>
      <c r="X76" s="5">
        <f>49357637+5646829</f>
        <v>55004466</v>
      </c>
    </row>
    <row r="77" spans="1:24" x14ac:dyDescent="0.2">
      <c r="A77" s="1">
        <f t="shared" si="187"/>
        <v>77</v>
      </c>
      <c r="B77" t="s">
        <v>126</v>
      </c>
      <c r="D77" s="28">
        <f>ROUND(D76/$U76,5)</f>
        <v>2.342E-2</v>
      </c>
      <c r="E77" s="28">
        <f t="shared" ref="E77" si="224">ROUND(E76/$U76,5)</f>
        <v>0.11969</v>
      </c>
      <c r="F77" s="28">
        <f t="shared" ref="F77" si="225">ROUND(F76/$U76,5)</f>
        <v>4.7440000000000003E-2</v>
      </c>
      <c r="G77" s="28">
        <f t="shared" ref="G77" si="226">ROUND(G76/$U76,5)</f>
        <v>4.5690000000000001E-2</v>
      </c>
      <c r="H77" s="28">
        <f t="shared" ref="H77" si="227">ROUND(H76/$U76,5)</f>
        <v>5.1670000000000001E-2</v>
      </c>
      <c r="I77" s="28">
        <f t="shared" ref="I77" si="228">ROUND(I76/$U76,5)</f>
        <v>4.3360000000000003E-2</v>
      </c>
      <c r="J77" s="28">
        <f t="shared" ref="J77" si="229">ROUND(J76/$U76,5)</f>
        <v>2.3120000000000002E-2</v>
      </c>
      <c r="K77" s="28">
        <f t="shared" ref="K77" si="230">ROUND(K76/$U76,5)</f>
        <v>4.5510000000000002E-2</v>
      </c>
      <c r="L77" s="28">
        <f t="shared" ref="L77" si="231">ROUND(L76/$U76,5)</f>
        <v>8.7599999999999997E-2</v>
      </c>
      <c r="M77" s="28">
        <f t="shared" ref="M77" si="232">ROUND(M76/$U76,5)</f>
        <v>2.7529999999999999E-2</v>
      </c>
      <c r="N77" s="28">
        <f t="shared" ref="N77" si="233">ROUND(N76/$U76,5)</f>
        <v>7.1160000000000001E-2</v>
      </c>
      <c r="O77" s="28">
        <f t="shared" ref="O77" si="234">ROUND(O76/$U76,5)</f>
        <v>0.11613</v>
      </c>
      <c r="P77" s="28">
        <f t="shared" ref="P77" si="235">ROUND(P76/$U76,5)</f>
        <v>0.12381</v>
      </c>
      <c r="Q77" s="28">
        <f t="shared" ref="Q77" si="236">ROUND(Q76/$U76,5)</f>
        <v>3.5389999999999998E-2</v>
      </c>
      <c r="R77" s="28">
        <f t="shared" ref="R77" si="237">ROUND(R76/$U76,5)</f>
        <v>4.9840000000000002E-2</v>
      </c>
      <c r="S77" s="28">
        <f>SUM(D77:R77)</f>
        <v>0.91136000000000006</v>
      </c>
      <c r="T77" s="28">
        <f t="shared" ref="T77" si="238">ROUND(T76/$U76,5)</f>
        <v>8.8650000000000007E-2</v>
      </c>
      <c r="U77" s="28">
        <f>S77+T77</f>
        <v>1.0000100000000001</v>
      </c>
      <c r="W77" t="s">
        <v>201</v>
      </c>
      <c r="X77" s="29">
        <v>18708062</v>
      </c>
    </row>
    <row r="78" spans="1:24" x14ac:dyDescent="0.2">
      <c r="A78" s="1">
        <f t="shared" si="187"/>
        <v>78</v>
      </c>
      <c r="B78" t="s">
        <v>127</v>
      </c>
      <c r="D78" s="1">
        <v>19533790</v>
      </c>
      <c r="E78" s="1">
        <v>98056373</v>
      </c>
      <c r="F78" s="1">
        <v>39806839</v>
      </c>
      <c r="G78" s="1">
        <v>39285786</v>
      </c>
      <c r="H78" s="1">
        <v>43989331</v>
      </c>
      <c r="I78" s="1">
        <v>38573880</v>
      </c>
      <c r="J78" s="1">
        <v>20390814</v>
      </c>
      <c r="K78" s="1">
        <v>36836353</v>
      </c>
      <c r="L78" s="1">
        <v>72113298</v>
      </c>
      <c r="M78" s="1">
        <v>22625191</v>
      </c>
      <c r="N78" s="1">
        <v>58626706</v>
      </c>
      <c r="O78" s="1">
        <v>103093421</v>
      </c>
      <c r="P78" s="1">
        <f>107108070-627094</f>
        <v>106480976</v>
      </c>
      <c r="Q78" s="1">
        <v>30755911</v>
      </c>
      <c r="R78" s="1">
        <v>43137496</v>
      </c>
      <c r="S78" s="1">
        <f>SUM(D78:R78)</f>
        <v>773306165</v>
      </c>
      <c r="T78" s="1">
        <f>102647878-'Calculation on 58MW'!E34</f>
        <v>59495878</v>
      </c>
      <c r="U78" s="1">
        <f>S78+T78</f>
        <v>832802043</v>
      </c>
      <c r="W78" t="s">
        <v>203</v>
      </c>
      <c r="X78" s="5">
        <f>X76-X77</f>
        <v>36296404</v>
      </c>
    </row>
    <row r="79" spans="1:24" x14ac:dyDescent="0.2">
      <c r="A79" s="1">
        <f t="shared" si="187"/>
        <v>79</v>
      </c>
      <c r="B79" t="s">
        <v>128</v>
      </c>
      <c r="D79" s="28">
        <f>ROUND(D78/$U78,5)</f>
        <v>2.3460000000000002E-2</v>
      </c>
      <c r="E79" s="28">
        <f t="shared" ref="E79" si="239">ROUND(E78/$U78,5)</f>
        <v>0.11774</v>
      </c>
      <c r="F79" s="28">
        <f t="shared" ref="F79" si="240">ROUND(F78/$U78,5)</f>
        <v>4.7800000000000002E-2</v>
      </c>
      <c r="G79" s="28">
        <f t="shared" ref="G79" si="241">ROUND(G78/$U78,5)</f>
        <v>4.7169999999999997E-2</v>
      </c>
      <c r="H79" s="28">
        <f t="shared" ref="H79" si="242">ROUND(H78/$U78,5)</f>
        <v>5.2819999999999999E-2</v>
      </c>
      <c r="I79" s="28">
        <f t="shared" ref="I79" si="243">ROUND(I78/$U78,5)</f>
        <v>4.632E-2</v>
      </c>
      <c r="J79" s="28">
        <f t="shared" ref="J79" si="244">ROUND(J78/$U78,5)</f>
        <v>2.4479999999999998E-2</v>
      </c>
      <c r="K79" s="28">
        <f t="shared" ref="K79" si="245">ROUND(K78/$U78,5)</f>
        <v>4.4229999999999998E-2</v>
      </c>
      <c r="L79" s="28">
        <f t="shared" ref="L79" si="246">ROUND(L78/$U78,5)</f>
        <v>8.659E-2</v>
      </c>
      <c r="M79" s="28">
        <f t="shared" ref="M79" si="247">ROUND(M78/$U78,5)</f>
        <v>2.717E-2</v>
      </c>
      <c r="N79" s="28">
        <f t="shared" ref="N79" si="248">ROUND(N78/$U78,5)</f>
        <v>7.0400000000000004E-2</v>
      </c>
      <c r="O79" s="28">
        <f t="shared" ref="O79" si="249">ROUND(O78/$U78,5)</f>
        <v>0.12379</v>
      </c>
      <c r="P79" s="28">
        <f t="shared" ref="P79" si="250">ROUND(P78/$U78,5)</f>
        <v>0.12786</v>
      </c>
      <c r="Q79" s="28">
        <f t="shared" ref="Q79" si="251">ROUND(Q78/$U78,5)</f>
        <v>3.6929999999999998E-2</v>
      </c>
      <c r="R79" s="28">
        <f t="shared" ref="R79" si="252">ROUND(R78/$U78,5)</f>
        <v>5.1799999999999999E-2</v>
      </c>
      <c r="S79" s="28">
        <f>SUM(D79:R79)</f>
        <v>0.92855999999999994</v>
      </c>
      <c r="T79" s="28">
        <f t="shared" ref="T79" si="253">ROUND(T78/$U78,5)</f>
        <v>7.1440000000000003E-2</v>
      </c>
      <c r="U79" s="28">
        <f>S79+T79</f>
        <v>1</v>
      </c>
    </row>
    <row r="80" spans="1:24" x14ac:dyDescent="0.2">
      <c r="A80" s="1">
        <f t="shared" si="187"/>
        <v>80</v>
      </c>
      <c r="W80" t="s">
        <v>204</v>
      </c>
      <c r="X80" s="5">
        <v>74766247</v>
      </c>
    </row>
    <row r="81" spans="1:24" x14ac:dyDescent="0.2">
      <c r="A81" s="1">
        <f t="shared" si="187"/>
        <v>81</v>
      </c>
      <c r="B81" t="s">
        <v>129</v>
      </c>
      <c r="C81" s="5">
        <f>'Calculation on 58MW'!M34</f>
        <v>349160</v>
      </c>
      <c r="D81" s="5">
        <f>ROUND($C81*D77,0)</f>
        <v>8177</v>
      </c>
      <c r="E81" s="5">
        <f t="shared" ref="E81" si="254">ROUND($C81*E77,0)</f>
        <v>41791</v>
      </c>
      <c r="F81" s="5">
        <f>ROUND($C81*F77,0)</f>
        <v>16564</v>
      </c>
      <c r="G81" s="5">
        <f t="shared" ref="G81:R81" si="255">ROUND($C81*G77,0)</f>
        <v>15953</v>
      </c>
      <c r="H81" s="5">
        <f t="shared" si="255"/>
        <v>18041</v>
      </c>
      <c r="I81" s="5">
        <f t="shared" si="255"/>
        <v>15140</v>
      </c>
      <c r="J81" s="5">
        <f t="shared" si="255"/>
        <v>8073</v>
      </c>
      <c r="K81" s="5">
        <f t="shared" si="255"/>
        <v>15890</v>
      </c>
      <c r="L81" s="5">
        <f t="shared" si="255"/>
        <v>30586</v>
      </c>
      <c r="M81" s="5">
        <f t="shared" si="255"/>
        <v>9612</v>
      </c>
      <c r="N81" s="5">
        <f t="shared" si="255"/>
        <v>24846</v>
      </c>
      <c r="O81" s="5">
        <f t="shared" si="255"/>
        <v>40548</v>
      </c>
      <c r="P81" s="5">
        <f t="shared" si="255"/>
        <v>43229</v>
      </c>
      <c r="Q81" s="5">
        <f t="shared" si="255"/>
        <v>12357</v>
      </c>
      <c r="R81" s="5">
        <f t="shared" si="255"/>
        <v>17402</v>
      </c>
      <c r="S81" s="5">
        <f>SUM(D81:R81)</f>
        <v>318209</v>
      </c>
      <c r="T81" s="5">
        <f t="shared" ref="T81" si="256">ROUND($C81*T77,0)</f>
        <v>30953</v>
      </c>
      <c r="U81" s="5">
        <f>S81+T81</f>
        <v>349162</v>
      </c>
    </row>
    <row r="82" spans="1:24" x14ac:dyDescent="0.2">
      <c r="A82" s="1">
        <f t="shared" si="187"/>
        <v>82</v>
      </c>
      <c r="B82" t="s">
        <v>130</v>
      </c>
      <c r="C82" s="5">
        <f>ROUND(('Calculation on 58MW'!N34+'Calculation on 58MW'!O34)*X82,0)</f>
        <v>1024752</v>
      </c>
      <c r="D82" s="5">
        <f>ROUND($C82*D79,0)</f>
        <v>24041</v>
      </c>
      <c r="E82" s="5">
        <f t="shared" ref="E82" si="257">ROUND($C82*E79,0)</f>
        <v>120654</v>
      </c>
      <c r="F82" s="5">
        <f>ROUND($C82*F79,0)</f>
        <v>48983</v>
      </c>
      <c r="G82" s="5">
        <f t="shared" ref="G82:R82" si="258">ROUND($C82*G79,0)</f>
        <v>48338</v>
      </c>
      <c r="H82" s="5">
        <f t="shared" si="258"/>
        <v>54127</v>
      </c>
      <c r="I82" s="5">
        <f t="shared" si="258"/>
        <v>47467</v>
      </c>
      <c r="J82" s="5">
        <f t="shared" si="258"/>
        <v>25086</v>
      </c>
      <c r="K82" s="5">
        <f t="shared" si="258"/>
        <v>45325</v>
      </c>
      <c r="L82" s="5">
        <f t="shared" si="258"/>
        <v>88733</v>
      </c>
      <c r="M82" s="5">
        <f t="shared" si="258"/>
        <v>27843</v>
      </c>
      <c r="N82" s="5">
        <f t="shared" si="258"/>
        <v>72143</v>
      </c>
      <c r="O82" s="5">
        <f t="shared" si="258"/>
        <v>126854</v>
      </c>
      <c r="P82" s="5">
        <f t="shared" si="258"/>
        <v>131025</v>
      </c>
      <c r="Q82" s="5">
        <f t="shared" si="258"/>
        <v>37844</v>
      </c>
      <c r="R82" s="5">
        <f t="shared" si="258"/>
        <v>53082</v>
      </c>
      <c r="S82" s="5">
        <f>SUM(D82:R82)</f>
        <v>951545</v>
      </c>
      <c r="T82" s="5">
        <f t="shared" ref="T82" si="259">ROUND($C82*T79,0)</f>
        <v>73208</v>
      </c>
      <c r="U82" s="5">
        <f>S82+T82</f>
        <v>1024753</v>
      </c>
      <c r="W82" t="s">
        <v>205</v>
      </c>
      <c r="X82" s="28">
        <f>ROUND(X78/X80,5)</f>
        <v>0.48547000000000001</v>
      </c>
    </row>
    <row r="83" spans="1:24" x14ac:dyDescent="0.2">
      <c r="A83" s="1">
        <f t="shared" si="187"/>
        <v>83</v>
      </c>
    </row>
    <row r="84" spans="1:24" x14ac:dyDescent="0.2">
      <c r="A84" s="1">
        <f t="shared" si="187"/>
        <v>84</v>
      </c>
      <c r="B84" t="s">
        <v>19</v>
      </c>
    </row>
    <row r="85" spans="1:24" x14ac:dyDescent="0.2">
      <c r="A85" s="1">
        <f t="shared" si="187"/>
        <v>85</v>
      </c>
      <c r="B85" t="s">
        <v>125</v>
      </c>
      <c r="D85" s="1">
        <v>38554</v>
      </c>
      <c r="E85" s="1">
        <v>200707</v>
      </c>
      <c r="F85" s="1">
        <v>79015</v>
      </c>
      <c r="G85" s="1">
        <v>76280</v>
      </c>
      <c r="H85" s="1">
        <v>85907</v>
      </c>
      <c r="I85" s="1">
        <v>77404</v>
      </c>
      <c r="J85" s="1">
        <v>41901</v>
      </c>
      <c r="K85" s="1">
        <v>75598</v>
      </c>
      <c r="L85" s="1">
        <v>142475</v>
      </c>
      <c r="M85" s="1">
        <v>45199</v>
      </c>
      <c r="N85" s="1">
        <v>116675</v>
      </c>
      <c r="O85" s="1">
        <v>205903</v>
      </c>
      <c r="P85" s="1">
        <f>210563-1761</f>
        <v>208802</v>
      </c>
      <c r="Q85" s="1">
        <v>60460</v>
      </c>
      <c r="R85" s="1">
        <v>81376</v>
      </c>
      <c r="S85" s="1">
        <f>SUM(D85:R85)</f>
        <v>1536256</v>
      </c>
      <c r="T85" s="1">
        <f>198941-'Calculation on 58MW'!D36</f>
        <v>140941</v>
      </c>
      <c r="U85" s="1">
        <f>S85+T85</f>
        <v>1677197</v>
      </c>
      <c r="W85" t="s">
        <v>202</v>
      </c>
      <c r="X85" s="5">
        <f>43365466+6399882</f>
        <v>49765348</v>
      </c>
    </row>
    <row r="86" spans="1:24" x14ac:dyDescent="0.2">
      <c r="A86" s="1">
        <f t="shared" si="187"/>
        <v>86</v>
      </c>
      <c r="B86" t="s">
        <v>126</v>
      </c>
      <c r="D86" s="28">
        <f>ROUND(D85/$U85,5)</f>
        <v>2.299E-2</v>
      </c>
      <c r="E86" s="28">
        <f t="shared" ref="E86" si="260">ROUND(E85/$U85,5)</f>
        <v>0.11967</v>
      </c>
      <c r="F86" s="28">
        <f t="shared" ref="F86" si="261">ROUND(F85/$U85,5)</f>
        <v>4.7109999999999999E-2</v>
      </c>
      <c r="G86" s="28">
        <f t="shared" ref="G86" si="262">ROUND(G85/$U85,5)</f>
        <v>4.548E-2</v>
      </c>
      <c r="H86" s="28">
        <f t="shared" ref="H86" si="263">ROUND(H85/$U85,5)</f>
        <v>5.1220000000000002E-2</v>
      </c>
      <c r="I86" s="28">
        <f t="shared" ref="I86" si="264">ROUND(I85/$U85,5)</f>
        <v>4.6149999999999997E-2</v>
      </c>
      <c r="J86" s="28">
        <f t="shared" ref="J86" si="265">ROUND(J85/$U85,5)</f>
        <v>2.4979999999999999E-2</v>
      </c>
      <c r="K86" s="28">
        <f t="shared" ref="K86" si="266">ROUND(K85/$U85,5)</f>
        <v>4.5069999999999999E-2</v>
      </c>
      <c r="L86" s="28">
        <f t="shared" ref="L86" si="267">ROUND(L85/$U85,5)</f>
        <v>8.4949999999999998E-2</v>
      </c>
      <c r="M86" s="28">
        <f t="shared" ref="M86" si="268">ROUND(M85/$U85,5)</f>
        <v>2.6950000000000002E-2</v>
      </c>
      <c r="N86" s="28">
        <f t="shared" ref="N86" si="269">ROUND(N85/$U85,5)</f>
        <v>6.9570000000000007E-2</v>
      </c>
      <c r="O86" s="28">
        <f t="shared" ref="O86" si="270">ROUND(O85/$U85,5)</f>
        <v>0.12277</v>
      </c>
      <c r="P86" s="28">
        <f t="shared" ref="P86" si="271">ROUND(P85/$U85,5)</f>
        <v>0.12449</v>
      </c>
      <c r="Q86" s="28">
        <f t="shared" ref="Q86" si="272">ROUND(Q85/$U85,5)</f>
        <v>3.6049999999999999E-2</v>
      </c>
      <c r="R86" s="28">
        <f t="shared" ref="R86" si="273">ROUND(R85/$U85,5)</f>
        <v>4.8520000000000001E-2</v>
      </c>
      <c r="S86" s="28">
        <f>SUM(D86:R86)</f>
        <v>0.91597000000000017</v>
      </c>
      <c r="T86" s="28">
        <f t="shared" ref="T86" si="274">ROUND(T85/$U85,5)</f>
        <v>8.4029999999999994E-2</v>
      </c>
      <c r="U86" s="28">
        <f>S86+T86</f>
        <v>1.0000000000000002</v>
      </c>
      <c r="W86" t="s">
        <v>201</v>
      </c>
      <c r="X86" s="29">
        <v>18554029</v>
      </c>
    </row>
    <row r="87" spans="1:24" x14ac:dyDescent="0.2">
      <c r="A87" s="1">
        <f t="shared" si="187"/>
        <v>87</v>
      </c>
      <c r="B87" t="s">
        <v>127</v>
      </c>
      <c r="D87" s="1">
        <v>17335569</v>
      </c>
      <c r="E87" s="1">
        <v>87253112</v>
      </c>
      <c r="F87" s="1">
        <v>35303621</v>
      </c>
      <c r="G87" s="1">
        <v>36264283</v>
      </c>
      <c r="H87" s="1">
        <v>39659748</v>
      </c>
      <c r="I87" s="1">
        <v>35213310</v>
      </c>
      <c r="J87" s="1">
        <v>18000619</v>
      </c>
      <c r="K87" s="1">
        <v>32095223</v>
      </c>
      <c r="L87" s="1">
        <v>64810013</v>
      </c>
      <c r="M87" s="1">
        <v>20074536</v>
      </c>
      <c r="N87" s="1">
        <v>51498196</v>
      </c>
      <c r="O87" s="1">
        <v>92549246</v>
      </c>
      <c r="P87" s="1">
        <f>95665135-1138287</f>
        <v>94526848</v>
      </c>
      <c r="Q87" s="1">
        <v>27497599</v>
      </c>
      <c r="R87" s="1">
        <v>38004273</v>
      </c>
      <c r="S87" s="1">
        <f>SUM(D87:R87)</f>
        <v>690086196</v>
      </c>
      <c r="T87" s="1">
        <f>92381478-'Calculation on 58MW'!E36</f>
        <v>49229478</v>
      </c>
      <c r="U87" s="1">
        <f>S87+T87</f>
        <v>739315674</v>
      </c>
      <c r="W87" t="s">
        <v>203</v>
      </c>
      <c r="X87" s="5">
        <f>X85-X86</f>
        <v>31211319</v>
      </c>
    </row>
    <row r="88" spans="1:24" x14ac:dyDescent="0.2">
      <c r="A88" s="1">
        <f t="shared" si="187"/>
        <v>88</v>
      </c>
      <c r="B88" t="s">
        <v>128</v>
      </c>
      <c r="D88" s="28">
        <f>ROUND(D87/$U87,5)</f>
        <v>2.3449999999999999E-2</v>
      </c>
      <c r="E88" s="28">
        <f t="shared" ref="E88" si="275">ROUND(E87/$U87,5)</f>
        <v>0.11802</v>
      </c>
      <c r="F88" s="28">
        <f t="shared" ref="F88" si="276">ROUND(F87/$U87,5)</f>
        <v>4.7750000000000001E-2</v>
      </c>
      <c r="G88" s="28">
        <f t="shared" ref="G88" si="277">ROUND(G87/$U87,5)</f>
        <v>4.9050000000000003E-2</v>
      </c>
      <c r="H88" s="28">
        <f t="shared" ref="H88" si="278">ROUND(H87/$U87,5)</f>
        <v>5.364E-2</v>
      </c>
      <c r="I88" s="28">
        <f t="shared" ref="I88" si="279">ROUND(I87/$U87,5)</f>
        <v>4.7629999999999999E-2</v>
      </c>
      <c r="J88" s="28">
        <f t="shared" ref="J88" si="280">ROUND(J87/$U87,5)</f>
        <v>2.435E-2</v>
      </c>
      <c r="K88" s="28">
        <f t="shared" ref="K88" si="281">ROUND(K87/$U87,5)</f>
        <v>4.3409999999999997E-2</v>
      </c>
      <c r="L88" s="28">
        <f t="shared" ref="L88" si="282">ROUND(L87/$U87,5)</f>
        <v>8.7660000000000002E-2</v>
      </c>
      <c r="M88" s="28">
        <f t="shared" ref="M88" si="283">ROUND(M87/$U87,5)</f>
        <v>2.7150000000000001E-2</v>
      </c>
      <c r="N88" s="28">
        <f t="shared" ref="N88" si="284">ROUND(N87/$U87,5)</f>
        <v>6.966E-2</v>
      </c>
      <c r="O88" s="28">
        <f t="shared" ref="O88" si="285">ROUND(O87/$U87,5)</f>
        <v>0.12518000000000001</v>
      </c>
      <c r="P88" s="28">
        <f t="shared" ref="P88" si="286">ROUND(P87/$U87,5)</f>
        <v>0.12786</v>
      </c>
      <c r="Q88" s="28">
        <f t="shared" ref="Q88" si="287">ROUND(Q87/$U87,5)</f>
        <v>3.7190000000000001E-2</v>
      </c>
      <c r="R88" s="28">
        <f t="shared" ref="R88" si="288">ROUND(R87/$U87,5)</f>
        <v>5.1400000000000001E-2</v>
      </c>
      <c r="S88" s="28">
        <f>SUM(D88:R88)</f>
        <v>0.9333999999999999</v>
      </c>
      <c r="T88" s="28">
        <f t="shared" ref="T88" si="289">ROUND(T87/$U87,5)</f>
        <v>6.6589999999999996E-2</v>
      </c>
      <c r="U88" s="28">
        <f>S88+T88</f>
        <v>0.99998999999999993</v>
      </c>
    </row>
    <row r="89" spans="1:24" x14ac:dyDescent="0.2">
      <c r="A89" s="1">
        <f t="shared" si="187"/>
        <v>89</v>
      </c>
      <c r="W89" t="s">
        <v>204</v>
      </c>
      <c r="X89" s="5">
        <v>69887640</v>
      </c>
    </row>
    <row r="90" spans="1:24" x14ac:dyDescent="0.2">
      <c r="A90" s="1">
        <f t="shared" si="187"/>
        <v>90</v>
      </c>
      <c r="B90" t="s">
        <v>129</v>
      </c>
      <c r="C90" s="5">
        <f>'Calculation on 58MW'!M36</f>
        <v>349160</v>
      </c>
      <c r="D90" s="5">
        <f>ROUND($C90*D86,0)</f>
        <v>8027</v>
      </c>
      <c r="E90" s="5">
        <f t="shared" ref="E90" si="290">ROUND($C90*E86,0)</f>
        <v>41784</v>
      </c>
      <c r="F90" s="5">
        <f>ROUND($C90*F86,0)</f>
        <v>16449</v>
      </c>
      <c r="G90" s="5">
        <f t="shared" ref="G90:R90" si="291">ROUND($C90*G86,0)</f>
        <v>15880</v>
      </c>
      <c r="H90" s="5">
        <f t="shared" si="291"/>
        <v>17884</v>
      </c>
      <c r="I90" s="5">
        <f t="shared" si="291"/>
        <v>16114</v>
      </c>
      <c r="J90" s="5">
        <f t="shared" si="291"/>
        <v>8722</v>
      </c>
      <c r="K90" s="5">
        <f t="shared" si="291"/>
        <v>15737</v>
      </c>
      <c r="L90" s="5">
        <f t="shared" si="291"/>
        <v>29661</v>
      </c>
      <c r="M90" s="5">
        <f t="shared" si="291"/>
        <v>9410</v>
      </c>
      <c r="N90" s="5">
        <f t="shared" si="291"/>
        <v>24291</v>
      </c>
      <c r="O90" s="5">
        <f t="shared" si="291"/>
        <v>42866</v>
      </c>
      <c r="P90" s="5">
        <f t="shared" si="291"/>
        <v>43467</v>
      </c>
      <c r="Q90" s="5">
        <f t="shared" si="291"/>
        <v>12587</v>
      </c>
      <c r="R90" s="5">
        <f t="shared" si="291"/>
        <v>16941</v>
      </c>
      <c r="S90" s="5">
        <f>SUM(D90:R90)</f>
        <v>319820</v>
      </c>
      <c r="T90" s="5">
        <f t="shared" ref="T90" si="292">ROUND($C90*T86,0)</f>
        <v>29340</v>
      </c>
      <c r="U90" s="5">
        <f>S90+T90</f>
        <v>349160</v>
      </c>
    </row>
    <row r="91" spans="1:24" x14ac:dyDescent="0.2">
      <c r="A91" s="1">
        <f t="shared" si="187"/>
        <v>91</v>
      </c>
      <c r="B91" t="s">
        <v>130</v>
      </c>
      <c r="C91" s="5">
        <f>ROUND(('Calculation on 58MW'!N36+'Calculation on 58MW'!O36)*X91,0)</f>
        <v>942682</v>
      </c>
      <c r="D91" s="5">
        <f>ROUND($C91*D88,0)</f>
        <v>22106</v>
      </c>
      <c r="E91" s="5">
        <f t="shared" ref="E91" si="293">ROUND($C91*E88,0)</f>
        <v>111255</v>
      </c>
      <c r="F91" s="5">
        <f>ROUND($C91*F88,0)</f>
        <v>45013</v>
      </c>
      <c r="G91" s="5">
        <f t="shared" ref="G91:R91" si="294">ROUND($C91*G88,0)</f>
        <v>46239</v>
      </c>
      <c r="H91" s="5">
        <f t="shared" si="294"/>
        <v>50565</v>
      </c>
      <c r="I91" s="5">
        <f t="shared" si="294"/>
        <v>44900</v>
      </c>
      <c r="J91" s="5">
        <f t="shared" si="294"/>
        <v>22954</v>
      </c>
      <c r="K91" s="5">
        <f t="shared" si="294"/>
        <v>40922</v>
      </c>
      <c r="L91" s="5">
        <f t="shared" si="294"/>
        <v>82636</v>
      </c>
      <c r="M91" s="5">
        <f t="shared" si="294"/>
        <v>25594</v>
      </c>
      <c r="N91" s="5">
        <f t="shared" si="294"/>
        <v>65667</v>
      </c>
      <c r="O91" s="5">
        <f t="shared" si="294"/>
        <v>118005</v>
      </c>
      <c r="P91" s="5">
        <f t="shared" si="294"/>
        <v>120531</v>
      </c>
      <c r="Q91" s="5">
        <f t="shared" si="294"/>
        <v>35058</v>
      </c>
      <c r="R91" s="5">
        <f t="shared" si="294"/>
        <v>48454</v>
      </c>
      <c r="S91" s="5">
        <f>SUM(D91:R91)</f>
        <v>879899</v>
      </c>
      <c r="T91" s="5">
        <f t="shared" ref="T91" si="295">ROUND($C91*T88,0)</f>
        <v>62773</v>
      </c>
      <c r="U91" s="5">
        <f>S91+T91</f>
        <v>942672</v>
      </c>
      <c r="W91" t="s">
        <v>205</v>
      </c>
      <c r="X91" s="28">
        <f>ROUND(X87/X89,5)</f>
        <v>0.44658999999999999</v>
      </c>
    </row>
    <row r="92" spans="1:24" x14ac:dyDescent="0.2">
      <c r="A92" s="1">
        <f t="shared" si="187"/>
        <v>92</v>
      </c>
    </row>
    <row r="93" spans="1:24" x14ac:dyDescent="0.2">
      <c r="A93" s="1">
        <f t="shared" si="187"/>
        <v>93</v>
      </c>
      <c r="B93" t="s">
        <v>20</v>
      </c>
    </row>
    <row r="94" spans="1:24" x14ac:dyDescent="0.2">
      <c r="A94" s="1">
        <f t="shared" si="187"/>
        <v>94</v>
      </c>
      <c r="B94" t="s">
        <v>125</v>
      </c>
      <c r="D94" s="1">
        <v>32805</v>
      </c>
      <c r="E94" s="1">
        <v>177534</v>
      </c>
      <c r="F94" s="1">
        <v>67227</v>
      </c>
      <c r="G94" s="1">
        <v>67040</v>
      </c>
      <c r="H94" s="1">
        <v>76610</v>
      </c>
      <c r="I94" s="1">
        <v>69653</v>
      </c>
      <c r="J94" s="1">
        <v>35517</v>
      </c>
      <c r="K94" s="1">
        <v>65999</v>
      </c>
      <c r="L94" s="1">
        <v>124110</v>
      </c>
      <c r="M94" s="1">
        <v>37544</v>
      </c>
      <c r="N94" s="1">
        <v>110462</v>
      </c>
      <c r="O94" s="1">
        <v>194563</v>
      </c>
      <c r="P94" s="1">
        <f>198495-1280</f>
        <v>197215</v>
      </c>
      <c r="Q94" s="1">
        <v>58787</v>
      </c>
      <c r="R94" s="1">
        <v>72566</v>
      </c>
      <c r="S94" s="1">
        <f>SUM(D94:R94)</f>
        <v>1387632</v>
      </c>
      <c r="T94" s="1">
        <f>165348-'Calculation on 58MW'!D38</f>
        <v>107348</v>
      </c>
      <c r="U94" s="1">
        <f>S94+T94</f>
        <v>1494980</v>
      </c>
      <c r="W94" t="s">
        <v>202</v>
      </c>
      <c r="X94" s="5">
        <f>40803907+8146560</f>
        <v>48950467</v>
      </c>
    </row>
    <row r="95" spans="1:24" x14ac:dyDescent="0.2">
      <c r="A95" s="1">
        <f t="shared" si="187"/>
        <v>95</v>
      </c>
      <c r="B95" t="s">
        <v>126</v>
      </c>
      <c r="D95" s="28">
        <f>ROUND(D94/$U94,5)</f>
        <v>2.1940000000000001E-2</v>
      </c>
      <c r="E95" s="28">
        <f t="shared" ref="E95" si="296">ROUND(E94/$U94,5)</f>
        <v>0.11874999999999999</v>
      </c>
      <c r="F95" s="28">
        <f t="shared" ref="F95" si="297">ROUND(F94/$U94,5)</f>
        <v>4.4970000000000003E-2</v>
      </c>
      <c r="G95" s="28">
        <f t="shared" ref="G95" si="298">ROUND(G94/$U94,5)</f>
        <v>4.4839999999999998E-2</v>
      </c>
      <c r="H95" s="28">
        <f t="shared" ref="H95" si="299">ROUND(H94/$U94,5)</f>
        <v>5.1240000000000001E-2</v>
      </c>
      <c r="I95" s="28">
        <f t="shared" ref="I95" si="300">ROUND(I94/$U94,5)</f>
        <v>4.6589999999999999E-2</v>
      </c>
      <c r="J95" s="28">
        <f t="shared" ref="J95" si="301">ROUND(J94/$U94,5)</f>
        <v>2.376E-2</v>
      </c>
      <c r="K95" s="28">
        <f t="shared" ref="K95" si="302">ROUND(K94/$U94,5)</f>
        <v>4.4150000000000002E-2</v>
      </c>
      <c r="L95" s="28">
        <f t="shared" ref="L95" si="303">ROUND(L94/$U94,5)</f>
        <v>8.3019999999999997E-2</v>
      </c>
      <c r="M95" s="28">
        <f t="shared" ref="M95" si="304">ROUND(M94/$U94,5)</f>
        <v>2.511E-2</v>
      </c>
      <c r="N95" s="28">
        <f t="shared" ref="N95" si="305">ROUND(N94/$U94,5)</f>
        <v>7.3889999999999997E-2</v>
      </c>
      <c r="O95" s="28">
        <f t="shared" ref="O95" si="306">ROUND(O94/$U94,5)</f>
        <v>0.13014000000000001</v>
      </c>
      <c r="P95" s="28">
        <f t="shared" ref="P95" si="307">ROUND(P94/$U94,5)</f>
        <v>0.13192000000000001</v>
      </c>
      <c r="Q95" s="28">
        <f t="shared" ref="Q95" si="308">ROUND(Q94/$U94,5)</f>
        <v>3.9320000000000001E-2</v>
      </c>
      <c r="R95" s="28">
        <f t="shared" ref="R95" si="309">ROUND(R94/$U94,5)</f>
        <v>4.854E-2</v>
      </c>
      <c r="S95" s="28">
        <f>SUM(D95:R95)</f>
        <v>0.92818000000000012</v>
      </c>
      <c r="T95" s="28">
        <f t="shared" ref="T95" si="310">ROUND(T94/$U94,5)</f>
        <v>7.1809999999999999E-2</v>
      </c>
      <c r="U95" s="28">
        <f>S95+T95</f>
        <v>0.99999000000000016</v>
      </c>
      <c r="W95" t="s">
        <v>201</v>
      </c>
      <c r="X95" s="29">
        <v>13290090</v>
      </c>
    </row>
    <row r="96" spans="1:24" x14ac:dyDescent="0.2">
      <c r="A96" s="1">
        <f t="shared" si="187"/>
        <v>96</v>
      </c>
      <c r="B96" t="s">
        <v>127</v>
      </c>
      <c r="D96" s="1">
        <v>14206968</v>
      </c>
      <c r="E96" s="1">
        <v>71250505</v>
      </c>
      <c r="F96" s="1">
        <v>28536951</v>
      </c>
      <c r="G96" s="1">
        <v>30023081</v>
      </c>
      <c r="H96" s="1">
        <v>32302193</v>
      </c>
      <c r="I96" s="1">
        <v>29278462</v>
      </c>
      <c r="J96" s="1">
        <v>14889862</v>
      </c>
      <c r="K96" s="1">
        <v>26358305</v>
      </c>
      <c r="L96" s="1">
        <v>53661378</v>
      </c>
      <c r="M96" s="1">
        <v>16630920</v>
      </c>
      <c r="N96" s="1">
        <v>43124849</v>
      </c>
      <c r="O96" s="1">
        <v>77063014</v>
      </c>
      <c r="P96" s="1">
        <f>79102147-730036</f>
        <v>78372111</v>
      </c>
      <c r="Q96" s="1">
        <v>23224746</v>
      </c>
      <c r="R96" s="1">
        <v>31138453</v>
      </c>
      <c r="S96" s="1">
        <f>SUM(D96:R96)</f>
        <v>570061798</v>
      </c>
      <c r="T96" s="1">
        <f>75467823-'Calculation on 58MW'!E38</f>
        <v>33707823</v>
      </c>
      <c r="U96" s="1">
        <f>S96+T96</f>
        <v>603769621</v>
      </c>
      <c r="W96" t="s">
        <v>203</v>
      </c>
      <c r="X96" s="5">
        <f>X94-X95</f>
        <v>35660377</v>
      </c>
    </row>
    <row r="97" spans="1:24" x14ac:dyDescent="0.2">
      <c r="A97" s="1">
        <f t="shared" si="187"/>
        <v>97</v>
      </c>
      <c r="B97" t="s">
        <v>128</v>
      </c>
      <c r="D97" s="28">
        <f>ROUND(D96/$U96,5)</f>
        <v>2.3529999999999999E-2</v>
      </c>
      <c r="E97" s="28">
        <f t="shared" ref="E97" si="311">ROUND(E96/$U96,5)</f>
        <v>0.11801</v>
      </c>
      <c r="F97" s="28">
        <f t="shared" ref="F97" si="312">ROUND(F96/$U96,5)</f>
        <v>4.7260000000000003E-2</v>
      </c>
      <c r="G97" s="28">
        <f t="shared" ref="G97" si="313">ROUND(G96/$U96,5)</f>
        <v>4.9730000000000003E-2</v>
      </c>
      <c r="H97" s="28">
        <f t="shared" ref="H97" si="314">ROUND(H96/$U96,5)</f>
        <v>5.3499999999999999E-2</v>
      </c>
      <c r="I97" s="28">
        <f t="shared" ref="I97" si="315">ROUND(I96/$U96,5)</f>
        <v>4.8489999999999998E-2</v>
      </c>
      <c r="J97" s="28">
        <f t="shared" ref="J97" si="316">ROUND(J96/$U96,5)</f>
        <v>2.4660000000000001E-2</v>
      </c>
      <c r="K97" s="28">
        <f t="shared" ref="K97" si="317">ROUND(K96/$U96,5)</f>
        <v>4.3659999999999997E-2</v>
      </c>
      <c r="L97" s="28">
        <f t="shared" ref="L97" si="318">ROUND(L96/$U96,5)</f>
        <v>8.8880000000000001E-2</v>
      </c>
      <c r="M97" s="28">
        <f t="shared" ref="M97" si="319">ROUND(M96/$U96,5)</f>
        <v>2.7550000000000002E-2</v>
      </c>
      <c r="N97" s="28">
        <f t="shared" ref="N97" si="320">ROUND(N96/$U96,5)</f>
        <v>7.1429999999999993E-2</v>
      </c>
      <c r="O97" s="28">
        <f t="shared" ref="O97" si="321">ROUND(O96/$U96,5)</f>
        <v>0.12764</v>
      </c>
      <c r="P97" s="28">
        <f t="shared" ref="P97" si="322">ROUND(P96/$U96,5)</f>
        <v>0.1298</v>
      </c>
      <c r="Q97" s="28">
        <f t="shared" ref="Q97" si="323">ROUND(Q96/$U96,5)</f>
        <v>3.8469999999999997E-2</v>
      </c>
      <c r="R97" s="28">
        <f t="shared" ref="R97" si="324">ROUND(R96/$U96,5)</f>
        <v>5.1569999999999998E-2</v>
      </c>
      <c r="S97" s="28">
        <f>SUM(D97:R97)</f>
        <v>0.94418000000000002</v>
      </c>
      <c r="T97" s="28">
        <f t="shared" ref="T97" si="325">ROUND(T96/$U96,5)</f>
        <v>5.5829999999999998E-2</v>
      </c>
      <c r="U97" s="28">
        <f>S97+T97</f>
        <v>1.0000100000000001</v>
      </c>
    </row>
    <row r="98" spans="1:24" x14ac:dyDescent="0.2">
      <c r="A98" s="1">
        <f t="shared" si="187"/>
        <v>98</v>
      </c>
      <c r="W98" t="s">
        <v>204</v>
      </c>
      <c r="X98" s="5">
        <v>68877448</v>
      </c>
    </row>
    <row r="99" spans="1:24" x14ac:dyDescent="0.2">
      <c r="A99" s="1">
        <f t="shared" si="187"/>
        <v>99</v>
      </c>
      <c r="B99" t="s">
        <v>129</v>
      </c>
      <c r="C99" s="5">
        <f>'Calculation on 58MW'!M38</f>
        <v>349160</v>
      </c>
      <c r="D99" s="5">
        <f>ROUND($C99*D95,0)</f>
        <v>7661</v>
      </c>
      <c r="E99" s="5">
        <f t="shared" ref="E99" si="326">ROUND($C99*E95,0)</f>
        <v>41463</v>
      </c>
      <c r="F99" s="5">
        <f>ROUND($C99*F95,0)</f>
        <v>15702</v>
      </c>
      <c r="G99" s="5">
        <f t="shared" ref="G99:R99" si="327">ROUND($C99*G95,0)</f>
        <v>15656</v>
      </c>
      <c r="H99" s="5">
        <f t="shared" si="327"/>
        <v>17891</v>
      </c>
      <c r="I99" s="5">
        <f t="shared" si="327"/>
        <v>16267</v>
      </c>
      <c r="J99" s="5">
        <f t="shared" si="327"/>
        <v>8296</v>
      </c>
      <c r="K99" s="5">
        <f t="shared" si="327"/>
        <v>15415</v>
      </c>
      <c r="L99" s="5">
        <f t="shared" si="327"/>
        <v>28987</v>
      </c>
      <c r="M99" s="5">
        <f t="shared" si="327"/>
        <v>8767</v>
      </c>
      <c r="N99" s="5">
        <f t="shared" si="327"/>
        <v>25799</v>
      </c>
      <c r="O99" s="5">
        <f t="shared" si="327"/>
        <v>45440</v>
      </c>
      <c r="P99" s="5">
        <f t="shared" si="327"/>
        <v>46061</v>
      </c>
      <c r="Q99" s="5">
        <f t="shared" si="327"/>
        <v>13729</v>
      </c>
      <c r="R99" s="5">
        <f t="shared" si="327"/>
        <v>16948</v>
      </c>
      <c r="S99" s="5">
        <f>SUM(D99:R99)</f>
        <v>324082</v>
      </c>
      <c r="T99" s="5">
        <f t="shared" ref="T99" si="328">ROUND($C99*T95,0)</f>
        <v>25073</v>
      </c>
      <c r="U99" s="5">
        <f>S99+T99</f>
        <v>349155</v>
      </c>
    </row>
    <row r="100" spans="1:24" x14ac:dyDescent="0.2">
      <c r="A100" s="1">
        <f t="shared" si="187"/>
        <v>100</v>
      </c>
      <c r="B100" t="s">
        <v>130</v>
      </c>
      <c r="C100" s="5">
        <f>ROUND(('Calculation on 58MW'!N38+'Calculation on 58MW'!O38)*X100,0)</f>
        <v>1006157</v>
      </c>
      <c r="D100" s="5">
        <f>ROUND($C100*D97,0)</f>
        <v>23675</v>
      </c>
      <c r="E100" s="5">
        <f t="shared" ref="E100" si="329">ROUND($C100*E97,0)</f>
        <v>118737</v>
      </c>
      <c r="F100" s="5">
        <f>ROUND($C100*F97,0)</f>
        <v>47551</v>
      </c>
      <c r="G100" s="5">
        <f t="shared" ref="G100:R100" si="330">ROUND($C100*G97,0)</f>
        <v>50036</v>
      </c>
      <c r="H100" s="5">
        <f t="shared" si="330"/>
        <v>53829</v>
      </c>
      <c r="I100" s="5">
        <f t="shared" si="330"/>
        <v>48789</v>
      </c>
      <c r="J100" s="5">
        <f t="shared" si="330"/>
        <v>24812</v>
      </c>
      <c r="K100" s="5">
        <f t="shared" si="330"/>
        <v>43929</v>
      </c>
      <c r="L100" s="5">
        <f t="shared" si="330"/>
        <v>89427</v>
      </c>
      <c r="M100" s="5">
        <f t="shared" si="330"/>
        <v>27720</v>
      </c>
      <c r="N100" s="5">
        <f t="shared" si="330"/>
        <v>71870</v>
      </c>
      <c r="O100" s="5">
        <f t="shared" si="330"/>
        <v>128426</v>
      </c>
      <c r="P100" s="5">
        <f t="shared" si="330"/>
        <v>130599</v>
      </c>
      <c r="Q100" s="5">
        <f t="shared" si="330"/>
        <v>38707</v>
      </c>
      <c r="R100" s="5">
        <f t="shared" si="330"/>
        <v>51888</v>
      </c>
      <c r="S100" s="5">
        <f>SUM(D100:R100)</f>
        <v>949995</v>
      </c>
      <c r="T100" s="5">
        <f t="shared" ref="T100" si="331">ROUND($C100*T97,0)</f>
        <v>56174</v>
      </c>
      <c r="U100" s="5">
        <f>S100+T100</f>
        <v>1006169</v>
      </c>
      <c r="W100" t="s">
        <v>205</v>
      </c>
      <c r="X100" s="28">
        <f>ROUND(X96/X98,5)</f>
        <v>0.51773999999999998</v>
      </c>
    </row>
    <row r="101" spans="1:24" x14ac:dyDescent="0.2">
      <c r="A101" s="1">
        <f t="shared" si="187"/>
        <v>101</v>
      </c>
    </row>
    <row r="102" spans="1:24" x14ac:dyDescent="0.2">
      <c r="A102" s="1">
        <f t="shared" si="187"/>
        <v>102</v>
      </c>
      <c r="B102" t="s">
        <v>21</v>
      </c>
    </row>
    <row r="103" spans="1:24" x14ac:dyDescent="0.2">
      <c r="A103" s="1">
        <f t="shared" si="187"/>
        <v>103</v>
      </c>
      <c r="B103" t="s">
        <v>125</v>
      </c>
      <c r="D103" s="1">
        <v>37727</v>
      </c>
      <c r="E103" s="1">
        <v>173122</v>
      </c>
      <c r="F103" s="1">
        <v>73677</v>
      </c>
      <c r="G103" s="1">
        <v>78984</v>
      </c>
      <c r="H103" s="1">
        <v>72979</v>
      </c>
      <c r="I103" s="1">
        <v>73862</v>
      </c>
      <c r="J103" s="1">
        <v>36592</v>
      </c>
      <c r="K103" s="1">
        <v>71728</v>
      </c>
      <c r="L103" s="1">
        <v>149845</v>
      </c>
      <c r="M103" s="1">
        <v>41583</v>
      </c>
      <c r="N103" s="1">
        <v>96557</v>
      </c>
      <c r="O103" s="1">
        <v>146264</v>
      </c>
      <c r="P103" s="1">
        <f>155691-1709</f>
        <v>153982</v>
      </c>
      <c r="Q103" s="1">
        <v>51037</v>
      </c>
      <c r="R103" s="1">
        <v>77708</v>
      </c>
      <c r="S103" s="1">
        <f>SUM(D103:R103)</f>
        <v>1335647</v>
      </c>
      <c r="T103" s="1">
        <f>211829-'Calculation on 58MW'!D40</f>
        <v>153829</v>
      </c>
      <c r="U103" s="1">
        <f>S103+T103</f>
        <v>1489476</v>
      </c>
      <c r="W103" t="s">
        <v>202</v>
      </c>
      <c r="X103" s="5">
        <f>41340549+10034914</f>
        <v>51375463</v>
      </c>
    </row>
    <row r="104" spans="1:24" x14ac:dyDescent="0.2">
      <c r="A104" s="1">
        <f t="shared" si="187"/>
        <v>104</v>
      </c>
      <c r="B104" t="s">
        <v>126</v>
      </c>
      <c r="D104" s="28">
        <f>ROUND(D103/$U103,5)</f>
        <v>2.5329999999999998E-2</v>
      </c>
      <c r="E104" s="28">
        <f t="shared" ref="E104" si="332">ROUND(E103/$U103,5)</f>
        <v>0.11623</v>
      </c>
      <c r="F104" s="28">
        <f t="shared" ref="F104" si="333">ROUND(F103/$U103,5)</f>
        <v>4.947E-2</v>
      </c>
      <c r="G104" s="28">
        <f t="shared" ref="G104" si="334">ROUND(G103/$U103,5)</f>
        <v>5.3030000000000001E-2</v>
      </c>
      <c r="H104" s="28">
        <f t="shared" ref="H104" si="335">ROUND(H103/$U103,5)</f>
        <v>4.9000000000000002E-2</v>
      </c>
      <c r="I104" s="28">
        <f t="shared" ref="I104" si="336">ROUND(I103/$U103,5)</f>
        <v>4.9590000000000002E-2</v>
      </c>
      <c r="J104" s="28">
        <f t="shared" ref="J104" si="337">ROUND(J103/$U103,5)</f>
        <v>2.4570000000000002E-2</v>
      </c>
      <c r="K104" s="28">
        <f t="shared" ref="K104" si="338">ROUND(K103/$U103,5)</f>
        <v>4.8160000000000001E-2</v>
      </c>
      <c r="L104" s="28">
        <f t="shared" ref="L104" si="339">ROUND(L103/$U103,5)</f>
        <v>0.10059999999999999</v>
      </c>
      <c r="M104" s="28">
        <f t="shared" ref="M104" si="340">ROUND(M103/$U103,5)</f>
        <v>2.792E-2</v>
      </c>
      <c r="N104" s="28">
        <f t="shared" ref="N104" si="341">ROUND(N103/$U103,5)</f>
        <v>6.4829999999999999E-2</v>
      </c>
      <c r="O104" s="28">
        <f t="shared" ref="O104" si="342">ROUND(O103/$U103,5)</f>
        <v>9.8199999999999996E-2</v>
      </c>
      <c r="P104" s="28">
        <f t="shared" ref="P104" si="343">ROUND(P103/$U103,5)</f>
        <v>0.10338</v>
      </c>
      <c r="Q104" s="28">
        <f t="shared" ref="Q104" si="344">ROUND(Q103/$U103,5)</f>
        <v>3.4270000000000002E-2</v>
      </c>
      <c r="R104" s="28">
        <f t="shared" ref="R104" si="345">ROUND(R103/$U103,5)</f>
        <v>5.2170000000000001E-2</v>
      </c>
      <c r="S104" s="28">
        <f>SUM(D104:R104)</f>
        <v>0.89675000000000005</v>
      </c>
      <c r="T104" s="28">
        <f t="shared" ref="T104" si="346">ROUND(T103/$U103,5)</f>
        <v>0.10328</v>
      </c>
      <c r="U104" s="28">
        <f>S104+T104</f>
        <v>1.00003</v>
      </c>
      <c r="W104" t="s">
        <v>201</v>
      </c>
      <c r="X104" s="29">
        <v>11408661</v>
      </c>
    </row>
    <row r="105" spans="1:24" x14ac:dyDescent="0.2">
      <c r="A105" s="1">
        <f t="shared" si="187"/>
        <v>105</v>
      </c>
      <c r="B105" t="s">
        <v>127</v>
      </c>
      <c r="D105" s="1">
        <v>14986538</v>
      </c>
      <c r="E105" s="1">
        <v>69982852</v>
      </c>
      <c r="F105" s="1">
        <v>29259112</v>
      </c>
      <c r="G105" s="1">
        <v>32004659</v>
      </c>
      <c r="H105" s="1">
        <v>32030398</v>
      </c>
      <c r="I105" s="1">
        <v>30886355</v>
      </c>
      <c r="J105" s="1">
        <v>15576351</v>
      </c>
      <c r="K105" s="1">
        <v>26822917</v>
      </c>
      <c r="L105" s="1">
        <v>56362576</v>
      </c>
      <c r="M105" s="1">
        <v>17810657</v>
      </c>
      <c r="N105" s="1">
        <v>41776449</v>
      </c>
      <c r="O105" s="1">
        <v>73189024</v>
      </c>
      <c r="P105" s="1">
        <f>74073619-733600</f>
        <v>73340019</v>
      </c>
      <c r="Q105" s="1">
        <v>22855794</v>
      </c>
      <c r="R105" s="1">
        <v>31240619</v>
      </c>
      <c r="S105" s="1">
        <f>SUM(D105:R105)</f>
        <v>568124320</v>
      </c>
      <c r="T105" s="1">
        <f>77747250-'Calculation on 58MW'!E40</f>
        <v>34595250</v>
      </c>
      <c r="U105" s="1">
        <f>S105+T105</f>
        <v>602719570</v>
      </c>
      <c r="W105" t="s">
        <v>203</v>
      </c>
      <c r="X105" s="5">
        <f>X103-X104</f>
        <v>39966802</v>
      </c>
    </row>
    <row r="106" spans="1:24" x14ac:dyDescent="0.2">
      <c r="A106" s="1">
        <f t="shared" si="187"/>
        <v>106</v>
      </c>
      <c r="B106" t="s">
        <v>128</v>
      </c>
      <c r="D106" s="28">
        <f>ROUND(D105/$U105,5)</f>
        <v>2.486E-2</v>
      </c>
      <c r="E106" s="28">
        <f t="shared" ref="E106" si="347">ROUND(E105/$U105,5)</f>
        <v>0.11611</v>
      </c>
      <c r="F106" s="28">
        <f t="shared" ref="F106" si="348">ROUND(F105/$U105,5)</f>
        <v>4.8550000000000003E-2</v>
      </c>
      <c r="G106" s="28">
        <f t="shared" ref="G106" si="349">ROUND(G105/$U105,5)</f>
        <v>5.3100000000000001E-2</v>
      </c>
      <c r="H106" s="28">
        <f t="shared" ref="H106" si="350">ROUND(H105/$U105,5)</f>
        <v>5.314E-2</v>
      </c>
      <c r="I106" s="28">
        <f t="shared" ref="I106" si="351">ROUND(I105/$U105,5)</f>
        <v>5.1240000000000001E-2</v>
      </c>
      <c r="J106" s="28">
        <f t="shared" ref="J106" si="352">ROUND(J105/$U105,5)</f>
        <v>2.5839999999999998E-2</v>
      </c>
      <c r="K106" s="28">
        <f t="shared" ref="K106" si="353">ROUND(K105/$U105,5)</f>
        <v>4.4499999999999998E-2</v>
      </c>
      <c r="L106" s="28">
        <f t="shared" ref="L106" si="354">ROUND(L105/$U105,5)</f>
        <v>9.3509999999999996E-2</v>
      </c>
      <c r="M106" s="28">
        <f t="shared" ref="M106" si="355">ROUND(M105/$U105,5)</f>
        <v>2.955E-2</v>
      </c>
      <c r="N106" s="28">
        <f t="shared" ref="N106" si="356">ROUND(N105/$U105,5)</f>
        <v>6.9309999999999997E-2</v>
      </c>
      <c r="O106" s="28">
        <f t="shared" ref="O106" si="357">ROUND(O105/$U105,5)</f>
        <v>0.12143</v>
      </c>
      <c r="P106" s="28">
        <f t="shared" ref="P106" si="358">ROUND(P105/$U105,5)</f>
        <v>0.12168</v>
      </c>
      <c r="Q106" s="28">
        <f t="shared" ref="Q106" si="359">ROUND(Q105/$U105,5)</f>
        <v>3.7920000000000002E-2</v>
      </c>
      <c r="R106" s="28">
        <f t="shared" ref="R106" si="360">ROUND(R105/$U105,5)</f>
        <v>5.1830000000000001E-2</v>
      </c>
      <c r="S106" s="28">
        <f>SUM(D106:R106)</f>
        <v>0.94257000000000002</v>
      </c>
      <c r="T106" s="28">
        <f t="shared" ref="T106" si="361">ROUND(T105/$U105,5)</f>
        <v>5.74E-2</v>
      </c>
      <c r="U106" s="28">
        <f>S106+T106</f>
        <v>0.99997000000000003</v>
      </c>
    </row>
    <row r="107" spans="1:24" x14ac:dyDescent="0.2">
      <c r="A107" s="1">
        <f t="shared" si="187"/>
        <v>107</v>
      </c>
      <c r="W107" t="s">
        <v>204</v>
      </c>
      <c r="X107" s="5">
        <v>71906053</v>
      </c>
    </row>
    <row r="108" spans="1:24" x14ac:dyDescent="0.2">
      <c r="A108" s="1">
        <f t="shared" si="187"/>
        <v>108</v>
      </c>
      <c r="B108" t="s">
        <v>129</v>
      </c>
      <c r="C108" s="5">
        <f>'Calculation on 58MW'!M40</f>
        <v>349160</v>
      </c>
      <c r="D108" s="5">
        <f>ROUND($C108*D104,0)</f>
        <v>8844</v>
      </c>
      <c r="E108" s="5">
        <f t="shared" ref="E108" si="362">ROUND($C108*E104,0)</f>
        <v>40583</v>
      </c>
      <c r="F108" s="5">
        <f>ROUND($C108*F104,0)</f>
        <v>17273</v>
      </c>
      <c r="G108" s="5">
        <f t="shared" ref="G108:R108" si="363">ROUND($C108*G104,0)</f>
        <v>18516</v>
      </c>
      <c r="H108" s="5">
        <f t="shared" si="363"/>
        <v>17109</v>
      </c>
      <c r="I108" s="5">
        <f t="shared" si="363"/>
        <v>17315</v>
      </c>
      <c r="J108" s="5">
        <f t="shared" si="363"/>
        <v>8579</v>
      </c>
      <c r="K108" s="5">
        <f t="shared" si="363"/>
        <v>16816</v>
      </c>
      <c r="L108" s="5">
        <f t="shared" si="363"/>
        <v>35125</v>
      </c>
      <c r="M108" s="5">
        <f t="shared" si="363"/>
        <v>9749</v>
      </c>
      <c r="N108" s="5">
        <f t="shared" si="363"/>
        <v>22636</v>
      </c>
      <c r="O108" s="5">
        <f t="shared" si="363"/>
        <v>34288</v>
      </c>
      <c r="P108" s="5">
        <f t="shared" si="363"/>
        <v>36096</v>
      </c>
      <c r="Q108" s="5">
        <f t="shared" si="363"/>
        <v>11966</v>
      </c>
      <c r="R108" s="5">
        <f t="shared" si="363"/>
        <v>18216</v>
      </c>
      <c r="S108" s="5">
        <f>SUM(D108:R108)</f>
        <v>313111</v>
      </c>
      <c r="T108" s="5">
        <f t="shared" ref="T108" si="364">ROUND($C108*T104,0)</f>
        <v>36061</v>
      </c>
      <c r="U108" s="5">
        <f>S108+T108</f>
        <v>349172</v>
      </c>
    </row>
    <row r="109" spans="1:24" x14ac:dyDescent="0.2">
      <c r="A109" s="1">
        <f t="shared" si="187"/>
        <v>109</v>
      </c>
      <c r="B109" t="s">
        <v>130</v>
      </c>
      <c r="C109" s="5">
        <f>ROUND(('Calculation on 58MW'!N40+'Calculation on 58MW'!O40)*X109,0)</f>
        <v>1098734</v>
      </c>
      <c r="D109" s="5">
        <f>ROUND($C109*D106,0)</f>
        <v>27315</v>
      </c>
      <c r="E109" s="5">
        <f t="shared" ref="E109" si="365">ROUND($C109*E106,0)</f>
        <v>127574</v>
      </c>
      <c r="F109" s="5">
        <f>ROUND($C109*F106,0)</f>
        <v>53344</v>
      </c>
      <c r="G109" s="5">
        <f t="shared" ref="G109:R109" si="366">ROUND($C109*G106,0)</f>
        <v>58343</v>
      </c>
      <c r="H109" s="5">
        <f t="shared" si="366"/>
        <v>58387</v>
      </c>
      <c r="I109" s="5">
        <f t="shared" si="366"/>
        <v>56299</v>
      </c>
      <c r="J109" s="5">
        <f t="shared" si="366"/>
        <v>28391</v>
      </c>
      <c r="K109" s="5">
        <f t="shared" si="366"/>
        <v>48894</v>
      </c>
      <c r="L109" s="5">
        <f t="shared" si="366"/>
        <v>102743</v>
      </c>
      <c r="M109" s="5">
        <f t="shared" si="366"/>
        <v>32468</v>
      </c>
      <c r="N109" s="5">
        <f t="shared" si="366"/>
        <v>76153</v>
      </c>
      <c r="O109" s="5">
        <f t="shared" si="366"/>
        <v>133419</v>
      </c>
      <c r="P109" s="5">
        <f t="shared" si="366"/>
        <v>133694</v>
      </c>
      <c r="Q109" s="5">
        <f t="shared" si="366"/>
        <v>41664</v>
      </c>
      <c r="R109" s="5">
        <f t="shared" si="366"/>
        <v>56947</v>
      </c>
      <c r="S109" s="5">
        <f>SUM(D109:R109)</f>
        <v>1035635</v>
      </c>
      <c r="T109" s="5">
        <f t="shared" ref="T109" si="367">ROUND($C109*T106,0)</f>
        <v>63067</v>
      </c>
      <c r="U109" s="5">
        <f>S109+T109</f>
        <v>1098702</v>
      </c>
      <c r="W109" t="s">
        <v>205</v>
      </c>
      <c r="X109" s="28">
        <f>ROUND(X105/X107,5)</f>
        <v>0.55581999999999998</v>
      </c>
    </row>
    <row r="110" spans="1:24" x14ac:dyDescent="0.2">
      <c r="A110" s="1">
        <f t="shared" si="187"/>
        <v>110</v>
      </c>
    </row>
    <row r="111" spans="1:24" x14ac:dyDescent="0.2">
      <c r="A111" s="1">
        <f t="shared" si="187"/>
        <v>111</v>
      </c>
      <c r="B111" t="s">
        <v>22</v>
      </c>
    </row>
    <row r="112" spans="1:24" x14ac:dyDescent="0.2">
      <c r="A112" s="1">
        <f t="shared" si="187"/>
        <v>112</v>
      </c>
      <c r="B112" t="s">
        <v>125</v>
      </c>
      <c r="D112" s="1">
        <v>45113</v>
      </c>
      <c r="E112" s="1">
        <v>210505</v>
      </c>
      <c r="F112" s="1">
        <v>87548</v>
      </c>
      <c r="G112" s="1">
        <v>89575</v>
      </c>
      <c r="H112" s="1">
        <v>82904</v>
      </c>
      <c r="I112" s="1">
        <v>84651</v>
      </c>
      <c r="J112" s="1">
        <v>41236</v>
      </c>
      <c r="K112" s="1">
        <v>85270</v>
      </c>
      <c r="L112" s="1">
        <v>175149</v>
      </c>
      <c r="M112" s="1">
        <v>47713</v>
      </c>
      <c r="N112" s="1">
        <v>120394</v>
      </c>
      <c r="O112" s="1">
        <v>169876</v>
      </c>
      <c r="P112" s="1">
        <f>186954-1779</f>
        <v>185175</v>
      </c>
      <c r="Q112" s="1">
        <v>59509</v>
      </c>
      <c r="R112" s="1">
        <v>90231</v>
      </c>
      <c r="S112" s="1">
        <f>SUM(D112:R112)</f>
        <v>1574849</v>
      </c>
      <c r="T112" s="1">
        <f>245487-'Calculation on 58MW'!D42</f>
        <v>187487</v>
      </c>
      <c r="U112" s="1">
        <f>S112+T112</f>
        <v>1762336</v>
      </c>
      <c r="W112" t="s">
        <v>202</v>
      </c>
      <c r="X112" s="5">
        <f>42272507+8935711</f>
        <v>51208218</v>
      </c>
    </row>
    <row r="113" spans="1:24" x14ac:dyDescent="0.2">
      <c r="A113" s="1">
        <f t="shared" si="187"/>
        <v>113</v>
      </c>
      <c r="B113" t="s">
        <v>126</v>
      </c>
      <c r="D113" s="28">
        <f>ROUND(D112/$U112,5)</f>
        <v>2.5600000000000001E-2</v>
      </c>
      <c r="E113" s="28">
        <f t="shared" ref="E113" si="368">ROUND(E112/$U112,5)</f>
        <v>0.11945</v>
      </c>
      <c r="F113" s="28">
        <f t="shared" ref="F113" si="369">ROUND(F112/$U112,5)</f>
        <v>4.9680000000000002E-2</v>
      </c>
      <c r="G113" s="28">
        <f t="shared" ref="G113" si="370">ROUND(G112/$U112,5)</f>
        <v>5.083E-2</v>
      </c>
      <c r="H113" s="28">
        <f t="shared" ref="H113" si="371">ROUND(H112/$U112,5)</f>
        <v>4.7039999999999998E-2</v>
      </c>
      <c r="I113" s="28">
        <f t="shared" ref="I113" si="372">ROUND(I112/$U112,5)</f>
        <v>4.8030000000000003E-2</v>
      </c>
      <c r="J113" s="28">
        <f t="shared" ref="J113" si="373">ROUND(J112/$U112,5)</f>
        <v>2.3400000000000001E-2</v>
      </c>
      <c r="K113" s="28">
        <f t="shared" ref="K113" si="374">ROUND(K112/$U112,5)</f>
        <v>4.8379999999999999E-2</v>
      </c>
      <c r="L113" s="28">
        <f t="shared" ref="L113" si="375">ROUND(L112/$U112,5)</f>
        <v>9.9379999999999996E-2</v>
      </c>
      <c r="M113" s="28">
        <f t="shared" ref="M113" si="376">ROUND(M112/$U112,5)</f>
        <v>2.707E-2</v>
      </c>
      <c r="N113" s="28">
        <f t="shared" ref="N113" si="377">ROUND(N112/$U112,5)</f>
        <v>6.8320000000000006E-2</v>
      </c>
      <c r="O113" s="28">
        <f t="shared" ref="O113" si="378">ROUND(O112/$U112,5)</f>
        <v>9.6390000000000003E-2</v>
      </c>
      <c r="P113" s="28">
        <f t="shared" ref="P113" si="379">ROUND(P112/$U112,5)</f>
        <v>0.10507</v>
      </c>
      <c r="Q113" s="28">
        <f t="shared" ref="Q113" si="380">ROUND(Q112/$U112,5)</f>
        <v>3.3770000000000001E-2</v>
      </c>
      <c r="R113" s="28">
        <f t="shared" ref="R113" si="381">ROUND(R112/$U112,5)</f>
        <v>5.1200000000000002E-2</v>
      </c>
      <c r="S113" s="28">
        <f>SUM(D113:R113)</f>
        <v>0.89361000000000002</v>
      </c>
      <c r="T113" s="28">
        <f t="shared" ref="T113" si="382">ROUND(T112/$U112,5)</f>
        <v>0.10639</v>
      </c>
      <c r="U113" s="28">
        <f>S113+T113</f>
        <v>1</v>
      </c>
      <c r="W113" t="s">
        <v>201</v>
      </c>
      <c r="X113" s="29">
        <v>10251805</v>
      </c>
    </row>
    <row r="114" spans="1:24" x14ac:dyDescent="0.2">
      <c r="A114" s="1">
        <f t="shared" si="187"/>
        <v>114</v>
      </c>
      <c r="B114" t="s">
        <v>127</v>
      </c>
      <c r="D114" s="1">
        <v>18917333</v>
      </c>
      <c r="E114" s="1">
        <v>84776471</v>
      </c>
      <c r="F114" s="1">
        <v>36444480</v>
      </c>
      <c r="G114" s="1">
        <v>37417931</v>
      </c>
      <c r="H114" s="1">
        <v>36033482</v>
      </c>
      <c r="I114" s="1">
        <v>37179126</v>
      </c>
      <c r="J114" s="1">
        <v>18999929</v>
      </c>
      <c r="K114" s="1">
        <v>34033262</v>
      </c>
      <c r="L114" s="1">
        <v>68926605</v>
      </c>
      <c r="M114" s="1">
        <v>21382734</v>
      </c>
      <c r="N114" s="1">
        <v>48365521</v>
      </c>
      <c r="O114" s="1">
        <v>81937399</v>
      </c>
      <c r="P114" s="1">
        <f>82749748-1169780</f>
        <v>81579968</v>
      </c>
      <c r="Q114" s="1">
        <v>27077331</v>
      </c>
      <c r="R114" s="1">
        <v>36254433</v>
      </c>
      <c r="S114" s="1">
        <f>SUM(D114:R114)</f>
        <v>669326005</v>
      </c>
      <c r="T114" s="1">
        <f>91716354-'Calculation on 58MW'!E42</f>
        <v>49956354</v>
      </c>
      <c r="U114" s="1">
        <f>S114+T114</f>
        <v>719282359</v>
      </c>
      <c r="W114" t="s">
        <v>203</v>
      </c>
      <c r="X114" s="5">
        <f>X112-X113</f>
        <v>40956413</v>
      </c>
    </row>
    <row r="115" spans="1:24" x14ac:dyDescent="0.2">
      <c r="A115" s="1">
        <f t="shared" si="187"/>
        <v>115</v>
      </c>
      <c r="B115" t="s">
        <v>128</v>
      </c>
      <c r="D115" s="28">
        <f>ROUND(D114/$U114,5)</f>
        <v>2.63E-2</v>
      </c>
      <c r="E115" s="28">
        <f t="shared" ref="E115" si="383">ROUND(E114/$U114,5)</f>
        <v>0.11786000000000001</v>
      </c>
      <c r="F115" s="28">
        <f t="shared" ref="F115" si="384">ROUND(F114/$U114,5)</f>
        <v>5.067E-2</v>
      </c>
      <c r="G115" s="28">
        <f t="shared" ref="G115" si="385">ROUND(G114/$U114,5)</f>
        <v>5.2019999999999997E-2</v>
      </c>
      <c r="H115" s="28">
        <f t="shared" ref="H115" si="386">ROUND(H114/$U114,5)</f>
        <v>5.0099999999999999E-2</v>
      </c>
      <c r="I115" s="28">
        <f t="shared" ref="I115" si="387">ROUND(I114/$U114,5)</f>
        <v>5.169E-2</v>
      </c>
      <c r="J115" s="28">
        <f t="shared" ref="J115" si="388">ROUND(J114/$U114,5)</f>
        <v>2.6419999999999999E-2</v>
      </c>
      <c r="K115" s="28">
        <f t="shared" ref="K115" si="389">ROUND(K114/$U114,5)</f>
        <v>4.7320000000000001E-2</v>
      </c>
      <c r="L115" s="28">
        <f t="shared" ref="L115" si="390">ROUND(L114/$U114,5)</f>
        <v>9.5829999999999999E-2</v>
      </c>
      <c r="M115" s="28">
        <f t="shared" ref="M115" si="391">ROUND(M114/$U114,5)</f>
        <v>2.9729999999999999E-2</v>
      </c>
      <c r="N115" s="28">
        <f t="shared" ref="N115" si="392">ROUND(N114/$U114,5)</f>
        <v>6.7239999999999994E-2</v>
      </c>
      <c r="O115" s="28">
        <f t="shared" ref="O115" si="393">ROUND(O114/$U114,5)</f>
        <v>0.11391999999999999</v>
      </c>
      <c r="P115" s="28">
        <f t="shared" ref="P115" si="394">ROUND(P114/$U114,5)</f>
        <v>0.11342000000000001</v>
      </c>
      <c r="Q115" s="28">
        <f t="shared" ref="Q115" si="395">ROUND(Q114/$U114,5)</f>
        <v>3.764E-2</v>
      </c>
      <c r="R115" s="28">
        <f t="shared" ref="R115" si="396">ROUND(R114/$U114,5)</f>
        <v>5.04E-2</v>
      </c>
      <c r="S115" s="28">
        <f>SUM(D115:R115)</f>
        <v>0.93055999999999994</v>
      </c>
      <c r="T115" s="28">
        <f t="shared" ref="T115" si="397">ROUND(T114/$U114,5)</f>
        <v>6.9449999999999998E-2</v>
      </c>
      <c r="U115" s="28">
        <f>S115+T115</f>
        <v>1.0000099999999998</v>
      </c>
    </row>
    <row r="116" spans="1:24" x14ac:dyDescent="0.2">
      <c r="A116" s="1">
        <f t="shared" si="187"/>
        <v>116</v>
      </c>
      <c r="W116" t="s">
        <v>204</v>
      </c>
      <c r="X116" s="5">
        <v>71289251</v>
      </c>
    </row>
    <row r="117" spans="1:24" x14ac:dyDescent="0.2">
      <c r="A117" s="1">
        <f t="shared" si="187"/>
        <v>117</v>
      </c>
      <c r="B117" t="s">
        <v>129</v>
      </c>
      <c r="C117" s="5">
        <f>'Calculation on 58MW'!M42</f>
        <v>349160</v>
      </c>
      <c r="D117" s="5">
        <f>ROUND($C117*D113,0)</f>
        <v>8938</v>
      </c>
      <c r="E117" s="5">
        <f t="shared" ref="E117" si="398">ROUND($C117*E113,0)</f>
        <v>41707</v>
      </c>
      <c r="F117" s="5">
        <f>ROUND($C117*F113,0)</f>
        <v>17346</v>
      </c>
      <c r="G117" s="5">
        <f t="shared" ref="G117:R117" si="399">ROUND($C117*G113,0)</f>
        <v>17748</v>
      </c>
      <c r="H117" s="5">
        <f t="shared" si="399"/>
        <v>16424</v>
      </c>
      <c r="I117" s="5">
        <f t="shared" si="399"/>
        <v>16770</v>
      </c>
      <c r="J117" s="5">
        <f t="shared" si="399"/>
        <v>8170</v>
      </c>
      <c r="K117" s="5">
        <f t="shared" si="399"/>
        <v>16892</v>
      </c>
      <c r="L117" s="5">
        <f t="shared" si="399"/>
        <v>34700</v>
      </c>
      <c r="M117" s="5">
        <f t="shared" si="399"/>
        <v>9452</v>
      </c>
      <c r="N117" s="5">
        <f t="shared" si="399"/>
        <v>23855</v>
      </c>
      <c r="O117" s="5">
        <f t="shared" si="399"/>
        <v>33656</v>
      </c>
      <c r="P117" s="5">
        <f t="shared" si="399"/>
        <v>36686</v>
      </c>
      <c r="Q117" s="5">
        <f t="shared" si="399"/>
        <v>11791</v>
      </c>
      <c r="R117" s="5">
        <f t="shared" si="399"/>
        <v>17877</v>
      </c>
      <c r="S117" s="5">
        <f>SUM(D117:R117)</f>
        <v>312012</v>
      </c>
      <c r="T117" s="5">
        <f t="shared" ref="T117" si="400">ROUND($C117*T113,0)</f>
        <v>37147</v>
      </c>
      <c r="U117" s="5">
        <f>S117+T117</f>
        <v>349159</v>
      </c>
    </row>
    <row r="118" spans="1:24" x14ac:dyDescent="0.2">
      <c r="A118" s="1">
        <f t="shared" si="187"/>
        <v>118</v>
      </c>
      <c r="B118" t="s">
        <v>130</v>
      </c>
      <c r="C118" s="5">
        <f>ROUND(('Calculation on 58MW'!N42+'Calculation on 58MW'!O42)*X118,0)</f>
        <v>1099045</v>
      </c>
      <c r="D118" s="5">
        <f>ROUND($C118*D115,0)</f>
        <v>28905</v>
      </c>
      <c r="E118" s="5">
        <f t="shared" ref="E118" si="401">ROUND($C118*E115,0)</f>
        <v>129533</v>
      </c>
      <c r="F118" s="5">
        <f>ROUND($C118*F115,0)</f>
        <v>55689</v>
      </c>
      <c r="G118" s="5">
        <f t="shared" ref="G118:R118" si="402">ROUND($C118*G115,0)</f>
        <v>57172</v>
      </c>
      <c r="H118" s="5">
        <f t="shared" si="402"/>
        <v>55062</v>
      </c>
      <c r="I118" s="5">
        <f t="shared" si="402"/>
        <v>56810</v>
      </c>
      <c r="J118" s="5">
        <f t="shared" si="402"/>
        <v>29037</v>
      </c>
      <c r="K118" s="5">
        <f t="shared" si="402"/>
        <v>52007</v>
      </c>
      <c r="L118" s="5">
        <f t="shared" si="402"/>
        <v>105321</v>
      </c>
      <c r="M118" s="5">
        <f t="shared" si="402"/>
        <v>32675</v>
      </c>
      <c r="N118" s="5">
        <f t="shared" si="402"/>
        <v>73900</v>
      </c>
      <c r="O118" s="5">
        <f t="shared" si="402"/>
        <v>125203</v>
      </c>
      <c r="P118" s="5">
        <f t="shared" si="402"/>
        <v>124654</v>
      </c>
      <c r="Q118" s="5">
        <f t="shared" si="402"/>
        <v>41368</v>
      </c>
      <c r="R118" s="5">
        <f t="shared" si="402"/>
        <v>55392</v>
      </c>
      <c r="S118" s="5">
        <f>SUM(D118:R118)</f>
        <v>1022728</v>
      </c>
      <c r="T118" s="5">
        <f t="shared" ref="T118" si="403">ROUND($C118*T115,0)</f>
        <v>76329</v>
      </c>
      <c r="U118" s="5">
        <f>S118+T118</f>
        <v>1099057</v>
      </c>
      <c r="W118" t="s">
        <v>205</v>
      </c>
      <c r="X118" s="28">
        <f>ROUND(X114/X116,5)</f>
        <v>0.57450999999999997</v>
      </c>
    </row>
    <row r="119" spans="1:24" x14ac:dyDescent="0.2">
      <c r="A119" s="1">
        <f t="shared" si="187"/>
        <v>119</v>
      </c>
    </row>
    <row r="120" spans="1:24" x14ac:dyDescent="0.2">
      <c r="A120" s="1">
        <f t="shared" si="187"/>
        <v>120</v>
      </c>
      <c r="B120" t="s">
        <v>135</v>
      </c>
    </row>
    <row r="121" spans="1:24" x14ac:dyDescent="0.2">
      <c r="A121" s="1">
        <f t="shared" si="187"/>
        <v>121</v>
      </c>
      <c r="B121" t="s">
        <v>136</v>
      </c>
      <c r="C121" s="5">
        <f>C17+C26+C35+C44+C53+C62+C72+C81+C90+C99+C108+C117</f>
        <v>4189920</v>
      </c>
      <c r="D121" s="5">
        <f>D17+D26+D35+D44+D53+D62+D72+D81+D90+D99+D108+D117</f>
        <v>102397</v>
      </c>
      <c r="E121" s="5">
        <f t="shared" ref="E121:S121" si="404">E17+E26+E35+E44+E53+E62+E72+E81+E90+E99+E108+E117</f>
        <v>503216</v>
      </c>
      <c r="F121" s="5">
        <f t="shared" si="404"/>
        <v>203808</v>
      </c>
      <c r="G121" s="5">
        <f t="shared" si="404"/>
        <v>200194</v>
      </c>
      <c r="H121" s="5">
        <f t="shared" si="404"/>
        <v>202271</v>
      </c>
      <c r="I121" s="5">
        <f t="shared" si="404"/>
        <v>197139</v>
      </c>
      <c r="J121" s="5">
        <f t="shared" si="404"/>
        <v>102063</v>
      </c>
      <c r="K121" s="5">
        <f t="shared" si="404"/>
        <v>199862</v>
      </c>
      <c r="L121" s="5">
        <f t="shared" si="404"/>
        <v>386077</v>
      </c>
      <c r="M121" s="5">
        <f t="shared" si="404"/>
        <v>113283</v>
      </c>
      <c r="N121" s="5">
        <f t="shared" si="404"/>
        <v>292006</v>
      </c>
      <c r="O121" s="5">
        <f t="shared" si="404"/>
        <v>457379</v>
      </c>
      <c r="P121" s="5">
        <f t="shared" si="404"/>
        <v>476948</v>
      </c>
      <c r="Q121" s="5">
        <f t="shared" si="404"/>
        <v>149360</v>
      </c>
      <c r="R121" s="5">
        <f t="shared" si="404"/>
        <v>207758</v>
      </c>
      <c r="S121" s="5">
        <f t="shared" si="404"/>
        <v>3793761</v>
      </c>
      <c r="T121" s="5">
        <f t="shared" ref="T121" si="405">T17+T26+T35+T44+T53+T62+T72+T81+T90+T99+T108+T117</f>
        <v>396167</v>
      </c>
      <c r="U121" s="5">
        <f>S121+T121</f>
        <v>4189928</v>
      </c>
    </row>
    <row r="122" spans="1:24" x14ac:dyDescent="0.2">
      <c r="A122" s="1">
        <f t="shared" si="187"/>
        <v>122</v>
      </c>
    </row>
    <row r="123" spans="1:24" x14ac:dyDescent="0.2">
      <c r="A123" s="1">
        <f t="shared" si="187"/>
        <v>123</v>
      </c>
      <c r="B123" t="s">
        <v>137</v>
      </c>
      <c r="C123" s="5">
        <f>C18+C27+C36+C45+C54+C63+C73+C82+C91+C100+C109+C118</f>
        <v>12265577</v>
      </c>
      <c r="D123" s="5">
        <f>D18+D27+D36+D45+D54+D63+D73+D82+D91+D100+D109+D118</f>
        <v>303254</v>
      </c>
      <c r="E123" s="5">
        <f t="shared" ref="E123:S123" si="406">E18+E27+E36+E45+E54+E63+E73+E82+E91+E100+E109+E118</f>
        <v>1452593</v>
      </c>
      <c r="F123" s="5">
        <f t="shared" si="406"/>
        <v>604168</v>
      </c>
      <c r="G123" s="5">
        <f t="shared" si="406"/>
        <v>620009</v>
      </c>
      <c r="H123" s="5">
        <f t="shared" si="406"/>
        <v>632462</v>
      </c>
      <c r="I123" s="5">
        <f t="shared" si="406"/>
        <v>611671</v>
      </c>
      <c r="J123" s="5">
        <f t="shared" si="406"/>
        <v>310829</v>
      </c>
      <c r="K123" s="5">
        <f t="shared" si="406"/>
        <v>558331</v>
      </c>
      <c r="L123" s="5">
        <f t="shared" si="406"/>
        <v>1129652</v>
      </c>
      <c r="M123" s="5">
        <f t="shared" si="406"/>
        <v>350637</v>
      </c>
      <c r="N123" s="5">
        <f t="shared" si="406"/>
        <v>846640</v>
      </c>
      <c r="O123" s="5">
        <f t="shared" si="406"/>
        <v>1471008</v>
      </c>
      <c r="P123" s="5">
        <f t="shared" si="406"/>
        <v>1478472</v>
      </c>
      <c r="Q123" s="5">
        <f t="shared" si="406"/>
        <v>461854</v>
      </c>
      <c r="R123" s="5">
        <f t="shared" si="406"/>
        <v>623166</v>
      </c>
      <c r="S123" s="5">
        <f t="shared" si="406"/>
        <v>11454746</v>
      </c>
      <c r="T123" s="5">
        <f t="shared" ref="T123" si="407">T18+T27+T36+T45+T54+T63+T73+T82+T91+T100+T109+T118</f>
        <v>810830</v>
      </c>
      <c r="U123" s="5">
        <f>S123+T123</f>
        <v>12265576</v>
      </c>
    </row>
    <row r="124" spans="1:24" x14ac:dyDescent="0.2">
      <c r="A124" s="1">
        <f t="shared" si="187"/>
        <v>124</v>
      </c>
    </row>
    <row r="125" spans="1:24" x14ac:dyDescent="0.2">
      <c r="A125" s="1">
        <f t="shared" si="187"/>
        <v>125</v>
      </c>
      <c r="T125" t="s">
        <v>114</v>
      </c>
      <c r="U125" s="5">
        <f>U121+U123</f>
        <v>16455504</v>
      </c>
    </row>
    <row r="127" spans="1:24" x14ac:dyDescent="0.2">
      <c r="S127" t="s">
        <v>168</v>
      </c>
      <c r="U127" s="5">
        <f>'Calculation on 58MW'!P44</f>
        <v>28527456</v>
      </c>
    </row>
  </sheetData>
  <mergeCells count="1">
    <mergeCell ref="W9:X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2"/>
  <sheetViews>
    <sheetView zoomScale="80" zoomScaleNormal="80" workbookViewId="0">
      <pane xSplit="2" ySplit="8" topLeftCell="C120" activePane="bottomRight" state="frozen"/>
      <selection pane="topRight" activeCell="C1" sqref="C1"/>
      <selection pane="bottomLeft" activeCell="A9" sqref="A9"/>
      <selection pane="bottomRight" activeCell="C4" sqref="C4"/>
    </sheetView>
  </sheetViews>
  <sheetFormatPr defaultColWidth="15.625" defaultRowHeight="14.25" x14ac:dyDescent="0.2"/>
  <cols>
    <col min="1" max="1" width="4.625" customWidth="1"/>
    <col min="2" max="2" width="30.75" customWidth="1"/>
  </cols>
  <sheetData>
    <row r="1" spans="1:34" x14ac:dyDescent="0.2">
      <c r="A1" s="1">
        <v>1</v>
      </c>
      <c r="B1" t="str">
        <f>'Calculation on 58MW'!B1</f>
        <v>SoKentuckyAmend3-2017 58MW Var Adj.xlsx</v>
      </c>
    </row>
    <row r="2" spans="1:34" x14ac:dyDescent="0.2">
      <c r="A2" s="1">
        <f>A1+1</f>
        <v>2</v>
      </c>
      <c r="B2" t="s">
        <v>51</v>
      </c>
    </row>
    <row r="3" spans="1:34" x14ac:dyDescent="0.2">
      <c r="A3" s="1">
        <f t="shared" ref="A3:A92" si="0">A2+1</f>
        <v>3</v>
      </c>
      <c r="B3" t="s">
        <v>71</v>
      </c>
      <c r="C3" s="6">
        <v>5.0000000000000001E-3</v>
      </c>
    </row>
    <row r="4" spans="1:34" x14ac:dyDescent="0.2">
      <c r="A4" s="1">
        <f t="shared" si="0"/>
        <v>4</v>
      </c>
      <c r="C4" s="6"/>
    </row>
    <row r="5" spans="1:34" ht="15" x14ac:dyDescent="0.25">
      <c r="A5" s="1">
        <f t="shared" si="0"/>
        <v>5</v>
      </c>
      <c r="B5" s="2" t="s">
        <v>124</v>
      </c>
      <c r="C5" s="6"/>
    </row>
    <row r="6" spans="1:34" x14ac:dyDescent="0.2">
      <c r="A6" s="1">
        <f t="shared" si="0"/>
        <v>6</v>
      </c>
      <c r="AH6" s="3" t="s">
        <v>77</v>
      </c>
    </row>
    <row r="7" spans="1:34" x14ac:dyDescent="0.2">
      <c r="A7" s="1">
        <f t="shared" si="0"/>
        <v>7</v>
      </c>
      <c r="C7" s="34" t="s">
        <v>52</v>
      </c>
      <c r="D7" s="36"/>
      <c r="E7" s="34" t="s">
        <v>53</v>
      </c>
      <c r="F7" s="36"/>
      <c r="G7" s="34" t="s">
        <v>54</v>
      </c>
      <c r="H7" s="36"/>
      <c r="I7" s="34" t="s">
        <v>55</v>
      </c>
      <c r="J7" s="36"/>
      <c r="K7" s="34" t="s">
        <v>56</v>
      </c>
      <c r="L7" s="36"/>
      <c r="M7" s="34" t="s">
        <v>57</v>
      </c>
      <c r="N7" s="36"/>
      <c r="O7" s="34" t="s">
        <v>58</v>
      </c>
      <c r="P7" s="36"/>
      <c r="Q7" s="34" t="s">
        <v>59</v>
      </c>
      <c r="R7" s="36"/>
      <c r="S7" s="34" t="s">
        <v>60</v>
      </c>
      <c r="T7" s="36"/>
      <c r="U7" s="34" t="s">
        <v>61</v>
      </c>
      <c r="V7" s="36"/>
      <c r="W7" s="34" t="s">
        <v>62</v>
      </c>
      <c r="X7" s="36"/>
      <c r="Y7" s="34" t="s">
        <v>63</v>
      </c>
      <c r="Z7" s="36"/>
      <c r="AA7" s="34" t="s">
        <v>64</v>
      </c>
      <c r="AB7" s="36"/>
      <c r="AC7" s="34" t="s">
        <v>65</v>
      </c>
      <c r="AD7" s="36"/>
      <c r="AE7" s="34" t="s">
        <v>66</v>
      </c>
      <c r="AF7" s="36"/>
      <c r="AG7" s="3" t="s">
        <v>76</v>
      </c>
      <c r="AH7" s="3" t="s">
        <v>78</v>
      </c>
    </row>
    <row r="8" spans="1:34" ht="15" thickBot="1" x14ac:dyDescent="0.25">
      <c r="A8" s="1">
        <f t="shared" si="0"/>
        <v>8</v>
      </c>
      <c r="B8" s="4" t="s">
        <v>1</v>
      </c>
      <c r="C8" s="4" t="s">
        <v>67</v>
      </c>
      <c r="D8" s="4" t="s">
        <v>68</v>
      </c>
      <c r="E8" s="4" t="s">
        <v>67</v>
      </c>
      <c r="F8" s="4" t="s">
        <v>68</v>
      </c>
      <c r="G8" s="4" t="s">
        <v>67</v>
      </c>
      <c r="H8" s="4" t="s">
        <v>68</v>
      </c>
      <c r="I8" s="4" t="s">
        <v>67</v>
      </c>
      <c r="J8" s="4" t="s">
        <v>68</v>
      </c>
      <c r="K8" s="4" t="s">
        <v>67</v>
      </c>
      <c r="L8" s="4" t="s">
        <v>68</v>
      </c>
      <c r="M8" s="4" t="s">
        <v>67</v>
      </c>
      <c r="N8" s="4" t="s">
        <v>68</v>
      </c>
      <c r="O8" s="4" t="s">
        <v>67</v>
      </c>
      <c r="P8" s="4" t="s">
        <v>68</v>
      </c>
      <c r="Q8" s="4" t="s">
        <v>67</v>
      </c>
      <c r="R8" s="4" t="s">
        <v>68</v>
      </c>
      <c r="S8" s="4" t="s">
        <v>67</v>
      </c>
      <c r="T8" s="4" t="s">
        <v>68</v>
      </c>
      <c r="U8" s="4" t="s">
        <v>67</v>
      </c>
      <c r="V8" s="4" t="s">
        <v>68</v>
      </c>
      <c r="W8" s="4" t="s">
        <v>67</v>
      </c>
      <c r="X8" s="4" t="s">
        <v>68</v>
      </c>
      <c r="Y8" s="4" t="s">
        <v>67</v>
      </c>
      <c r="Z8" s="4" t="s">
        <v>68</v>
      </c>
      <c r="AA8" s="4" t="s">
        <v>67</v>
      </c>
      <c r="AB8" s="4" t="s">
        <v>68</v>
      </c>
      <c r="AC8" s="4" t="s">
        <v>67</v>
      </c>
      <c r="AD8" s="4" t="s">
        <v>68</v>
      </c>
      <c r="AE8" s="4" t="s">
        <v>67</v>
      </c>
      <c r="AF8" s="4" t="s">
        <v>68</v>
      </c>
      <c r="AG8" s="17" t="s">
        <v>68</v>
      </c>
      <c r="AH8" s="17" t="s">
        <v>79</v>
      </c>
    </row>
    <row r="9" spans="1:34" x14ac:dyDescent="0.2">
      <c r="A9" s="1">
        <f t="shared" si="0"/>
        <v>9</v>
      </c>
    </row>
    <row r="10" spans="1:34" x14ac:dyDescent="0.2">
      <c r="A10" s="1">
        <f t="shared" si="0"/>
        <v>10</v>
      </c>
      <c r="B10" s="15" t="s">
        <v>49</v>
      </c>
    </row>
    <row r="11" spans="1:34" x14ac:dyDescent="0.2">
      <c r="A11" s="1">
        <f t="shared" si="0"/>
        <v>11</v>
      </c>
      <c r="B11" t="s">
        <v>69</v>
      </c>
      <c r="C11" s="5">
        <v>1720577</v>
      </c>
      <c r="D11" s="5"/>
      <c r="E11" s="5">
        <v>9517776</v>
      </c>
      <c r="F11" s="5"/>
      <c r="G11" s="5">
        <v>3389910</v>
      </c>
      <c r="H11" s="5"/>
      <c r="I11" s="5">
        <v>3273803</v>
      </c>
      <c r="J11" s="5"/>
      <c r="K11" s="5">
        <v>3556488</v>
      </c>
      <c r="L11" s="5"/>
      <c r="M11" s="5">
        <f>5985053+1180787</f>
        <v>7165840</v>
      </c>
      <c r="N11" s="5"/>
      <c r="O11" s="5">
        <v>1843235</v>
      </c>
      <c r="P11" s="5"/>
      <c r="Q11" s="5">
        <v>3684039</v>
      </c>
      <c r="R11" s="5"/>
      <c r="S11" s="5">
        <v>6740519</v>
      </c>
      <c r="T11" s="5"/>
      <c r="U11" s="5">
        <v>1905742</v>
      </c>
      <c r="V11" s="5"/>
      <c r="W11" s="5">
        <v>5439969</v>
      </c>
      <c r="X11" s="5"/>
      <c r="Y11" s="5">
        <v>12251730</v>
      </c>
      <c r="Z11" s="5"/>
      <c r="AA11" s="5">
        <f>8059050-64532</f>
        <v>7994518</v>
      </c>
      <c r="AB11" s="5"/>
      <c r="AC11" s="5">
        <v>3333411</v>
      </c>
      <c r="AD11" s="5"/>
      <c r="AE11" s="5">
        <v>3806666</v>
      </c>
      <c r="AF11" s="5"/>
    </row>
    <row r="12" spans="1:34" x14ac:dyDescent="0.2">
      <c r="A12" s="1">
        <f t="shared" si="0"/>
        <v>12</v>
      </c>
      <c r="B12" t="s">
        <v>70</v>
      </c>
      <c r="C12" s="5">
        <v>286164</v>
      </c>
      <c r="D12" s="5"/>
      <c r="E12" s="5">
        <v>1582867</v>
      </c>
      <c r="F12" s="5"/>
      <c r="G12" s="5">
        <v>563807</v>
      </c>
      <c r="H12" s="5"/>
      <c r="I12" s="5">
        <v>544496</v>
      </c>
      <c r="J12" s="5"/>
      <c r="K12" s="5">
        <v>591515</v>
      </c>
      <c r="L12" s="5"/>
      <c r="M12" s="5">
        <f>955419+199853</f>
        <v>1155272</v>
      </c>
      <c r="N12" s="5"/>
      <c r="O12" s="5">
        <v>306568</v>
      </c>
      <c r="P12" s="5"/>
      <c r="Q12" s="5">
        <v>612728</v>
      </c>
      <c r="R12" s="5"/>
      <c r="S12" s="5">
        <v>1121078</v>
      </c>
      <c r="T12" s="5"/>
      <c r="U12" s="5">
        <v>316962</v>
      </c>
      <c r="V12" s="5"/>
      <c r="W12" s="5">
        <v>904679</v>
      </c>
      <c r="X12" s="5"/>
      <c r="Y12" s="5">
        <v>2039652</v>
      </c>
      <c r="Z12" s="5"/>
      <c r="AA12" s="5">
        <f>1340372-10733</f>
        <v>1329639</v>
      </c>
      <c r="AB12" s="5"/>
      <c r="AC12" s="5">
        <v>554410</v>
      </c>
      <c r="AD12" s="5"/>
      <c r="AE12" s="5">
        <v>614783</v>
      </c>
      <c r="AF12" s="5"/>
    </row>
    <row r="13" spans="1:34" x14ac:dyDescent="0.2">
      <c r="A13" s="1">
        <f t="shared" si="0"/>
        <v>13</v>
      </c>
      <c r="B13" t="s">
        <v>140</v>
      </c>
      <c r="C13" s="5">
        <f>C11-C12</f>
        <v>1434413</v>
      </c>
      <c r="D13" s="5"/>
      <c r="E13" s="5">
        <f>E11-E12</f>
        <v>7934909</v>
      </c>
      <c r="F13" s="5"/>
      <c r="G13" s="5">
        <f>G11-G12</f>
        <v>2826103</v>
      </c>
      <c r="H13" s="5"/>
      <c r="I13" s="5">
        <f>I11-I12</f>
        <v>2729307</v>
      </c>
      <c r="J13" s="5"/>
      <c r="K13" s="5">
        <f>K11-K12</f>
        <v>2964973</v>
      </c>
      <c r="L13" s="5"/>
      <c r="M13" s="5">
        <f>M11-M12</f>
        <v>6010568</v>
      </c>
      <c r="N13" s="5"/>
      <c r="O13" s="5">
        <f>O11-O12</f>
        <v>1536667</v>
      </c>
      <c r="P13" s="5"/>
      <c r="Q13" s="5">
        <f>Q11-Q12</f>
        <v>3071311</v>
      </c>
      <c r="R13" s="5"/>
      <c r="S13" s="5">
        <f>S11-S12</f>
        <v>5619441</v>
      </c>
      <c r="T13" s="5"/>
      <c r="U13" s="5">
        <f>U11-U12</f>
        <v>1588780</v>
      </c>
      <c r="V13" s="5"/>
      <c r="W13" s="5">
        <f>W11-W12</f>
        <v>4535290</v>
      </c>
      <c r="X13" s="5"/>
      <c r="Y13" s="5">
        <f>Y11-Y12</f>
        <v>10212078</v>
      </c>
      <c r="Z13" s="5"/>
      <c r="AA13" s="5">
        <f>AA11-AA12</f>
        <v>6664879</v>
      </c>
      <c r="AB13" s="5"/>
      <c r="AC13" s="5">
        <f>AC11-AC12</f>
        <v>2779001</v>
      </c>
      <c r="AD13" s="5"/>
      <c r="AE13" s="5">
        <f>AE11-AE12</f>
        <v>3191883</v>
      </c>
      <c r="AF13" s="5"/>
    </row>
    <row r="14" spans="1:34" x14ac:dyDescent="0.2">
      <c r="A14" s="1">
        <f t="shared" si="0"/>
        <v>14</v>
      </c>
      <c r="B14" t="s">
        <v>154</v>
      </c>
      <c r="C14" s="5">
        <f>'FAC Recalc'!D49</f>
        <v>6847</v>
      </c>
      <c r="D14" s="5"/>
      <c r="E14" s="5">
        <f>'FAC Recalc'!F49</f>
        <v>38500</v>
      </c>
      <c r="F14" s="5"/>
      <c r="G14" s="5">
        <f>'FAC Recalc'!H49</f>
        <v>13324</v>
      </c>
      <c r="H14" s="5"/>
      <c r="I14" s="5">
        <f>'FAC Recalc'!J49</f>
        <v>13211</v>
      </c>
      <c r="J14" s="5"/>
      <c r="K14" s="5">
        <f>'FAC Recalc'!L49</f>
        <v>14256</v>
      </c>
      <c r="L14" s="5"/>
      <c r="M14" s="5">
        <f>'FAC Recalc'!N49</f>
        <v>29252</v>
      </c>
      <c r="N14" s="5"/>
      <c r="O14" s="5">
        <f>'FAC Recalc'!P49</f>
        <v>7383</v>
      </c>
      <c r="P14" s="5"/>
      <c r="Q14" s="5">
        <f>'FAC Recalc'!R49</f>
        <v>14539</v>
      </c>
      <c r="R14" s="5"/>
      <c r="S14" s="5">
        <f>'FAC Recalc'!T49</f>
        <v>27004</v>
      </c>
      <c r="T14" s="5"/>
      <c r="U14" s="5">
        <f>'FAC Recalc'!V49</f>
        <v>7602</v>
      </c>
      <c r="V14" s="5"/>
      <c r="W14" s="5">
        <f>'FAC Recalc'!X49</f>
        <v>21771</v>
      </c>
      <c r="X14" s="5"/>
      <c r="Y14" s="5">
        <f>'FAC Recalc'!Z49</f>
        <v>57475</v>
      </c>
      <c r="Z14" s="5"/>
      <c r="AA14" s="5">
        <f>'FAC Recalc'!AB49</f>
        <v>32214</v>
      </c>
      <c r="AB14" s="5"/>
      <c r="AC14" s="5">
        <f>'FAC Recalc'!AD49</f>
        <v>13782</v>
      </c>
      <c r="AD14" s="5"/>
      <c r="AE14" s="5">
        <f>'FAC Recalc'!AF49</f>
        <v>13516</v>
      </c>
      <c r="AF14" s="5"/>
    </row>
    <row r="15" spans="1:34" x14ac:dyDescent="0.2">
      <c r="A15" s="1">
        <f t="shared" si="0"/>
        <v>15</v>
      </c>
      <c r="B15" t="s">
        <v>155</v>
      </c>
      <c r="C15" s="5">
        <f>C13+C14</f>
        <v>1441260</v>
      </c>
      <c r="D15" s="5"/>
      <c r="E15" s="5">
        <f>E13+E14</f>
        <v>7973409</v>
      </c>
      <c r="F15" s="5"/>
      <c r="G15" s="5">
        <f>G13+G14</f>
        <v>2839427</v>
      </c>
      <c r="H15" s="5"/>
      <c r="I15" s="5">
        <f>I13+I14</f>
        <v>2742518</v>
      </c>
      <c r="J15" s="5"/>
      <c r="K15" s="5">
        <f>K13+K14</f>
        <v>2979229</v>
      </c>
      <c r="L15" s="5"/>
      <c r="M15" s="5">
        <f>M13+M14</f>
        <v>6039820</v>
      </c>
      <c r="N15" s="5"/>
      <c r="O15" s="5">
        <f>O13+O14</f>
        <v>1544050</v>
      </c>
      <c r="P15" s="5"/>
      <c r="Q15" s="5">
        <f>Q13+Q14</f>
        <v>3085850</v>
      </c>
      <c r="R15" s="5"/>
      <c r="S15" s="5">
        <f>S13+S14</f>
        <v>5646445</v>
      </c>
      <c r="T15" s="5"/>
      <c r="U15" s="5">
        <f>U13+U14</f>
        <v>1596382</v>
      </c>
      <c r="V15" s="5"/>
      <c r="W15" s="5">
        <f>W13+W14</f>
        <v>4557061</v>
      </c>
      <c r="X15" s="5"/>
      <c r="Y15" s="5">
        <f>Y13+Y14</f>
        <v>10269553</v>
      </c>
      <c r="Z15" s="5"/>
      <c r="AA15" s="5">
        <f>AA13+AA14</f>
        <v>6697093</v>
      </c>
      <c r="AB15" s="5"/>
      <c r="AC15" s="5">
        <f>AC13+AC14</f>
        <v>2792783</v>
      </c>
      <c r="AD15" s="5"/>
      <c r="AE15" s="5">
        <f>AE13+AE14</f>
        <v>3205399</v>
      </c>
      <c r="AF15" s="5"/>
    </row>
    <row r="16" spans="1:34" x14ac:dyDescent="0.2">
      <c r="A16" s="1">
        <f t="shared" si="0"/>
        <v>16</v>
      </c>
      <c r="B16" t="s">
        <v>72</v>
      </c>
      <c r="C16" s="6">
        <f>0.1995+C3</f>
        <v>0.20450000000000002</v>
      </c>
      <c r="D16" s="10"/>
      <c r="E16" s="6">
        <f>C16</f>
        <v>0.20450000000000002</v>
      </c>
      <c r="F16" s="6"/>
      <c r="G16" s="6">
        <f>E16</f>
        <v>0.20450000000000002</v>
      </c>
      <c r="H16" s="6"/>
      <c r="I16" s="6">
        <f t="shared" ref="I16" si="1">G16</f>
        <v>0.20450000000000002</v>
      </c>
      <c r="J16" s="6"/>
      <c r="K16" s="6">
        <f t="shared" ref="K16" si="2">I16</f>
        <v>0.20450000000000002</v>
      </c>
      <c r="L16" s="6"/>
      <c r="M16" s="6">
        <f t="shared" ref="M16" si="3">K16</f>
        <v>0.20450000000000002</v>
      </c>
      <c r="N16" s="6"/>
      <c r="O16" s="6">
        <f t="shared" ref="O16" si="4">M16</f>
        <v>0.20450000000000002</v>
      </c>
      <c r="P16" s="6"/>
      <c r="Q16" s="6">
        <f t="shared" ref="Q16" si="5">O16</f>
        <v>0.20450000000000002</v>
      </c>
      <c r="R16" s="6"/>
      <c r="S16" s="6">
        <f t="shared" ref="S16" si="6">Q16</f>
        <v>0.20450000000000002</v>
      </c>
      <c r="T16" s="6"/>
      <c r="U16" s="6">
        <f t="shared" ref="U16" si="7">S16</f>
        <v>0.20450000000000002</v>
      </c>
      <c r="V16" s="6"/>
      <c r="W16" s="6">
        <f t="shared" ref="W16" si="8">U16</f>
        <v>0.20450000000000002</v>
      </c>
      <c r="X16" s="6"/>
      <c r="Y16" s="6">
        <f t="shared" ref="Y16" si="9">W16</f>
        <v>0.20450000000000002</v>
      </c>
      <c r="Z16" s="6"/>
      <c r="AA16" s="6">
        <f t="shared" ref="AA16" si="10">Y16</f>
        <v>0.20450000000000002</v>
      </c>
      <c r="AB16" s="6"/>
      <c r="AC16" s="6">
        <f t="shared" ref="AC16" si="11">AA16</f>
        <v>0.20450000000000002</v>
      </c>
      <c r="AD16" s="6"/>
      <c r="AE16" s="6">
        <f t="shared" ref="AE16" si="12">AC16</f>
        <v>0.20450000000000002</v>
      </c>
      <c r="AF16" s="6"/>
    </row>
    <row r="17" spans="1:34" x14ac:dyDescent="0.2">
      <c r="A17" s="1">
        <f t="shared" si="0"/>
        <v>17</v>
      </c>
      <c r="B17" t="s">
        <v>73</v>
      </c>
      <c r="C17" s="5">
        <f>ROUND(C15*C16,0)</f>
        <v>294738</v>
      </c>
      <c r="D17" s="5"/>
      <c r="E17" s="5">
        <f>ROUND(E15*E16,0)</f>
        <v>1630562</v>
      </c>
      <c r="F17" s="5"/>
      <c r="G17" s="5">
        <f>ROUND(G15*G16,0)</f>
        <v>580663</v>
      </c>
      <c r="H17" s="5"/>
      <c r="I17" s="5">
        <f>ROUND(I15*I16,0)</f>
        <v>560845</v>
      </c>
      <c r="J17" s="5"/>
      <c r="K17" s="5">
        <f>ROUND(K15*K16,0)</f>
        <v>609252</v>
      </c>
      <c r="L17" s="5"/>
      <c r="M17" s="5">
        <f>ROUND(M15*M16,0)</f>
        <v>1235143</v>
      </c>
      <c r="N17" s="5"/>
      <c r="O17" s="5">
        <f>ROUND(O15*O16,0)</f>
        <v>315758</v>
      </c>
      <c r="P17" s="5"/>
      <c r="Q17" s="5">
        <f>ROUND(Q15*Q16,0)</f>
        <v>631056</v>
      </c>
      <c r="R17" s="5"/>
      <c r="S17" s="5">
        <f>ROUND(S15*S16,0)</f>
        <v>1154698</v>
      </c>
      <c r="T17" s="5"/>
      <c r="U17" s="5">
        <f>ROUND(U15*U16,0)</f>
        <v>326460</v>
      </c>
      <c r="V17" s="5"/>
      <c r="W17" s="5">
        <f>ROUND(W15*W16,0)</f>
        <v>931919</v>
      </c>
      <c r="X17" s="5"/>
      <c r="Y17" s="5">
        <f>ROUND(Y15*Y16,0)</f>
        <v>2100124</v>
      </c>
      <c r="Z17" s="5"/>
      <c r="AA17" s="5">
        <f>ROUND(AA15*AA16,0)</f>
        <v>1369556</v>
      </c>
      <c r="AB17" s="5"/>
      <c r="AC17" s="5">
        <f>ROUND(AC15*AC16,0)</f>
        <v>571124</v>
      </c>
      <c r="AD17" s="5"/>
      <c r="AE17" s="5">
        <f>ROUND(AE15*AE16,0)</f>
        <v>655504</v>
      </c>
      <c r="AF17" s="5"/>
    </row>
    <row r="18" spans="1:34" x14ac:dyDescent="0.2">
      <c r="A18" s="1">
        <f t="shared" si="0"/>
        <v>18</v>
      </c>
      <c r="B18" t="s">
        <v>74</v>
      </c>
      <c r="C18" s="5"/>
      <c r="D18" s="5">
        <f>C17-C12</f>
        <v>8574</v>
      </c>
      <c r="E18" s="5"/>
      <c r="F18" s="5">
        <f>E17-E12</f>
        <v>47695</v>
      </c>
      <c r="G18" s="5"/>
      <c r="H18" s="5">
        <f>G17-G12</f>
        <v>16856</v>
      </c>
      <c r="I18" s="5"/>
      <c r="J18" s="5">
        <f>I17-I12</f>
        <v>16349</v>
      </c>
      <c r="K18" s="5"/>
      <c r="L18" s="5">
        <f>K17-K12</f>
        <v>17737</v>
      </c>
      <c r="M18" s="5"/>
      <c r="N18" s="5">
        <f>M17-M12</f>
        <v>79871</v>
      </c>
      <c r="O18" s="5"/>
      <c r="P18" s="5">
        <f>O17-O12</f>
        <v>9190</v>
      </c>
      <c r="Q18" s="5"/>
      <c r="R18" s="5">
        <f>Q17-Q12</f>
        <v>18328</v>
      </c>
      <c r="S18" s="5"/>
      <c r="T18" s="5">
        <f>S17-S12</f>
        <v>33620</v>
      </c>
      <c r="U18" s="5"/>
      <c r="V18" s="5">
        <f>U17-U12</f>
        <v>9498</v>
      </c>
      <c r="W18" s="5"/>
      <c r="X18" s="5">
        <f>W17-W12</f>
        <v>27240</v>
      </c>
      <c r="Y18" s="5"/>
      <c r="Z18" s="5">
        <f>Y17-Y12</f>
        <v>60472</v>
      </c>
      <c r="AA18" s="5"/>
      <c r="AB18" s="5">
        <f>AA17-AA12</f>
        <v>39917</v>
      </c>
      <c r="AC18" s="5"/>
      <c r="AD18" s="5">
        <f>AC17-AC12</f>
        <v>16714</v>
      </c>
      <c r="AE18" s="5"/>
      <c r="AF18" s="5">
        <f>AE17-AE12</f>
        <v>40721</v>
      </c>
      <c r="AG18" s="5">
        <f>SUM(D18:AF18)</f>
        <v>442782</v>
      </c>
      <c r="AH18" s="5">
        <f>-'Billing Impact'!G77</f>
        <v>450767</v>
      </c>
    </row>
    <row r="19" spans="1:34" x14ac:dyDescent="0.2">
      <c r="A19" s="1">
        <f t="shared" si="0"/>
        <v>19</v>
      </c>
    </row>
    <row r="20" spans="1:34" x14ac:dyDescent="0.2">
      <c r="A20" s="1">
        <f t="shared" si="0"/>
        <v>20</v>
      </c>
      <c r="B20" s="16" t="s">
        <v>12</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row>
    <row r="21" spans="1:34" x14ac:dyDescent="0.2">
      <c r="A21" s="1">
        <f t="shared" si="0"/>
        <v>21</v>
      </c>
      <c r="B21" t="s">
        <v>69</v>
      </c>
      <c r="C21" s="5">
        <v>1628835</v>
      </c>
      <c r="D21" s="5"/>
      <c r="E21" s="5">
        <v>9364083</v>
      </c>
      <c r="F21" s="5"/>
      <c r="G21" s="5">
        <v>3237823</v>
      </c>
      <c r="H21" s="5"/>
      <c r="I21" s="5">
        <v>3158097</v>
      </c>
      <c r="J21" s="5"/>
      <c r="K21" s="5">
        <v>3447937</v>
      </c>
      <c r="L21" s="5"/>
      <c r="M21" s="5">
        <f>5672731+1152784</f>
        <v>6825515</v>
      </c>
      <c r="N21" s="5"/>
      <c r="O21" s="5">
        <v>1753741</v>
      </c>
      <c r="P21" s="5"/>
      <c r="Q21" s="5">
        <v>3626768</v>
      </c>
      <c r="R21" s="5"/>
      <c r="S21" s="5">
        <v>6531605</v>
      </c>
      <c r="T21" s="5"/>
      <c r="U21" s="5">
        <v>1783585</v>
      </c>
      <c r="V21" s="5"/>
      <c r="W21" s="5">
        <v>5348536</v>
      </c>
      <c r="X21" s="5"/>
      <c r="Y21" s="5">
        <v>12062283</v>
      </c>
      <c r="Z21" s="5"/>
      <c r="AA21" s="5">
        <f>7791438-60640</f>
        <v>7730798</v>
      </c>
      <c r="AB21" s="5"/>
      <c r="AC21" s="5">
        <v>3272559</v>
      </c>
      <c r="AD21" s="5"/>
      <c r="AE21" s="5">
        <v>3729074</v>
      </c>
      <c r="AF21" s="5"/>
    </row>
    <row r="22" spans="1:34" x14ac:dyDescent="0.2">
      <c r="A22" s="1">
        <f t="shared" si="0"/>
        <v>22</v>
      </c>
      <c r="B22" t="s">
        <v>70</v>
      </c>
      <c r="C22" s="5">
        <v>235715</v>
      </c>
      <c r="D22" s="5"/>
      <c r="E22" s="5">
        <v>1355117</v>
      </c>
      <c r="F22" s="5"/>
      <c r="G22" s="5">
        <v>468559</v>
      </c>
      <c r="H22" s="5"/>
      <c r="I22" s="5">
        <v>457021</v>
      </c>
      <c r="J22" s="5"/>
      <c r="K22" s="5">
        <v>498967</v>
      </c>
      <c r="L22" s="5"/>
      <c r="M22" s="5">
        <f>169839+790883</f>
        <v>960722</v>
      </c>
      <c r="N22" s="5"/>
      <c r="O22" s="5">
        <v>253791</v>
      </c>
      <c r="P22" s="5"/>
      <c r="Q22" s="5">
        <v>524846</v>
      </c>
      <c r="R22" s="5"/>
      <c r="S22" s="5">
        <v>945215</v>
      </c>
      <c r="T22" s="5"/>
      <c r="U22" s="5">
        <v>258111</v>
      </c>
      <c r="V22" s="5"/>
      <c r="W22" s="5">
        <v>774009</v>
      </c>
      <c r="X22" s="5"/>
      <c r="Y22" s="5">
        <v>1756078</v>
      </c>
      <c r="Z22" s="5"/>
      <c r="AA22" s="5">
        <f>1127532-8776</f>
        <v>1118756</v>
      </c>
      <c r="AB22" s="5"/>
      <c r="AC22" s="5">
        <v>473588</v>
      </c>
      <c r="AD22" s="5"/>
      <c r="AE22" s="5">
        <v>520563</v>
      </c>
      <c r="AF22" s="5"/>
    </row>
    <row r="23" spans="1:34" x14ac:dyDescent="0.2">
      <c r="A23" s="1">
        <f t="shared" si="0"/>
        <v>23</v>
      </c>
      <c r="B23" t="s">
        <v>140</v>
      </c>
      <c r="C23" s="5">
        <f>C21-C22</f>
        <v>1393120</v>
      </c>
      <c r="D23" s="5"/>
      <c r="E23" s="5">
        <f>E21-E22</f>
        <v>8008966</v>
      </c>
      <c r="F23" s="5"/>
      <c r="G23" s="5">
        <f>G21-G22</f>
        <v>2769264</v>
      </c>
      <c r="H23" s="5"/>
      <c r="I23" s="5">
        <f>I21-I22</f>
        <v>2701076</v>
      </c>
      <c r="J23" s="5"/>
      <c r="K23" s="5">
        <f>K21-K22</f>
        <v>2948970</v>
      </c>
      <c r="L23" s="5"/>
      <c r="M23" s="5">
        <f>M21-M22</f>
        <v>5864793</v>
      </c>
      <c r="N23" s="5"/>
      <c r="O23" s="5">
        <f>O21-O22</f>
        <v>1499950</v>
      </c>
      <c r="P23" s="5"/>
      <c r="Q23" s="5">
        <f>Q21-Q22</f>
        <v>3101922</v>
      </c>
      <c r="R23" s="5"/>
      <c r="S23" s="5">
        <f>S21-S22</f>
        <v>5586390</v>
      </c>
      <c r="T23" s="5"/>
      <c r="U23" s="5">
        <f>U21-U22</f>
        <v>1525474</v>
      </c>
      <c r="V23" s="5"/>
      <c r="W23" s="5">
        <f>W21-W22</f>
        <v>4574527</v>
      </c>
      <c r="X23" s="5"/>
      <c r="Y23" s="5">
        <f>Y21-Y22</f>
        <v>10306205</v>
      </c>
      <c r="Z23" s="5"/>
      <c r="AA23" s="5">
        <f>AA21-AA22</f>
        <v>6612042</v>
      </c>
      <c r="AB23" s="5"/>
      <c r="AC23" s="5">
        <f>AC21-AC22</f>
        <v>2798971</v>
      </c>
      <c r="AD23" s="5"/>
      <c r="AE23" s="5">
        <f>AE21-AE22</f>
        <v>3208511</v>
      </c>
      <c r="AF23" s="5"/>
    </row>
    <row r="24" spans="1:34" x14ac:dyDescent="0.2">
      <c r="A24" s="1">
        <f t="shared" si="0"/>
        <v>24</v>
      </c>
      <c r="B24" t="s">
        <v>154</v>
      </c>
      <c r="C24" s="5">
        <f>'FAC Recalc'!D57</f>
        <v>453</v>
      </c>
      <c r="D24" s="5"/>
      <c r="E24" s="5">
        <f>'FAC Recalc'!F57</f>
        <v>2657</v>
      </c>
      <c r="F24" s="5"/>
      <c r="G24" s="5">
        <f>'FAC Recalc'!H57</f>
        <v>889</v>
      </c>
      <c r="H24" s="5"/>
      <c r="I24" s="5">
        <f>'FAC Recalc'!J57</f>
        <v>878</v>
      </c>
      <c r="J24" s="5"/>
      <c r="K24" s="5">
        <f>'FAC Recalc'!L57</f>
        <v>973</v>
      </c>
      <c r="L24" s="5"/>
      <c r="M24" s="5">
        <f>'FAC Recalc'!N57</f>
        <v>1988</v>
      </c>
      <c r="N24" s="5"/>
      <c r="O24" s="5">
        <f>'FAC Recalc'!P57</f>
        <v>492</v>
      </c>
      <c r="P24" s="5"/>
      <c r="Q24" s="5">
        <f>'FAC Recalc'!R57</f>
        <v>985</v>
      </c>
      <c r="R24" s="5"/>
      <c r="S24" s="5">
        <f>'FAC Recalc'!T57</f>
        <v>1800</v>
      </c>
      <c r="T24" s="5"/>
      <c r="U24" s="5">
        <f>'FAC Recalc'!V57</f>
        <v>504</v>
      </c>
      <c r="V24" s="5"/>
      <c r="W24" s="5">
        <f>'FAC Recalc'!X57</f>
        <v>1496</v>
      </c>
      <c r="X24" s="5"/>
      <c r="Y24" s="5">
        <f>'FAC Recalc'!Z57</f>
        <v>4136</v>
      </c>
      <c r="Z24" s="5"/>
      <c r="AA24" s="5">
        <f>'FAC Recalc'!AB57</f>
        <v>2194</v>
      </c>
      <c r="AB24" s="5"/>
      <c r="AC24" s="5">
        <f>'FAC Recalc'!AD57</f>
        <v>965</v>
      </c>
      <c r="AD24" s="5"/>
      <c r="AE24" s="5">
        <f>'FAC Recalc'!AF57</f>
        <v>924</v>
      </c>
      <c r="AF24" s="5"/>
    </row>
    <row r="25" spans="1:34" x14ac:dyDescent="0.2">
      <c r="A25" s="1">
        <f t="shared" si="0"/>
        <v>25</v>
      </c>
      <c r="B25" t="s">
        <v>155</v>
      </c>
      <c r="C25" s="5">
        <f>C23+C24</f>
        <v>1393573</v>
      </c>
      <c r="D25" s="5"/>
      <c r="E25" s="5">
        <f>E23+E24</f>
        <v>8011623</v>
      </c>
      <c r="F25" s="5"/>
      <c r="G25" s="5">
        <f>G23+G24</f>
        <v>2770153</v>
      </c>
      <c r="H25" s="5"/>
      <c r="I25" s="5">
        <f>I23+I24</f>
        <v>2701954</v>
      </c>
      <c r="J25" s="5"/>
      <c r="K25" s="5">
        <f>K23+K24</f>
        <v>2949943</v>
      </c>
      <c r="L25" s="5"/>
      <c r="M25" s="5">
        <f>M23+M24</f>
        <v>5866781</v>
      </c>
      <c r="N25" s="5"/>
      <c r="O25" s="5">
        <f>O23+O24</f>
        <v>1500442</v>
      </c>
      <c r="P25" s="5"/>
      <c r="Q25" s="5">
        <f>Q23+Q24</f>
        <v>3102907</v>
      </c>
      <c r="R25" s="5"/>
      <c r="S25" s="5">
        <f>S23+S24</f>
        <v>5588190</v>
      </c>
      <c r="T25" s="5"/>
      <c r="U25" s="5">
        <f>U23+U24</f>
        <v>1525978</v>
      </c>
      <c r="V25" s="5"/>
      <c r="W25" s="5">
        <f>W23+W24</f>
        <v>4576023</v>
      </c>
      <c r="X25" s="5"/>
      <c r="Y25" s="5">
        <f>Y23+Y24</f>
        <v>10310341</v>
      </c>
      <c r="Z25" s="5"/>
      <c r="AA25" s="5">
        <f>AA23+AA24</f>
        <v>6614236</v>
      </c>
      <c r="AB25" s="5"/>
      <c r="AC25" s="5">
        <f>AC23+AC24</f>
        <v>2799936</v>
      </c>
      <c r="AD25" s="5"/>
      <c r="AE25" s="5">
        <f>AE23+AE24</f>
        <v>3209435</v>
      </c>
      <c r="AF25" s="5"/>
    </row>
    <row r="26" spans="1:34" x14ac:dyDescent="0.2">
      <c r="A26" s="1">
        <f t="shared" si="0"/>
        <v>26</v>
      </c>
      <c r="B26" t="s">
        <v>72</v>
      </c>
      <c r="C26" s="6">
        <f>0.1692+C3</f>
        <v>0.17419999999999999</v>
      </c>
      <c r="D26" s="10"/>
      <c r="E26" s="6">
        <f>C26</f>
        <v>0.17419999999999999</v>
      </c>
      <c r="F26" s="6"/>
      <c r="G26" s="6">
        <f>E26</f>
        <v>0.17419999999999999</v>
      </c>
      <c r="H26" s="6"/>
      <c r="I26" s="6">
        <f t="shared" ref="I26" si="13">G26</f>
        <v>0.17419999999999999</v>
      </c>
      <c r="J26" s="6"/>
      <c r="K26" s="6">
        <f t="shared" ref="K26" si="14">I26</f>
        <v>0.17419999999999999</v>
      </c>
      <c r="L26" s="6"/>
      <c r="M26" s="6">
        <f t="shared" ref="M26" si="15">K26</f>
        <v>0.17419999999999999</v>
      </c>
      <c r="N26" s="6"/>
      <c r="O26" s="6">
        <f t="shared" ref="O26" si="16">M26</f>
        <v>0.17419999999999999</v>
      </c>
      <c r="P26" s="6"/>
      <c r="Q26" s="6">
        <f t="shared" ref="Q26" si="17">O26</f>
        <v>0.17419999999999999</v>
      </c>
      <c r="R26" s="6"/>
      <c r="S26" s="6">
        <f t="shared" ref="S26" si="18">Q26</f>
        <v>0.17419999999999999</v>
      </c>
      <c r="T26" s="6"/>
      <c r="U26" s="6">
        <f t="shared" ref="U26" si="19">S26</f>
        <v>0.17419999999999999</v>
      </c>
      <c r="V26" s="6"/>
      <c r="W26" s="6">
        <f t="shared" ref="W26" si="20">U26</f>
        <v>0.17419999999999999</v>
      </c>
      <c r="X26" s="6"/>
      <c r="Y26" s="6">
        <f t="shared" ref="Y26" si="21">W26</f>
        <v>0.17419999999999999</v>
      </c>
      <c r="Z26" s="6"/>
      <c r="AA26" s="6">
        <f t="shared" ref="AA26" si="22">Y26</f>
        <v>0.17419999999999999</v>
      </c>
      <c r="AB26" s="6"/>
      <c r="AC26" s="6">
        <f t="shared" ref="AC26" si="23">AA26</f>
        <v>0.17419999999999999</v>
      </c>
      <c r="AD26" s="6"/>
      <c r="AE26" s="6">
        <f t="shared" ref="AE26" si="24">AC26</f>
        <v>0.17419999999999999</v>
      </c>
      <c r="AF26" s="6"/>
    </row>
    <row r="27" spans="1:34" x14ac:dyDescent="0.2">
      <c r="A27" s="1">
        <f t="shared" si="0"/>
        <v>27</v>
      </c>
      <c r="B27" t="s">
        <v>73</v>
      </c>
      <c r="C27" s="5">
        <f>ROUND(C25*C26,0)</f>
        <v>242760</v>
      </c>
      <c r="D27" s="5"/>
      <c r="E27" s="5">
        <f>ROUND(E25*E26,0)</f>
        <v>1395625</v>
      </c>
      <c r="F27" s="5"/>
      <c r="G27" s="5">
        <f>ROUND(G25*G26,0)</f>
        <v>482561</v>
      </c>
      <c r="H27" s="5"/>
      <c r="I27" s="5">
        <f>ROUND(I25*I26,0)</f>
        <v>470680</v>
      </c>
      <c r="J27" s="5"/>
      <c r="K27" s="5">
        <f>ROUND(K25*K26,0)</f>
        <v>513880</v>
      </c>
      <c r="L27" s="5"/>
      <c r="M27" s="5">
        <f>ROUND(M25*M26,0)</f>
        <v>1021993</v>
      </c>
      <c r="N27" s="5"/>
      <c r="O27" s="5">
        <f>ROUND(O25*O26,0)</f>
        <v>261377</v>
      </c>
      <c r="P27" s="5"/>
      <c r="Q27" s="5">
        <f>ROUND(Q25*Q26,0)</f>
        <v>540526</v>
      </c>
      <c r="R27" s="5"/>
      <c r="S27" s="5">
        <f>ROUND(S25*S26,0)</f>
        <v>973463</v>
      </c>
      <c r="T27" s="5"/>
      <c r="U27" s="5">
        <f>ROUND(U25*U26,0)</f>
        <v>265825</v>
      </c>
      <c r="V27" s="5"/>
      <c r="W27" s="5">
        <f>ROUND(W25*W26,0)</f>
        <v>797143</v>
      </c>
      <c r="X27" s="5"/>
      <c r="Y27" s="5">
        <f>ROUND(Y25*Y26,0)</f>
        <v>1796061</v>
      </c>
      <c r="Z27" s="5"/>
      <c r="AA27" s="5">
        <f>ROUND(AA25*AA26,0)</f>
        <v>1152200</v>
      </c>
      <c r="AB27" s="5"/>
      <c r="AC27" s="5">
        <f>ROUND(AC25*AC26,0)</f>
        <v>487749</v>
      </c>
      <c r="AD27" s="5"/>
      <c r="AE27" s="5">
        <f>ROUND(AE25*AE26,0)</f>
        <v>559084</v>
      </c>
      <c r="AF27" s="5"/>
    </row>
    <row r="28" spans="1:34" x14ac:dyDescent="0.2">
      <c r="A28" s="1">
        <f t="shared" si="0"/>
        <v>28</v>
      </c>
      <c r="B28" t="s">
        <v>74</v>
      </c>
      <c r="C28" s="5"/>
      <c r="D28" s="5">
        <f>C27-C22</f>
        <v>7045</v>
      </c>
      <c r="E28" s="5"/>
      <c r="F28" s="5">
        <f>E27-E22</f>
        <v>40508</v>
      </c>
      <c r="G28" s="5"/>
      <c r="H28" s="5">
        <f>G27-G22</f>
        <v>14002</v>
      </c>
      <c r="I28" s="5"/>
      <c r="J28" s="5">
        <f>I27-I22</f>
        <v>13659</v>
      </c>
      <c r="K28" s="5"/>
      <c r="L28" s="5">
        <f>K27-K22</f>
        <v>14913</v>
      </c>
      <c r="M28" s="5"/>
      <c r="N28" s="5">
        <f>M27-M22</f>
        <v>61271</v>
      </c>
      <c r="O28" s="5"/>
      <c r="P28" s="5">
        <f>O27-O22</f>
        <v>7586</v>
      </c>
      <c r="Q28" s="5"/>
      <c r="R28" s="5">
        <f>Q27-Q22</f>
        <v>15680</v>
      </c>
      <c r="S28" s="5"/>
      <c r="T28" s="5">
        <f>S27-S22</f>
        <v>28248</v>
      </c>
      <c r="U28" s="5"/>
      <c r="V28" s="5">
        <f>U27-U22</f>
        <v>7714</v>
      </c>
      <c r="W28" s="5"/>
      <c r="X28" s="5">
        <f>W27-W22</f>
        <v>23134</v>
      </c>
      <c r="Y28" s="5"/>
      <c r="Z28" s="5">
        <f>Y27-Y22</f>
        <v>39983</v>
      </c>
      <c r="AA28" s="5"/>
      <c r="AB28" s="5">
        <f>AA27-AA22</f>
        <v>33444</v>
      </c>
      <c r="AC28" s="5"/>
      <c r="AD28" s="5">
        <f>AC27-AC22</f>
        <v>14161</v>
      </c>
      <c r="AE28" s="5"/>
      <c r="AF28" s="5">
        <f>AE27-AE22</f>
        <v>38521</v>
      </c>
      <c r="AG28" s="5">
        <f>SUM(D28:AF28)</f>
        <v>359869</v>
      </c>
      <c r="AH28" s="5">
        <f>-'Billing Impact'!G80</f>
        <v>387343</v>
      </c>
    </row>
    <row r="29" spans="1:34" x14ac:dyDescent="0.2">
      <c r="A29" s="1">
        <f t="shared" si="0"/>
        <v>29</v>
      </c>
    </row>
    <row r="30" spans="1:34" x14ac:dyDescent="0.2">
      <c r="A30" s="1">
        <f t="shared" si="0"/>
        <v>30</v>
      </c>
      <c r="B30" t="s">
        <v>13</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row>
    <row r="31" spans="1:34" x14ac:dyDescent="0.2">
      <c r="A31" s="1">
        <f t="shared" si="0"/>
        <v>31</v>
      </c>
      <c r="B31" t="s">
        <v>69</v>
      </c>
      <c r="C31" s="5">
        <v>1316971</v>
      </c>
      <c r="D31" s="5"/>
      <c r="E31" s="5">
        <v>7245458</v>
      </c>
      <c r="F31" s="5"/>
      <c r="G31" s="5">
        <v>2497617</v>
      </c>
      <c r="H31" s="5"/>
      <c r="I31" s="5">
        <v>2547641</v>
      </c>
      <c r="J31" s="5"/>
      <c r="K31" s="5">
        <v>2602265</v>
      </c>
      <c r="L31" s="5"/>
      <c r="M31" s="5">
        <f>4499680+968089</f>
        <v>5467769</v>
      </c>
      <c r="N31" s="5"/>
      <c r="O31" s="5">
        <v>1413727</v>
      </c>
      <c r="P31" s="5"/>
      <c r="Q31" s="5">
        <v>2690136</v>
      </c>
      <c r="R31" s="5"/>
      <c r="S31" s="5">
        <v>5107164</v>
      </c>
      <c r="T31" s="5"/>
      <c r="U31" s="5">
        <v>1435351</v>
      </c>
      <c r="V31" s="5"/>
      <c r="W31" s="5">
        <v>3998510</v>
      </c>
      <c r="X31" s="5"/>
      <c r="Y31" s="5">
        <v>9640428</v>
      </c>
      <c r="Z31" s="5"/>
      <c r="AA31" s="5">
        <f>5960163-65070</f>
        <v>5895093</v>
      </c>
      <c r="AB31" s="5"/>
      <c r="AC31" s="5">
        <v>2575697</v>
      </c>
      <c r="AD31" s="5"/>
      <c r="AE31" s="5">
        <v>2787286</v>
      </c>
      <c r="AF31" s="5"/>
    </row>
    <row r="32" spans="1:34" x14ac:dyDescent="0.2">
      <c r="A32" s="1">
        <f t="shared" si="0"/>
        <v>32</v>
      </c>
      <c r="B32" t="s">
        <v>70</v>
      </c>
      <c r="C32" s="5">
        <v>132751</v>
      </c>
      <c r="D32" s="5"/>
      <c r="E32" s="5">
        <v>730343</v>
      </c>
      <c r="F32" s="5"/>
      <c r="G32" s="5">
        <v>251762</v>
      </c>
      <c r="H32" s="5"/>
      <c r="I32" s="5">
        <v>256803</v>
      </c>
      <c r="J32" s="5"/>
      <c r="K32" s="5">
        <v>262307</v>
      </c>
      <c r="L32" s="5"/>
      <c r="M32" s="5">
        <f>99684+440124</f>
        <v>539808</v>
      </c>
      <c r="N32" s="5"/>
      <c r="O32" s="5">
        <v>142507</v>
      </c>
      <c r="P32" s="5"/>
      <c r="Q32" s="5">
        <v>271167</v>
      </c>
      <c r="R32" s="5"/>
      <c r="S32" s="5">
        <v>514804</v>
      </c>
      <c r="T32" s="5"/>
      <c r="U32" s="5">
        <v>144685</v>
      </c>
      <c r="V32" s="5"/>
      <c r="W32" s="5">
        <v>403052</v>
      </c>
      <c r="X32" s="5"/>
      <c r="Y32" s="5">
        <v>980089</v>
      </c>
      <c r="Z32" s="5"/>
      <c r="AA32" s="5">
        <f>-6559+600784</f>
        <v>594225</v>
      </c>
      <c r="AB32" s="5"/>
      <c r="AC32" s="5">
        <v>259631</v>
      </c>
      <c r="AD32" s="5"/>
      <c r="AE32" s="5">
        <v>270005</v>
      </c>
      <c r="AF32" s="5"/>
    </row>
    <row r="33" spans="1:34" x14ac:dyDescent="0.2">
      <c r="A33" s="1">
        <f t="shared" si="0"/>
        <v>33</v>
      </c>
      <c r="B33" t="s">
        <v>140</v>
      </c>
      <c r="C33" s="5">
        <f>C31-C32</f>
        <v>1184220</v>
      </c>
      <c r="D33" s="5"/>
      <c r="E33" s="5">
        <f>E31-E32</f>
        <v>6515115</v>
      </c>
      <c r="F33" s="5"/>
      <c r="G33" s="5">
        <f>G31-G32</f>
        <v>2245855</v>
      </c>
      <c r="H33" s="5"/>
      <c r="I33" s="5">
        <f>I31-I32</f>
        <v>2290838</v>
      </c>
      <c r="J33" s="5"/>
      <c r="K33" s="5">
        <f>K31-K32</f>
        <v>2339958</v>
      </c>
      <c r="L33" s="5"/>
      <c r="M33" s="5">
        <f>M31-M32</f>
        <v>4927961</v>
      </c>
      <c r="N33" s="5"/>
      <c r="O33" s="5">
        <f>O31-O32</f>
        <v>1271220</v>
      </c>
      <c r="P33" s="5"/>
      <c r="Q33" s="5">
        <f>Q31-Q32</f>
        <v>2418969</v>
      </c>
      <c r="R33" s="5"/>
      <c r="S33" s="5">
        <f>S31-S32</f>
        <v>4592360</v>
      </c>
      <c r="T33" s="5"/>
      <c r="U33" s="5">
        <f>U31-U32</f>
        <v>1290666</v>
      </c>
      <c r="V33" s="5"/>
      <c r="W33" s="5">
        <f>W31-W32</f>
        <v>3595458</v>
      </c>
      <c r="X33" s="5"/>
      <c r="Y33" s="5">
        <f>Y31-Y32</f>
        <v>8660339</v>
      </c>
      <c r="Z33" s="5"/>
      <c r="AA33" s="5">
        <f>AA31-AA32</f>
        <v>5300868</v>
      </c>
      <c r="AB33" s="5"/>
      <c r="AC33" s="5">
        <f>AC31-AC32</f>
        <v>2316066</v>
      </c>
      <c r="AD33" s="5"/>
      <c r="AE33" s="5">
        <f>AE31-AE32</f>
        <v>2517281</v>
      </c>
      <c r="AF33" s="5"/>
    </row>
    <row r="34" spans="1:34" x14ac:dyDescent="0.2">
      <c r="A34" s="1">
        <f t="shared" si="0"/>
        <v>34</v>
      </c>
      <c r="B34" t="s">
        <v>154</v>
      </c>
      <c r="C34" s="5">
        <f>'FAC Recalc'!D65</f>
        <v>1106</v>
      </c>
      <c r="D34" s="5"/>
      <c r="E34" s="5">
        <f>'FAC Recalc'!F65</f>
        <v>6400</v>
      </c>
      <c r="F34" s="5"/>
      <c r="G34" s="5">
        <f>'FAC Recalc'!H65</f>
        <v>2076</v>
      </c>
      <c r="H34" s="5"/>
      <c r="I34" s="5">
        <f>'FAC Recalc'!J65</f>
        <v>2181</v>
      </c>
      <c r="J34" s="5"/>
      <c r="K34" s="5">
        <f>'FAC Recalc'!L65</f>
        <v>2334</v>
      </c>
      <c r="L34" s="5"/>
      <c r="M34" s="5">
        <f>'FAC Recalc'!N65</f>
        <v>5050</v>
      </c>
      <c r="N34" s="5"/>
      <c r="O34" s="5">
        <f>'FAC Recalc'!P65</f>
        <v>1212</v>
      </c>
      <c r="P34" s="5"/>
      <c r="Q34" s="5">
        <f>'FAC Recalc'!R65</f>
        <v>2263</v>
      </c>
      <c r="R34" s="5"/>
      <c r="S34" s="5">
        <f>'FAC Recalc'!T65</f>
        <v>4318</v>
      </c>
      <c r="T34" s="5"/>
      <c r="U34" s="5">
        <f>'FAC Recalc'!V65</f>
        <v>1226</v>
      </c>
      <c r="V34" s="5"/>
      <c r="W34" s="5">
        <f>'FAC Recalc'!X65</f>
        <v>3553</v>
      </c>
      <c r="X34" s="5"/>
      <c r="Y34" s="5">
        <f>'FAC Recalc'!Z65</f>
        <v>10411</v>
      </c>
      <c r="Z34" s="5"/>
      <c r="AA34" s="5">
        <f>'FAC Recalc'!AB65</f>
        <v>5211</v>
      </c>
      <c r="AB34" s="5"/>
      <c r="AC34" s="5">
        <f>'FAC Recalc'!AD65</f>
        <v>2367</v>
      </c>
      <c r="AD34" s="5"/>
      <c r="AE34" s="5">
        <f>'FAC Recalc'!AF65</f>
        <v>2188</v>
      </c>
      <c r="AF34" s="5"/>
    </row>
    <row r="35" spans="1:34" x14ac:dyDescent="0.2">
      <c r="A35" s="1">
        <f t="shared" si="0"/>
        <v>35</v>
      </c>
      <c r="B35" t="s">
        <v>155</v>
      </c>
      <c r="C35" s="5">
        <f>C33+C34</f>
        <v>1185326</v>
      </c>
      <c r="D35" s="5"/>
      <c r="E35" s="5">
        <f>E33+E34</f>
        <v>6521515</v>
      </c>
      <c r="F35" s="5"/>
      <c r="G35" s="5">
        <f>G33+G34</f>
        <v>2247931</v>
      </c>
      <c r="H35" s="5"/>
      <c r="I35" s="5">
        <f>I33+I34</f>
        <v>2293019</v>
      </c>
      <c r="J35" s="5"/>
      <c r="K35" s="5">
        <f>K33+K34</f>
        <v>2342292</v>
      </c>
      <c r="L35" s="5"/>
      <c r="M35" s="5">
        <f>M33+M34</f>
        <v>4933011</v>
      </c>
      <c r="N35" s="5"/>
      <c r="O35" s="5">
        <f>O33+O34</f>
        <v>1272432</v>
      </c>
      <c r="P35" s="5"/>
      <c r="Q35" s="5">
        <f>Q33+Q34</f>
        <v>2421232</v>
      </c>
      <c r="R35" s="5"/>
      <c r="S35" s="5">
        <f>S33+S34</f>
        <v>4596678</v>
      </c>
      <c r="T35" s="5"/>
      <c r="U35" s="5">
        <f>U33+U34</f>
        <v>1291892</v>
      </c>
      <c r="V35" s="5"/>
      <c r="W35" s="5">
        <f>W33+W34</f>
        <v>3599011</v>
      </c>
      <c r="X35" s="5"/>
      <c r="Y35" s="5">
        <f>Y33+Y34</f>
        <v>8670750</v>
      </c>
      <c r="Z35" s="5"/>
      <c r="AA35" s="5">
        <f>AA33+AA34</f>
        <v>5306079</v>
      </c>
      <c r="AB35" s="5"/>
      <c r="AC35" s="5">
        <f>AC33+AC34</f>
        <v>2318433</v>
      </c>
      <c r="AD35" s="5"/>
      <c r="AE35" s="5">
        <f>AE33+AE34</f>
        <v>2519469</v>
      </c>
      <c r="AF35" s="5"/>
    </row>
    <row r="36" spans="1:34" x14ac:dyDescent="0.2">
      <c r="A36" s="1">
        <f t="shared" si="0"/>
        <v>36</v>
      </c>
      <c r="B36" t="s">
        <v>72</v>
      </c>
      <c r="C36" s="6">
        <f>0.1121+C3</f>
        <v>0.11710000000000001</v>
      </c>
      <c r="D36" s="10"/>
      <c r="E36" s="6">
        <f>C36</f>
        <v>0.11710000000000001</v>
      </c>
      <c r="F36" s="6"/>
      <c r="G36" s="6">
        <f>E36</f>
        <v>0.11710000000000001</v>
      </c>
      <c r="H36" s="6"/>
      <c r="I36" s="6">
        <f t="shared" ref="I36" si="25">G36</f>
        <v>0.11710000000000001</v>
      </c>
      <c r="J36" s="6"/>
      <c r="K36" s="6">
        <f t="shared" ref="K36" si="26">I36</f>
        <v>0.11710000000000001</v>
      </c>
      <c r="L36" s="6"/>
      <c r="M36" s="6">
        <f t="shared" ref="M36" si="27">K36</f>
        <v>0.11710000000000001</v>
      </c>
      <c r="N36" s="6"/>
      <c r="O36" s="6">
        <f t="shared" ref="O36" si="28">M36</f>
        <v>0.11710000000000001</v>
      </c>
      <c r="P36" s="6"/>
      <c r="Q36" s="6">
        <f t="shared" ref="Q36" si="29">O36</f>
        <v>0.11710000000000001</v>
      </c>
      <c r="R36" s="6"/>
      <c r="S36" s="6">
        <f t="shared" ref="S36" si="30">Q36</f>
        <v>0.11710000000000001</v>
      </c>
      <c r="T36" s="6"/>
      <c r="U36" s="6">
        <f t="shared" ref="U36" si="31">S36</f>
        <v>0.11710000000000001</v>
      </c>
      <c r="V36" s="6"/>
      <c r="W36" s="6">
        <f t="shared" ref="W36" si="32">U36</f>
        <v>0.11710000000000001</v>
      </c>
      <c r="X36" s="6"/>
      <c r="Y36" s="6">
        <f t="shared" ref="Y36" si="33">W36</f>
        <v>0.11710000000000001</v>
      </c>
      <c r="Z36" s="6"/>
      <c r="AA36" s="6">
        <f t="shared" ref="AA36" si="34">Y36</f>
        <v>0.11710000000000001</v>
      </c>
      <c r="AB36" s="6"/>
      <c r="AC36" s="6">
        <f t="shared" ref="AC36" si="35">AA36</f>
        <v>0.11710000000000001</v>
      </c>
      <c r="AD36" s="6"/>
      <c r="AE36" s="6">
        <f t="shared" ref="AE36" si="36">AC36</f>
        <v>0.11710000000000001</v>
      </c>
      <c r="AF36" s="6"/>
    </row>
    <row r="37" spans="1:34" x14ac:dyDescent="0.2">
      <c r="A37" s="1">
        <f t="shared" si="0"/>
        <v>37</v>
      </c>
      <c r="B37" t="s">
        <v>73</v>
      </c>
      <c r="C37" s="5">
        <f>ROUND(C35*C36,0)</f>
        <v>138802</v>
      </c>
      <c r="D37" s="5"/>
      <c r="E37" s="5">
        <f>ROUND(E35*E36,0)</f>
        <v>763669</v>
      </c>
      <c r="F37" s="5"/>
      <c r="G37" s="5">
        <f>ROUND(G35*G36,0)</f>
        <v>263233</v>
      </c>
      <c r="H37" s="5"/>
      <c r="I37" s="5">
        <f>ROUND(I35*I36,0)</f>
        <v>268513</v>
      </c>
      <c r="J37" s="5"/>
      <c r="K37" s="5">
        <f>ROUND(K35*K36,0)</f>
        <v>274282</v>
      </c>
      <c r="L37" s="5"/>
      <c r="M37" s="5">
        <f>ROUND(M35*M36,0)</f>
        <v>577656</v>
      </c>
      <c r="N37" s="5"/>
      <c r="O37" s="5">
        <f>ROUND(O35*O36,0)</f>
        <v>149002</v>
      </c>
      <c r="P37" s="5"/>
      <c r="Q37" s="5">
        <f>ROUND(Q35*Q36,0)</f>
        <v>283526</v>
      </c>
      <c r="R37" s="5"/>
      <c r="S37" s="5">
        <f>ROUND(S35*S36,0)</f>
        <v>538271</v>
      </c>
      <c r="T37" s="5"/>
      <c r="U37" s="5">
        <f>ROUND(U35*U36,0)</f>
        <v>151281</v>
      </c>
      <c r="V37" s="5"/>
      <c r="W37" s="5">
        <f>ROUND(W35*W36,0)</f>
        <v>421444</v>
      </c>
      <c r="X37" s="5"/>
      <c r="Y37" s="5">
        <f>ROUND(Y35*Y36,0)</f>
        <v>1015345</v>
      </c>
      <c r="Z37" s="5"/>
      <c r="AA37" s="5">
        <f>ROUND(AA35*AA36,0)</f>
        <v>621342</v>
      </c>
      <c r="AB37" s="5"/>
      <c r="AC37" s="5">
        <f>ROUND(AC35*AC36,0)</f>
        <v>271489</v>
      </c>
      <c r="AD37" s="5"/>
      <c r="AE37" s="5">
        <f>ROUND(AE35*AE36,0)</f>
        <v>295030</v>
      </c>
      <c r="AF37" s="5"/>
    </row>
    <row r="38" spans="1:34" x14ac:dyDescent="0.2">
      <c r="A38" s="1">
        <f t="shared" si="0"/>
        <v>38</v>
      </c>
      <c r="B38" t="s">
        <v>74</v>
      </c>
      <c r="C38" s="5"/>
      <c r="D38" s="5">
        <f>C37-C32</f>
        <v>6051</v>
      </c>
      <c r="E38" s="5"/>
      <c r="F38" s="5">
        <f>E37-E32</f>
        <v>33326</v>
      </c>
      <c r="G38" s="5"/>
      <c r="H38" s="5">
        <f>G37-G32</f>
        <v>11471</v>
      </c>
      <c r="I38" s="5"/>
      <c r="J38" s="5">
        <f>I37-I32</f>
        <v>11710</v>
      </c>
      <c r="K38" s="5"/>
      <c r="L38" s="5">
        <f>K37-K32</f>
        <v>11975</v>
      </c>
      <c r="M38" s="5"/>
      <c r="N38" s="5">
        <f>M37-M32</f>
        <v>37848</v>
      </c>
      <c r="O38" s="5"/>
      <c r="P38" s="5">
        <f>O37-O32</f>
        <v>6495</v>
      </c>
      <c r="Q38" s="5"/>
      <c r="R38" s="5">
        <f>Q37-Q32</f>
        <v>12359</v>
      </c>
      <c r="S38" s="5"/>
      <c r="T38" s="5">
        <f>S37-S32</f>
        <v>23467</v>
      </c>
      <c r="U38" s="5"/>
      <c r="V38" s="5">
        <f>U37-U32</f>
        <v>6596</v>
      </c>
      <c r="W38" s="5"/>
      <c r="X38" s="5">
        <f>W37-W32</f>
        <v>18392</v>
      </c>
      <c r="Y38" s="5"/>
      <c r="Z38" s="5">
        <f>Y37-Y32</f>
        <v>35256</v>
      </c>
      <c r="AA38" s="5"/>
      <c r="AB38" s="5">
        <f>AA37-AA32</f>
        <v>27117</v>
      </c>
      <c r="AC38" s="5"/>
      <c r="AD38" s="5">
        <f>AC37-AC32</f>
        <v>11858</v>
      </c>
      <c r="AE38" s="5"/>
      <c r="AF38" s="5">
        <f>AE37-AE32</f>
        <v>25025</v>
      </c>
      <c r="AG38" s="5">
        <f>SUM(D38:AF38)</f>
        <v>278946</v>
      </c>
      <c r="AH38" s="5">
        <f>-'Billing Impact'!G83</f>
        <v>232302</v>
      </c>
    </row>
    <row r="39" spans="1:34" x14ac:dyDescent="0.2">
      <c r="A39" s="1">
        <f t="shared" si="0"/>
        <v>39</v>
      </c>
    </row>
    <row r="40" spans="1:34" x14ac:dyDescent="0.2">
      <c r="A40" s="1">
        <f t="shared" si="0"/>
        <v>40</v>
      </c>
      <c r="B40" t="s">
        <v>14</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row>
    <row r="41" spans="1:34" x14ac:dyDescent="0.2">
      <c r="A41" s="1">
        <f t="shared" si="0"/>
        <v>41</v>
      </c>
      <c r="B41" t="s">
        <v>69</v>
      </c>
      <c r="C41" s="5">
        <v>1332909</v>
      </c>
      <c r="D41" s="5"/>
      <c r="E41" s="5">
        <v>7145626</v>
      </c>
      <c r="F41" s="5"/>
      <c r="G41" s="5">
        <v>2491631</v>
      </c>
      <c r="H41" s="5"/>
      <c r="I41" s="5">
        <v>2564835</v>
      </c>
      <c r="J41" s="5"/>
      <c r="K41" s="5">
        <v>2632013</v>
      </c>
      <c r="L41" s="5"/>
      <c r="M41" s="5">
        <f>4885589+965371</f>
        <v>5850960</v>
      </c>
      <c r="N41" s="5"/>
      <c r="O41" s="5">
        <v>1421783</v>
      </c>
      <c r="P41" s="5"/>
      <c r="Q41" s="5">
        <v>2632154</v>
      </c>
      <c r="R41" s="5"/>
      <c r="S41" s="5">
        <v>5055934</v>
      </c>
      <c r="T41" s="5"/>
      <c r="U41" s="5">
        <v>1428557</v>
      </c>
      <c r="V41" s="5"/>
      <c r="W41" s="5">
        <v>3935891</v>
      </c>
      <c r="X41" s="5"/>
      <c r="Y41" s="5">
        <v>9730261</v>
      </c>
      <c r="Z41" s="5"/>
      <c r="AA41" s="5">
        <f>5898346-60937</f>
        <v>5837409</v>
      </c>
      <c r="AB41" s="5"/>
      <c r="AC41" s="5">
        <v>2554625</v>
      </c>
      <c r="AD41" s="5"/>
      <c r="AE41" s="5">
        <v>2767976</v>
      </c>
      <c r="AF41" s="5"/>
    </row>
    <row r="42" spans="1:34" x14ac:dyDescent="0.2">
      <c r="A42" s="1">
        <f t="shared" si="0"/>
        <v>42</v>
      </c>
      <c r="B42" t="s">
        <v>70</v>
      </c>
      <c r="C42" s="5">
        <v>145568</v>
      </c>
      <c r="D42" s="5"/>
      <c r="E42" s="5">
        <v>780378</v>
      </c>
      <c r="F42" s="5"/>
      <c r="G42" s="5">
        <v>272112</v>
      </c>
      <c r="H42" s="5"/>
      <c r="I42" s="5">
        <v>280107</v>
      </c>
      <c r="J42" s="5"/>
      <c r="K42" s="5">
        <v>287444</v>
      </c>
      <c r="L42" s="5"/>
      <c r="M42" s="5">
        <f>107704+506885</f>
        <v>614589</v>
      </c>
      <c r="N42" s="5"/>
      <c r="O42" s="5">
        <v>155277</v>
      </c>
      <c r="P42" s="5"/>
      <c r="Q42" s="5">
        <v>287460</v>
      </c>
      <c r="R42" s="5"/>
      <c r="S42" s="5">
        <v>552163</v>
      </c>
      <c r="T42" s="5"/>
      <c r="U42" s="5">
        <v>156015</v>
      </c>
      <c r="V42" s="5"/>
      <c r="W42" s="5">
        <v>429842</v>
      </c>
      <c r="X42" s="5"/>
      <c r="Y42" s="5">
        <v>1071677</v>
      </c>
      <c r="Z42" s="5"/>
      <c r="AA42" s="5">
        <f>-6655+644164</f>
        <v>637509</v>
      </c>
      <c r="AB42" s="5"/>
      <c r="AC42" s="5">
        <v>278991</v>
      </c>
      <c r="AD42" s="5"/>
      <c r="AE42" s="5">
        <v>290591</v>
      </c>
      <c r="AF42" s="5"/>
    </row>
    <row r="43" spans="1:34" x14ac:dyDescent="0.2">
      <c r="A43" s="1">
        <f t="shared" si="0"/>
        <v>43</v>
      </c>
      <c r="B43" t="s">
        <v>140</v>
      </c>
      <c r="C43" s="5">
        <f>C41-C42</f>
        <v>1187341</v>
      </c>
      <c r="D43" s="5"/>
      <c r="E43" s="5">
        <f>E41-E42</f>
        <v>6365248</v>
      </c>
      <c r="F43" s="5"/>
      <c r="G43" s="5">
        <f>G41-G42</f>
        <v>2219519</v>
      </c>
      <c r="H43" s="5"/>
      <c r="I43" s="5">
        <f>I41-I42</f>
        <v>2284728</v>
      </c>
      <c r="J43" s="5"/>
      <c r="K43" s="5">
        <f>K41-K42</f>
        <v>2344569</v>
      </c>
      <c r="L43" s="5"/>
      <c r="M43" s="5">
        <f>M41-M42</f>
        <v>5236371</v>
      </c>
      <c r="N43" s="5"/>
      <c r="O43" s="5">
        <f>O41-O42</f>
        <v>1266506</v>
      </c>
      <c r="P43" s="5"/>
      <c r="Q43" s="5">
        <f>Q41-Q42</f>
        <v>2344694</v>
      </c>
      <c r="R43" s="5"/>
      <c r="S43" s="5">
        <f>S41-S42</f>
        <v>4503771</v>
      </c>
      <c r="T43" s="5"/>
      <c r="U43" s="5">
        <f>U41-U42</f>
        <v>1272542</v>
      </c>
      <c r="V43" s="5"/>
      <c r="W43" s="5">
        <f>W41-W42</f>
        <v>3506049</v>
      </c>
      <c r="X43" s="5"/>
      <c r="Y43" s="5">
        <f>Y41-Y42</f>
        <v>8658584</v>
      </c>
      <c r="Z43" s="5"/>
      <c r="AA43" s="5">
        <f>AA41-AA42</f>
        <v>5199900</v>
      </c>
      <c r="AB43" s="5"/>
      <c r="AC43" s="5">
        <f>AC41-AC42</f>
        <v>2275634</v>
      </c>
      <c r="AD43" s="5"/>
      <c r="AE43" s="5">
        <f>AE41-AE42</f>
        <v>2477385</v>
      </c>
      <c r="AF43" s="5"/>
    </row>
    <row r="44" spans="1:34" x14ac:dyDescent="0.2">
      <c r="A44" s="1">
        <f t="shared" si="0"/>
        <v>44</v>
      </c>
      <c r="B44" t="s">
        <v>154</v>
      </c>
      <c r="C44" s="5">
        <f>'FAC Recalc'!D73</f>
        <v>2978</v>
      </c>
      <c r="D44" s="5"/>
      <c r="E44" s="5">
        <f>'FAC Recalc'!F73</f>
        <v>17101</v>
      </c>
      <c r="F44" s="5"/>
      <c r="G44" s="5">
        <f>'FAC Recalc'!H73</f>
        <v>5618</v>
      </c>
      <c r="H44" s="5"/>
      <c r="I44" s="5">
        <f>'FAC Recalc'!J73</f>
        <v>5748</v>
      </c>
      <c r="J44" s="5"/>
      <c r="K44" s="5">
        <f>'FAC Recalc'!L73</f>
        <v>6238</v>
      </c>
      <c r="L44" s="5"/>
      <c r="M44" s="5">
        <f>'FAC Recalc'!N73</f>
        <v>14376</v>
      </c>
      <c r="N44" s="5"/>
      <c r="O44" s="5">
        <f>'FAC Recalc'!P73</f>
        <v>3319</v>
      </c>
      <c r="P44" s="5"/>
      <c r="Q44" s="5">
        <f>'FAC Recalc'!R73</f>
        <v>6023</v>
      </c>
      <c r="R44" s="5"/>
      <c r="S44" s="5">
        <f>'FAC Recalc'!T73</f>
        <v>11374</v>
      </c>
      <c r="T44" s="5"/>
      <c r="U44" s="5">
        <f>'FAC Recalc'!V73</f>
        <v>3289</v>
      </c>
      <c r="V44" s="5"/>
      <c r="W44" s="5">
        <f>'FAC Recalc'!X73</f>
        <v>9385</v>
      </c>
      <c r="X44" s="5"/>
      <c r="Y44" s="5">
        <f>'FAC Recalc'!Z73</f>
        <v>28645</v>
      </c>
      <c r="Z44" s="5"/>
      <c r="AA44" s="5">
        <f>'FAC Recalc'!AB73</f>
        <v>13890</v>
      </c>
      <c r="AB44" s="5"/>
      <c r="AC44" s="5">
        <f>'FAC Recalc'!AD73</f>
        <v>6336</v>
      </c>
      <c r="AD44" s="5"/>
      <c r="AE44" s="5">
        <f>'FAC Recalc'!AF73</f>
        <v>5753</v>
      </c>
      <c r="AF44" s="5"/>
    </row>
    <row r="45" spans="1:34" x14ac:dyDescent="0.2">
      <c r="A45" s="1">
        <f t="shared" si="0"/>
        <v>45</v>
      </c>
      <c r="B45" t="s">
        <v>155</v>
      </c>
      <c r="C45" s="5">
        <f>C43+C44</f>
        <v>1190319</v>
      </c>
      <c r="D45" s="5"/>
      <c r="E45" s="5">
        <f>E43+E44</f>
        <v>6382349</v>
      </c>
      <c r="F45" s="5"/>
      <c r="G45" s="5">
        <f>G43+G44</f>
        <v>2225137</v>
      </c>
      <c r="H45" s="5"/>
      <c r="I45" s="5">
        <f>I43+I44</f>
        <v>2290476</v>
      </c>
      <c r="J45" s="5"/>
      <c r="K45" s="5">
        <f>K43+K44</f>
        <v>2350807</v>
      </c>
      <c r="L45" s="5"/>
      <c r="M45" s="5">
        <f>M43+M44</f>
        <v>5250747</v>
      </c>
      <c r="N45" s="5"/>
      <c r="O45" s="5">
        <f>O43+O44</f>
        <v>1269825</v>
      </c>
      <c r="P45" s="5"/>
      <c r="Q45" s="5">
        <f>Q43+Q44</f>
        <v>2350717</v>
      </c>
      <c r="R45" s="5"/>
      <c r="S45" s="5">
        <f>S43+S44</f>
        <v>4515145</v>
      </c>
      <c r="T45" s="5"/>
      <c r="U45" s="5">
        <f>U43+U44</f>
        <v>1275831</v>
      </c>
      <c r="V45" s="5"/>
      <c r="W45" s="5">
        <f>W43+W44</f>
        <v>3515434</v>
      </c>
      <c r="X45" s="5"/>
      <c r="Y45" s="5">
        <f>Y43+Y44</f>
        <v>8687229</v>
      </c>
      <c r="Z45" s="5"/>
      <c r="AA45" s="5">
        <f>AA43+AA44</f>
        <v>5213790</v>
      </c>
      <c r="AB45" s="5"/>
      <c r="AC45" s="5">
        <f>AC43+AC44</f>
        <v>2281970</v>
      </c>
      <c r="AD45" s="5"/>
      <c r="AE45" s="5">
        <f>AE43+AE44</f>
        <v>2483138</v>
      </c>
      <c r="AF45" s="5"/>
    </row>
    <row r="46" spans="1:34" x14ac:dyDescent="0.2">
      <c r="A46" s="1">
        <f t="shared" si="0"/>
        <v>46</v>
      </c>
      <c r="B46" t="s">
        <v>72</v>
      </c>
      <c r="C46" s="6">
        <f>0.1226+C3</f>
        <v>0.12759999999999999</v>
      </c>
      <c r="D46" s="10"/>
      <c r="E46" s="6">
        <f>C46</f>
        <v>0.12759999999999999</v>
      </c>
      <c r="F46" s="6"/>
      <c r="G46" s="6">
        <f>E46</f>
        <v>0.12759999999999999</v>
      </c>
      <c r="H46" s="6"/>
      <c r="I46" s="6">
        <f t="shared" ref="I46" si="37">G46</f>
        <v>0.12759999999999999</v>
      </c>
      <c r="J46" s="6"/>
      <c r="K46" s="6">
        <f t="shared" ref="K46" si="38">I46</f>
        <v>0.12759999999999999</v>
      </c>
      <c r="L46" s="6"/>
      <c r="M46" s="6">
        <f t="shared" ref="M46" si="39">K46</f>
        <v>0.12759999999999999</v>
      </c>
      <c r="N46" s="6"/>
      <c r="O46" s="6">
        <f t="shared" ref="O46" si="40">M46</f>
        <v>0.12759999999999999</v>
      </c>
      <c r="P46" s="6"/>
      <c r="Q46" s="6">
        <f t="shared" ref="Q46" si="41">O46</f>
        <v>0.12759999999999999</v>
      </c>
      <c r="R46" s="6"/>
      <c r="S46" s="6">
        <f t="shared" ref="S46" si="42">Q46</f>
        <v>0.12759999999999999</v>
      </c>
      <c r="T46" s="6"/>
      <c r="U46" s="6">
        <f t="shared" ref="U46" si="43">S46</f>
        <v>0.12759999999999999</v>
      </c>
      <c r="V46" s="6"/>
      <c r="W46" s="6">
        <f t="shared" ref="W46" si="44">U46</f>
        <v>0.12759999999999999</v>
      </c>
      <c r="X46" s="6"/>
      <c r="Y46" s="6">
        <f t="shared" ref="Y46" si="45">W46</f>
        <v>0.12759999999999999</v>
      </c>
      <c r="Z46" s="6"/>
      <c r="AA46" s="6">
        <f t="shared" ref="AA46" si="46">Y46</f>
        <v>0.12759999999999999</v>
      </c>
      <c r="AB46" s="6"/>
      <c r="AC46" s="6">
        <f t="shared" ref="AC46" si="47">AA46</f>
        <v>0.12759999999999999</v>
      </c>
      <c r="AD46" s="6"/>
      <c r="AE46" s="6">
        <f t="shared" ref="AE46" si="48">AC46</f>
        <v>0.12759999999999999</v>
      </c>
      <c r="AF46" s="6"/>
    </row>
    <row r="47" spans="1:34" x14ac:dyDescent="0.2">
      <c r="A47" s="1">
        <f t="shared" si="0"/>
        <v>47</v>
      </c>
      <c r="B47" t="s">
        <v>73</v>
      </c>
      <c r="C47" s="5">
        <f>ROUND(C45*C46,0)</f>
        <v>151885</v>
      </c>
      <c r="D47" s="5"/>
      <c r="E47" s="5">
        <f>ROUND(E45*E46,0)</f>
        <v>814388</v>
      </c>
      <c r="F47" s="5"/>
      <c r="G47" s="5">
        <f>ROUND(G45*G46,0)</f>
        <v>283927</v>
      </c>
      <c r="H47" s="5"/>
      <c r="I47" s="5">
        <f>ROUND(I45*I46,0)</f>
        <v>292265</v>
      </c>
      <c r="J47" s="5"/>
      <c r="K47" s="5">
        <f>ROUND(K45*K46,0)</f>
        <v>299963</v>
      </c>
      <c r="L47" s="5"/>
      <c r="M47" s="5">
        <f>ROUND(M45*M46,0)</f>
        <v>669995</v>
      </c>
      <c r="N47" s="5"/>
      <c r="O47" s="5">
        <f>ROUND(O45*O46,0)</f>
        <v>162030</v>
      </c>
      <c r="P47" s="5"/>
      <c r="Q47" s="5">
        <f>ROUND(Q45*Q46,0)</f>
        <v>299951</v>
      </c>
      <c r="R47" s="5"/>
      <c r="S47" s="5">
        <f>ROUND(S45*S46,0)</f>
        <v>576133</v>
      </c>
      <c r="T47" s="5"/>
      <c r="U47" s="5">
        <f>ROUND(U45*U46,0)</f>
        <v>162796</v>
      </c>
      <c r="V47" s="5"/>
      <c r="W47" s="5">
        <f>ROUND(W45*W46,0)</f>
        <v>448569</v>
      </c>
      <c r="X47" s="5"/>
      <c r="Y47" s="5">
        <f>ROUND(Y45*Y46,0)</f>
        <v>1108490</v>
      </c>
      <c r="Z47" s="5"/>
      <c r="AA47" s="5">
        <f>ROUND(AA45*AA46,0)</f>
        <v>665280</v>
      </c>
      <c r="AB47" s="5"/>
      <c r="AC47" s="5">
        <f>ROUND(AC45*AC46,0)</f>
        <v>291179</v>
      </c>
      <c r="AD47" s="5"/>
      <c r="AE47" s="5">
        <f>ROUND(AE45*AE46,0)</f>
        <v>316848</v>
      </c>
      <c r="AF47" s="5"/>
    </row>
    <row r="48" spans="1:34" x14ac:dyDescent="0.2">
      <c r="A48" s="1">
        <f t="shared" si="0"/>
        <v>48</v>
      </c>
      <c r="B48" t="s">
        <v>74</v>
      </c>
      <c r="C48" s="5"/>
      <c r="D48" s="5">
        <f>C47-C42</f>
        <v>6317</v>
      </c>
      <c r="E48" s="5"/>
      <c r="F48" s="5">
        <f>E47-E42</f>
        <v>34010</v>
      </c>
      <c r="G48" s="5"/>
      <c r="H48" s="5">
        <f>G47-G42</f>
        <v>11815</v>
      </c>
      <c r="I48" s="5"/>
      <c r="J48" s="5">
        <f>I47-I42</f>
        <v>12158</v>
      </c>
      <c r="K48" s="5"/>
      <c r="L48" s="5">
        <f>K47-K42</f>
        <v>12519</v>
      </c>
      <c r="M48" s="5"/>
      <c r="N48" s="5">
        <f>M47-M42</f>
        <v>55406</v>
      </c>
      <c r="O48" s="5"/>
      <c r="P48" s="5">
        <f>O47-O42</f>
        <v>6753</v>
      </c>
      <c r="Q48" s="5"/>
      <c r="R48" s="5">
        <f>Q47-Q42</f>
        <v>12491</v>
      </c>
      <c r="S48" s="5"/>
      <c r="T48" s="5">
        <f>S47-S42</f>
        <v>23970</v>
      </c>
      <c r="U48" s="5"/>
      <c r="V48" s="5">
        <f>U47-U42</f>
        <v>6781</v>
      </c>
      <c r="W48" s="5"/>
      <c r="X48" s="5">
        <f>W47-W42</f>
        <v>18727</v>
      </c>
      <c r="Y48" s="5"/>
      <c r="Z48" s="5">
        <f>Y47-Y42</f>
        <v>36813</v>
      </c>
      <c r="AA48" s="5"/>
      <c r="AB48" s="5">
        <f>AA47-AA42</f>
        <v>27771</v>
      </c>
      <c r="AC48" s="5"/>
      <c r="AD48" s="5">
        <f>AC47-AC42</f>
        <v>12188</v>
      </c>
      <c r="AE48" s="5"/>
      <c r="AF48" s="5">
        <f>AE47-AE42</f>
        <v>26257</v>
      </c>
      <c r="AG48" s="5">
        <f>SUM(D48:AF48)</f>
        <v>303976</v>
      </c>
      <c r="AH48" s="5">
        <f>-'Billing Impact'!G86</f>
        <v>258655</v>
      </c>
    </row>
    <row r="49" spans="1:34" x14ac:dyDescent="0.2">
      <c r="A49" s="1">
        <f t="shared" si="0"/>
        <v>49</v>
      </c>
    </row>
    <row r="50" spans="1:34" x14ac:dyDescent="0.2">
      <c r="A50" s="1">
        <f t="shared" si="0"/>
        <v>50</v>
      </c>
      <c r="B50" t="s">
        <v>15</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4" x14ac:dyDescent="0.2">
      <c r="A51" s="1">
        <f t="shared" si="0"/>
        <v>51</v>
      </c>
      <c r="B51" t="s">
        <v>69</v>
      </c>
      <c r="C51" s="5">
        <v>976161</v>
      </c>
      <c r="D51" s="5"/>
      <c r="E51" s="5">
        <v>5888917</v>
      </c>
      <c r="F51" s="5"/>
      <c r="G51" s="5">
        <v>1938214</v>
      </c>
      <c r="H51" s="5"/>
      <c r="I51" s="5">
        <v>1961952</v>
      </c>
      <c r="J51" s="5"/>
      <c r="K51" s="5">
        <v>2235716</v>
      </c>
      <c r="L51" s="5"/>
      <c r="M51" s="5">
        <f>4427693+929969</f>
        <v>5357662</v>
      </c>
      <c r="N51" s="5"/>
      <c r="O51" s="5">
        <v>1140648</v>
      </c>
      <c r="P51" s="5"/>
      <c r="Q51" s="5">
        <v>2036238</v>
      </c>
      <c r="R51" s="5"/>
      <c r="S51" s="5">
        <v>3904343</v>
      </c>
      <c r="T51" s="5"/>
      <c r="U51" s="5">
        <v>1125512</v>
      </c>
      <c r="V51" s="5"/>
      <c r="W51" s="5">
        <v>3300374</v>
      </c>
      <c r="X51" s="5"/>
      <c r="Y51" s="5">
        <v>9357810</v>
      </c>
      <c r="Z51" s="5"/>
      <c r="AA51" s="5">
        <f>5186525-24593</f>
        <v>5161932</v>
      </c>
      <c r="AB51" s="5"/>
      <c r="AC51" s="5">
        <v>2261319</v>
      </c>
      <c r="AD51" s="5"/>
      <c r="AE51" s="5">
        <v>2324979</v>
      </c>
      <c r="AF51" s="5"/>
    </row>
    <row r="52" spans="1:34" x14ac:dyDescent="0.2">
      <c r="A52" s="1">
        <f t="shared" si="0"/>
        <v>52</v>
      </c>
      <c r="B52" t="s">
        <v>70</v>
      </c>
      <c r="C52" s="5">
        <v>132679</v>
      </c>
      <c r="D52" s="5"/>
      <c r="E52" s="5">
        <v>800417</v>
      </c>
      <c r="F52" s="5"/>
      <c r="G52" s="5">
        <v>263441</v>
      </c>
      <c r="H52" s="5"/>
      <c r="I52" s="5">
        <v>266669</v>
      </c>
      <c r="J52" s="5"/>
      <c r="K52" s="5">
        <v>303878</v>
      </c>
      <c r="L52" s="5"/>
      <c r="M52" s="5">
        <f>129233+570301</f>
        <v>699534</v>
      </c>
      <c r="N52" s="5"/>
      <c r="O52" s="5">
        <v>155035</v>
      </c>
      <c r="P52" s="5"/>
      <c r="Q52" s="5">
        <v>276768</v>
      </c>
      <c r="R52" s="5"/>
      <c r="S52" s="5">
        <v>530675</v>
      </c>
      <c r="T52" s="5"/>
      <c r="U52" s="5">
        <v>152979</v>
      </c>
      <c r="V52" s="5"/>
      <c r="W52" s="5">
        <v>448586</v>
      </c>
      <c r="X52" s="5"/>
      <c r="Y52" s="5">
        <v>1283149</v>
      </c>
      <c r="Z52" s="5"/>
      <c r="AA52" s="5">
        <f>-3343+704952</f>
        <v>701609</v>
      </c>
      <c r="AB52" s="5"/>
      <c r="AC52" s="5">
        <v>307357</v>
      </c>
      <c r="AD52" s="5"/>
      <c r="AE52" s="5">
        <v>299765</v>
      </c>
      <c r="AF52" s="5"/>
    </row>
    <row r="53" spans="1:34" x14ac:dyDescent="0.2">
      <c r="A53" s="1">
        <f t="shared" si="0"/>
        <v>53</v>
      </c>
      <c r="B53" t="s">
        <v>140</v>
      </c>
      <c r="C53" s="5">
        <f>C51-C52</f>
        <v>843482</v>
      </c>
      <c r="D53" s="5"/>
      <c r="E53" s="5">
        <f>E51-E52</f>
        <v>5088500</v>
      </c>
      <c r="F53" s="5"/>
      <c r="G53" s="5">
        <f>G51-G52</f>
        <v>1674773</v>
      </c>
      <c r="H53" s="5"/>
      <c r="I53" s="5">
        <f>I51-I52</f>
        <v>1695283</v>
      </c>
      <c r="J53" s="5"/>
      <c r="K53" s="5">
        <f>K51-K52</f>
        <v>1931838</v>
      </c>
      <c r="L53" s="5"/>
      <c r="M53" s="5">
        <f>M51-M52</f>
        <v>4658128</v>
      </c>
      <c r="N53" s="5"/>
      <c r="O53" s="5">
        <f>O51-O52</f>
        <v>985613</v>
      </c>
      <c r="P53" s="5"/>
      <c r="Q53" s="5">
        <f>Q51-Q52</f>
        <v>1759470</v>
      </c>
      <c r="R53" s="5"/>
      <c r="S53" s="5">
        <f>S51-S52</f>
        <v>3373668</v>
      </c>
      <c r="T53" s="5"/>
      <c r="U53" s="5">
        <f>U51-U52</f>
        <v>972533</v>
      </c>
      <c r="V53" s="5"/>
      <c r="W53" s="5">
        <f>W51-W52</f>
        <v>2851788</v>
      </c>
      <c r="X53" s="5"/>
      <c r="Y53" s="5">
        <f>Y51-Y52</f>
        <v>8074661</v>
      </c>
      <c r="Z53" s="5"/>
      <c r="AA53" s="5">
        <f>AA51-AA52</f>
        <v>4460323</v>
      </c>
      <c r="AB53" s="5"/>
      <c r="AC53" s="5">
        <f>AC51-AC52</f>
        <v>1953962</v>
      </c>
      <c r="AD53" s="5"/>
      <c r="AE53" s="5">
        <f>AE51-AE52</f>
        <v>2025214</v>
      </c>
      <c r="AF53" s="5"/>
    </row>
    <row r="54" spans="1:34" x14ac:dyDescent="0.2">
      <c r="A54" s="1">
        <f t="shared" si="0"/>
        <v>54</v>
      </c>
      <c r="B54" t="s">
        <v>154</v>
      </c>
      <c r="C54" s="5">
        <f>'FAC Recalc'!D81</f>
        <v>2758</v>
      </c>
      <c r="D54" s="5"/>
      <c r="E54" s="5">
        <f>'FAC Recalc'!F81</f>
        <v>17264</v>
      </c>
      <c r="F54" s="5"/>
      <c r="G54" s="5">
        <f>'FAC Recalc'!H81</f>
        <v>5340</v>
      </c>
      <c r="H54" s="5"/>
      <c r="I54" s="5">
        <f>'FAC Recalc'!J81</f>
        <v>5522</v>
      </c>
      <c r="J54" s="5"/>
      <c r="K54" s="5">
        <f>'FAC Recalc'!L81</f>
        <v>6506</v>
      </c>
      <c r="L54" s="5"/>
      <c r="M54" s="5">
        <f>'FAC Recalc'!N81</f>
        <v>15226</v>
      </c>
      <c r="N54" s="5"/>
      <c r="O54" s="5">
        <f>'FAC Recalc'!P81</f>
        <v>3211</v>
      </c>
      <c r="P54" s="5"/>
      <c r="Q54" s="5">
        <f>'FAC Recalc'!R81</f>
        <v>5736</v>
      </c>
      <c r="R54" s="5"/>
      <c r="S54" s="5">
        <f>'FAC Recalc'!T81</f>
        <v>10944</v>
      </c>
      <c r="T54" s="5"/>
      <c r="U54" s="5">
        <f>'FAC Recalc'!V81</f>
        <v>3160</v>
      </c>
      <c r="V54" s="5"/>
      <c r="W54" s="5">
        <f>'FAC Recalc'!X81</f>
        <v>9927</v>
      </c>
      <c r="X54" s="5"/>
      <c r="Y54" s="5">
        <f>'FAC Recalc'!Z81</f>
        <v>32797</v>
      </c>
      <c r="Z54" s="5"/>
      <c r="AA54" s="5">
        <f>'FAC Recalc'!AB81</f>
        <v>15250</v>
      </c>
      <c r="AB54" s="5"/>
      <c r="AC54" s="5">
        <f>'FAC Recalc'!AD81</f>
        <v>6754</v>
      </c>
      <c r="AD54" s="5"/>
      <c r="AE54" s="5">
        <f>'FAC Recalc'!AF81</f>
        <v>5832</v>
      </c>
      <c r="AF54" s="5"/>
    </row>
    <row r="55" spans="1:34" x14ac:dyDescent="0.2">
      <c r="A55" s="1">
        <f t="shared" si="0"/>
        <v>55</v>
      </c>
      <c r="B55" t="s">
        <v>155</v>
      </c>
      <c r="C55" s="5">
        <f>C53+C54</f>
        <v>846240</v>
      </c>
      <c r="D55" s="5"/>
      <c r="E55" s="5">
        <f>E53+E54</f>
        <v>5105764</v>
      </c>
      <c r="F55" s="5"/>
      <c r="G55" s="5">
        <f>G53+G54</f>
        <v>1680113</v>
      </c>
      <c r="H55" s="5"/>
      <c r="I55" s="5">
        <f>I53+I54</f>
        <v>1700805</v>
      </c>
      <c r="J55" s="5"/>
      <c r="K55" s="5">
        <f>K53+K54</f>
        <v>1938344</v>
      </c>
      <c r="L55" s="5"/>
      <c r="M55" s="5">
        <f>M53+M54</f>
        <v>4673354</v>
      </c>
      <c r="N55" s="5"/>
      <c r="O55" s="5">
        <f>O53+O54</f>
        <v>988824</v>
      </c>
      <c r="P55" s="5"/>
      <c r="Q55" s="5">
        <f>Q53+Q54</f>
        <v>1765206</v>
      </c>
      <c r="R55" s="5"/>
      <c r="S55" s="5">
        <f>S53+S54</f>
        <v>3384612</v>
      </c>
      <c r="T55" s="5"/>
      <c r="U55" s="5">
        <f>U53+U54</f>
        <v>975693</v>
      </c>
      <c r="V55" s="5"/>
      <c r="W55" s="5">
        <f>W53+W54</f>
        <v>2861715</v>
      </c>
      <c r="X55" s="5"/>
      <c r="Y55" s="5">
        <f>Y53+Y54</f>
        <v>8107458</v>
      </c>
      <c r="Z55" s="5"/>
      <c r="AA55" s="5">
        <f>AA53+AA54</f>
        <v>4475573</v>
      </c>
      <c r="AB55" s="5"/>
      <c r="AC55" s="5">
        <f>AC53+AC54</f>
        <v>1960716</v>
      </c>
      <c r="AD55" s="5"/>
      <c r="AE55" s="5">
        <f>AE53+AE54</f>
        <v>2031046</v>
      </c>
      <c r="AF55" s="5"/>
    </row>
    <row r="56" spans="1:34" x14ac:dyDescent="0.2">
      <c r="A56" s="1">
        <f t="shared" si="0"/>
        <v>56</v>
      </c>
      <c r="B56" t="s">
        <v>72</v>
      </c>
      <c r="C56" s="6">
        <f>0.1573+C3</f>
        <v>0.1623</v>
      </c>
      <c r="D56" s="10"/>
      <c r="E56" s="6">
        <f>C56</f>
        <v>0.1623</v>
      </c>
      <c r="F56" s="6"/>
      <c r="G56" s="6">
        <f>E56</f>
        <v>0.1623</v>
      </c>
      <c r="H56" s="6"/>
      <c r="I56" s="6">
        <f t="shared" ref="I56" si="49">G56</f>
        <v>0.1623</v>
      </c>
      <c r="J56" s="6"/>
      <c r="K56" s="6">
        <f t="shared" ref="K56" si="50">I56</f>
        <v>0.1623</v>
      </c>
      <c r="L56" s="6"/>
      <c r="M56" s="6">
        <f t="shared" ref="M56" si="51">K56</f>
        <v>0.1623</v>
      </c>
      <c r="N56" s="6"/>
      <c r="O56" s="6">
        <f t="shared" ref="O56" si="52">M56</f>
        <v>0.1623</v>
      </c>
      <c r="P56" s="6"/>
      <c r="Q56" s="6">
        <f t="shared" ref="Q56" si="53">O56</f>
        <v>0.1623</v>
      </c>
      <c r="R56" s="6"/>
      <c r="S56" s="6">
        <f t="shared" ref="S56" si="54">Q56</f>
        <v>0.1623</v>
      </c>
      <c r="T56" s="6"/>
      <c r="U56" s="6">
        <f t="shared" ref="U56" si="55">S56</f>
        <v>0.1623</v>
      </c>
      <c r="V56" s="6"/>
      <c r="W56" s="6">
        <f t="shared" ref="W56" si="56">U56</f>
        <v>0.1623</v>
      </c>
      <c r="X56" s="6"/>
      <c r="Y56" s="6">
        <f t="shared" ref="Y56" si="57">W56</f>
        <v>0.1623</v>
      </c>
      <c r="Z56" s="6"/>
      <c r="AA56" s="6">
        <f t="shared" ref="AA56" si="58">Y56</f>
        <v>0.1623</v>
      </c>
      <c r="AB56" s="6"/>
      <c r="AC56" s="6">
        <f t="shared" ref="AC56" si="59">AA56</f>
        <v>0.1623</v>
      </c>
      <c r="AD56" s="6"/>
      <c r="AE56" s="6">
        <f t="shared" ref="AE56" si="60">AC56</f>
        <v>0.1623</v>
      </c>
      <c r="AF56" s="6"/>
    </row>
    <row r="57" spans="1:34" x14ac:dyDescent="0.2">
      <c r="A57" s="1">
        <f t="shared" si="0"/>
        <v>57</v>
      </c>
      <c r="B57" t="s">
        <v>73</v>
      </c>
      <c r="C57" s="5">
        <f>ROUND(C55*C56,0)</f>
        <v>137345</v>
      </c>
      <c r="D57" s="5"/>
      <c r="E57" s="5">
        <f>ROUND(E55*E56,0)</f>
        <v>828665</v>
      </c>
      <c r="F57" s="5"/>
      <c r="G57" s="5">
        <f>ROUND(G55*G56,0)</f>
        <v>272682</v>
      </c>
      <c r="H57" s="5"/>
      <c r="I57" s="5">
        <f>ROUND(I55*I56,0)</f>
        <v>276041</v>
      </c>
      <c r="J57" s="5"/>
      <c r="K57" s="5">
        <f>ROUND(K55*K56,0)</f>
        <v>314593</v>
      </c>
      <c r="L57" s="5"/>
      <c r="M57" s="5">
        <f>ROUND(M55*M56,0)</f>
        <v>758485</v>
      </c>
      <c r="N57" s="5"/>
      <c r="O57" s="5">
        <f>ROUND(O55*O56,0)</f>
        <v>160486</v>
      </c>
      <c r="P57" s="5"/>
      <c r="Q57" s="5">
        <f>ROUND(Q55*Q56,0)</f>
        <v>286493</v>
      </c>
      <c r="R57" s="5"/>
      <c r="S57" s="5">
        <f>ROUND(S55*S56,0)</f>
        <v>549323</v>
      </c>
      <c r="T57" s="5"/>
      <c r="U57" s="5">
        <f>ROUND(U55*U56,0)</f>
        <v>158355</v>
      </c>
      <c r="V57" s="5"/>
      <c r="W57" s="5">
        <f>ROUND(W55*W56,0)</f>
        <v>464456</v>
      </c>
      <c r="X57" s="5"/>
      <c r="Y57" s="5">
        <f>ROUND(Y55*Y56,0)</f>
        <v>1315840</v>
      </c>
      <c r="Z57" s="5"/>
      <c r="AA57" s="5">
        <f>ROUND(AA55*AA56,0)</f>
        <v>726385</v>
      </c>
      <c r="AB57" s="5"/>
      <c r="AC57" s="5">
        <f>ROUND(AC55*AC56,0)</f>
        <v>318224</v>
      </c>
      <c r="AD57" s="5"/>
      <c r="AE57" s="5">
        <f>ROUND(AE55*AE56,0)</f>
        <v>329639</v>
      </c>
      <c r="AF57" s="5"/>
    </row>
    <row r="58" spans="1:34" x14ac:dyDescent="0.2">
      <c r="A58" s="1">
        <f t="shared" si="0"/>
        <v>58</v>
      </c>
      <c r="B58" t="s">
        <v>74</v>
      </c>
      <c r="C58" s="5"/>
      <c r="D58" s="5">
        <f>C57-C52</f>
        <v>4666</v>
      </c>
      <c r="E58" s="5"/>
      <c r="F58" s="5">
        <f>E57-E52</f>
        <v>28248</v>
      </c>
      <c r="G58" s="5"/>
      <c r="H58" s="5">
        <f>G57-G52</f>
        <v>9241</v>
      </c>
      <c r="I58" s="5"/>
      <c r="J58" s="5">
        <f>I57-I52</f>
        <v>9372</v>
      </c>
      <c r="K58" s="5"/>
      <c r="L58" s="5">
        <f>K57-K52</f>
        <v>10715</v>
      </c>
      <c r="M58" s="5"/>
      <c r="N58" s="5">
        <f>M57-M52</f>
        <v>58951</v>
      </c>
      <c r="O58" s="5"/>
      <c r="P58" s="5">
        <f>O57-O52</f>
        <v>5451</v>
      </c>
      <c r="Q58" s="5"/>
      <c r="R58" s="5">
        <f>Q57-Q52</f>
        <v>9725</v>
      </c>
      <c r="S58" s="5"/>
      <c r="T58" s="5">
        <f>S57-S52</f>
        <v>18648</v>
      </c>
      <c r="U58" s="5"/>
      <c r="V58" s="5">
        <f>U57-U52</f>
        <v>5376</v>
      </c>
      <c r="W58" s="5"/>
      <c r="X58" s="5">
        <f>W57-W52</f>
        <v>15870</v>
      </c>
      <c r="Y58" s="5"/>
      <c r="Z58" s="5">
        <f>Y57-Y52</f>
        <v>32691</v>
      </c>
      <c r="AA58" s="5"/>
      <c r="AB58" s="5">
        <f>AA57-AA52</f>
        <v>24776</v>
      </c>
      <c r="AC58" s="5"/>
      <c r="AD58" s="5">
        <f>AC57-AC52</f>
        <v>10867</v>
      </c>
      <c r="AE58" s="5"/>
      <c r="AF58" s="5">
        <f>AE57-AE52</f>
        <v>29874</v>
      </c>
      <c r="AG58" s="5">
        <f>SUM(D58:AF58)</f>
        <v>274471</v>
      </c>
      <c r="AH58" s="5">
        <f>-'Billing Impact'!G89</f>
        <v>339549</v>
      </c>
    </row>
    <row r="59" spans="1:34" x14ac:dyDescent="0.2">
      <c r="A59" s="1">
        <f t="shared" si="0"/>
        <v>59</v>
      </c>
    </row>
    <row r="60" spans="1:34" x14ac:dyDescent="0.2">
      <c r="A60" s="1">
        <f t="shared" si="0"/>
        <v>60</v>
      </c>
      <c r="B60" t="s">
        <v>16</v>
      </c>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1:34" x14ac:dyDescent="0.2">
      <c r="A61" s="1">
        <f t="shared" si="0"/>
        <v>61</v>
      </c>
      <c r="B61" t="s">
        <v>69</v>
      </c>
      <c r="C61" s="5">
        <v>1038939</v>
      </c>
      <c r="D61" s="5"/>
      <c r="E61" s="5">
        <v>6411563</v>
      </c>
      <c r="F61" s="5"/>
      <c r="G61" s="5">
        <v>2055030</v>
      </c>
      <c r="H61" s="5"/>
      <c r="I61" s="5">
        <v>2106915</v>
      </c>
      <c r="J61" s="5"/>
      <c r="K61" s="5">
        <v>2489418</v>
      </c>
      <c r="L61" s="5"/>
      <c r="M61" s="5">
        <f>4612453+897892</f>
        <v>5510345</v>
      </c>
      <c r="N61" s="5"/>
      <c r="O61" s="5">
        <v>1205219</v>
      </c>
      <c r="P61" s="5"/>
      <c r="Q61" s="5">
        <v>2188108</v>
      </c>
      <c r="R61" s="5"/>
      <c r="S61" s="5">
        <v>4115937</v>
      </c>
      <c r="T61" s="5"/>
      <c r="U61" s="5">
        <v>1174605</v>
      </c>
      <c r="V61" s="5"/>
      <c r="W61" s="5">
        <v>3685724</v>
      </c>
      <c r="X61" s="5"/>
      <c r="Y61" s="5">
        <v>10134589</v>
      </c>
      <c r="Z61" s="5"/>
      <c r="AA61" s="5">
        <f>6036464-45756</f>
        <v>5990708</v>
      </c>
      <c r="AB61" s="5"/>
      <c r="AC61" s="5">
        <v>2452872</v>
      </c>
      <c r="AD61" s="5"/>
      <c r="AE61" s="5">
        <v>2563496</v>
      </c>
      <c r="AF61" s="5"/>
    </row>
    <row r="62" spans="1:34" x14ac:dyDescent="0.2">
      <c r="A62" s="1">
        <f t="shared" si="0"/>
        <v>62</v>
      </c>
      <c r="B62" t="s">
        <v>70</v>
      </c>
      <c r="C62" s="5">
        <v>135646</v>
      </c>
      <c r="D62" s="5"/>
      <c r="E62" s="5">
        <v>855614</v>
      </c>
      <c r="F62" s="5"/>
      <c r="G62" s="5">
        <v>274243</v>
      </c>
      <c r="H62" s="5"/>
      <c r="I62" s="5">
        <v>281165</v>
      </c>
      <c r="J62" s="5"/>
      <c r="K62" s="5">
        <v>332209</v>
      </c>
      <c r="L62" s="5"/>
      <c r="M62" s="5">
        <f>122603+579960</f>
        <v>702563</v>
      </c>
      <c r="N62" s="5"/>
      <c r="O62" s="5">
        <v>160836</v>
      </c>
      <c r="P62" s="5"/>
      <c r="Q62" s="5">
        <v>292001</v>
      </c>
      <c r="R62" s="5"/>
      <c r="S62" s="5">
        <v>549271</v>
      </c>
      <c r="T62" s="5"/>
      <c r="U62" s="5">
        <v>156750</v>
      </c>
      <c r="V62" s="5"/>
      <c r="W62" s="5">
        <v>491856</v>
      </c>
      <c r="X62" s="5"/>
      <c r="Y62" s="5">
        <v>1363482</v>
      </c>
      <c r="Z62" s="5"/>
      <c r="AA62" s="5">
        <f>-6106+805560</f>
        <v>799454</v>
      </c>
      <c r="AB62" s="5"/>
      <c r="AC62" s="5">
        <v>327334</v>
      </c>
      <c r="AD62" s="5"/>
      <c r="AE62" s="5">
        <v>321873</v>
      </c>
      <c r="AF62" s="5"/>
    </row>
    <row r="63" spans="1:34" x14ac:dyDescent="0.2">
      <c r="A63" s="1">
        <f t="shared" si="0"/>
        <v>63</v>
      </c>
      <c r="B63" t="s">
        <v>140</v>
      </c>
      <c r="C63" s="5">
        <f>C61-C62</f>
        <v>903293</v>
      </c>
      <c r="D63" s="5"/>
      <c r="E63" s="5">
        <f>E61-E62</f>
        <v>5555949</v>
      </c>
      <c r="F63" s="5"/>
      <c r="G63" s="5">
        <f>G61-G62</f>
        <v>1780787</v>
      </c>
      <c r="H63" s="5"/>
      <c r="I63" s="5">
        <f>I61-I62</f>
        <v>1825750</v>
      </c>
      <c r="J63" s="5"/>
      <c r="K63" s="5">
        <f>K61-K62</f>
        <v>2157209</v>
      </c>
      <c r="L63" s="5"/>
      <c r="M63" s="5">
        <f>M61-M62</f>
        <v>4807782</v>
      </c>
      <c r="N63" s="5"/>
      <c r="O63" s="5">
        <f>O61-O62</f>
        <v>1044383</v>
      </c>
      <c r="P63" s="5"/>
      <c r="Q63" s="5">
        <f>Q61-Q62</f>
        <v>1896107</v>
      </c>
      <c r="R63" s="5"/>
      <c r="S63" s="5">
        <f>S61-S62</f>
        <v>3566666</v>
      </c>
      <c r="T63" s="5"/>
      <c r="U63" s="5">
        <f>U61-U62</f>
        <v>1017855</v>
      </c>
      <c r="V63" s="5"/>
      <c r="W63" s="5">
        <f>W61-W62</f>
        <v>3193868</v>
      </c>
      <c r="X63" s="5"/>
      <c r="Y63" s="5">
        <f>Y61-Y62</f>
        <v>8771107</v>
      </c>
      <c r="Z63" s="5"/>
      <c r="AA63" s="5">
        <f>AA61-AA62</f>
        <v>5191254</v>
      </c>
      <c r="AB63" s="5"/>
      <c r="AC63" s="5">
        <f>AC61-AC62</f>
        <v>2125538</v>
      </c>
      <c r="AD63" s="5"/>
      <c r="AE63" s="5">
        <f>AE61-AE62</f>
        <v>2241623</v>
      </c>
      <c r="AF63" s="5"/>
    </row>
    <row r="64" spans="1:34" x14ac:dyDescent="0.2">
      <c r="A64" s="1">
        <f t="shared" si="0"/>
        <v>64</v>
      </c>
      <c r="B64" t="s">
        <v>154</v>
      </c>
      <c r="C64" s="5">
        <f>'FAC Recalc'!D89</f>
        <v>5842</v>
      </c>
      <c r="D64" s="5"/>
      <c r="E64" s="5">
        <f>'FAC Recalc'!F89</f>
        <v>38190</v>
      </c>
      <c r="F64" s="5"/>
      <c r="G64" s="5">
        <f>'FAC Recalc'!H89</f>
        <v>11564</v>
      </c>
      <c r="H64" s="5"/>
      <c r="I64" s="5">
        <f>'FAC Recalc'!J89</f>
        <v>12055</v>
      </c>
      <c r="J64" s="5"/>
      <c r="K64" s="5">
        <f>'FAC Recalc'!L89</f>
        <v>14689</v>
      </c>
      <c r="L64" s="5"/>
      <c r="M64" s="5">
        <f>'FAC Recalc'!N89</f>
        <v>32947</v>
      </c>
      <c r="N64" s="5"/>
      <c r="O64" s="5">
        <f>'FAC Recalc'!P89</f>
        <v>6859</v>
      </c>
      <c r="P64" s="5"/>
      <c r="Q64" s="5">
        <f>'FAC Recalc'!R89</f>
        <v>12680</v>
      </c>
      <c r="R64" s="5"/>
      <c r="S64" s="5">
        <f>'FAC Recalc'!T89</f>
        <v>23656</v>
      </c>
      <c r="T64" s="5"/>
      <c r="U64" s="5">
        <f>'FAC Recalc'!V89</f>
        <v>6669</v>
      </c>
      <c r="V64" s="5"/>
      <c r="W64" s="5">
        <f>'FAC Recalc'!X89</f>
        <v>22229</v>
      </c>
      <c r="X64" s="5"/>
      <c r="Y64" s="5">
        <f>'FAC Recalc'!Z89</f>
        <v>72268</v>
      </c>
      <c r="Z64" s="5"/>
      <c r="AA64" s="5">
        <f>'FAC Recalc'!AB89</f>
        <v>34890</v>
      </c>
      <c r="AB64" s="5"/>
      <c r="AC64" s="5">
        <f>'FAC Recalc'!AD89</f>
        <v>14877</v>
      </c>
      <c r="AD64" s="5"/>
      <c r="AE64" s="5">
        <f>'FAC Recalc'!AF89</f>
        <v>13024</v>
      </c>
      <c r="AF64" s="5"/>
    </row>
    <row r="65" spans="1:34" x14ac:dyDescent="0.2">
      <c r="A65" s="1">
        <f t="shared" si="0"/>
        <v>65</v>
      </c>
      <c r="B65" t="s">
        <v>155</v>
      </c>
      <c r="C65" s="5">
        <f>C63+C64</f>
        <v>909135</v>
      </c>
      <c r="D65" s="5"/>
      <c r="E65" s="5">
        <f>E63+E64</f>
        <v>5594139</v>
      </c>
      <c r="F65" s="5"/>
      <c r="G65" s="5">
        <f>G63+G64</f>
        <v>1792351</v>
      </c>
      <c r="H65" s="5"/>
      <c r="I65" s="5">
        <f>I63+I64</f>
        <v>1837805</v>
      </c>
      <c r="J65" s="5"/>
      <c r="K65" s="5">
        <f>K63+K64</f>
        <v>2171898</v>
      </c>
      <c r="L65" s="5"/>
      <c r="M65" s="5">
        <f>M63+M64</f>
        <v>4840729</v>
      </c>
      <c r="N65" s="5"/>
      <c r="O65" s="5">
        <f>O63+O64</f>
        <v>1051242</v>
      </c>
      <c r="P65" s="5"/>
      <c r="Q65" s="5">
        <f>Q63+Q64</f>
        <v>1908787</v>
      </c>
      <c r="R65" s="5"/>
      <c r="S65" s="5">
        <f>S63+S64</f>
        <v>3590322</v>
      </c>
      <c r="T65" s="5"/>
      <c r="U65" s="5">
        <f>U63+U64</f>
        <v>1024524</v>
      </c>
      <c r="V65" s="5"/>
      <c r="W65" s="5">
        <f>W63+W64</f>
        <v>3216097</v>
      </c>
      <c r="X65" s="5"/>
      <c r="Y65" s="5">
        <f>Y63+Y64</f>
        <v>8843375</v>
      </c>
      <c r="Z65" s="5"/>
      <c r="AA65" s="5">
        <f>AA63+AA64</f>
        <v>5226144</v>
      </c>
      <c r="AB65" s="5"/>
      <c r="AC65" s="5">
        <f>AC63+AC64</f>
        <v>2140415</v>
      </c>
      <c r="AD65" s="5"/>
      <c r="AE65" s="5">
        <f>AE63+AE64</f>
        <v>2254647</v>
      </c>
      <c r="AF65" s="5"/>
    </row>
    <row r="66" spans="1:34" x14ac:dyDescent="0.2">
      <c r="A66" s="1">
        <f t="shared" si="0"/>
        <v>66</v>
      </c>
      <c r="B66" t="s">
        <v>72</v>
      </c>
      <c r="C66" s="6">
        <f>0.154+C3</f>
        <v>0.159</v>
      </c>
      <c r="D66" s="10"/>
      <c r="E66" s="6">
        <f>C66</f>
        <v>0.159</v>
      </c>
      <c r="F66" s="6"/>
      <c r="G66" s="6">
        <f>E66</f>
        <v>0.159</v>
      </c>
      <c r="H66" s="6"/>
      <c r="I66" s="6">
        <f t="shared" ref="I66" si="61">G66</f>
        <v>0.159</v>
      </c>
      <c r="J66" s="6"/>
      <c r="K66" s="6">
        <f t="shared" ref="K66" si="62">I66</f>
        <v>0.159</v>
      </c>
      <c r="L66" s="6"/>
      <c r="M66" s="6">
        <f t="shared" ref="M66" si="63">K66</f>
        <v>0.159</v>
      </c>
      <c r="N66" s="6"/>
      <c r="O66" s="6">
        <f t="shared" ref="O66" si="64">M66</f>
        <v>0.159</v>
      </c>
      <c r="P66" s="6"/>
      <c r="Q66" s="6">
        <f t="shared" ref="Q66" si="65">O66</f>
        <v>0.159</v>
      </c>
      <c r="R66" s="6"/>
      <c r="S66" s="6">
        <f t="shared" ref="S66" si="66">Q66</f>
        <v>0.159</v>
      </c>
      <c r="T66" s="6"/>
      <c r="U66" s="6">
        <f t="shared" ref="U66" si="67">S66</f>
        <v>0.159</v>
      </c>
      <c r="V66" s="6"/>
      <c r="W66" s="6">
        <f t="shared" ref="W66" si="68">U66</f>
        <v>0.159</v>
      </c>
      <c r="X66" s="6"/>
      <c r="Y66" s="6">
        <f t="shared" ref="Y66" si="69">W66</f>
        <v>0.159</v>
      </c>
      <c r="Z66" s="6"/>
      <c r="AA66" s="6">
        <f t="shared" ref="AA66" si="70">Y66</f>
        <v>0.159</v>
      </c>
      <c r="AB66" s="6"/>
      <c r="AC66" s="6">
        <f t="shared" ref="AC66" si="71">AA66</f>
        <v>0.159</v>
      </c>
      <c r="AD66" s="6"/>
      <c r="AE66" s="6">
        <f t="shared" ref="AE66" si="72">AC66</f>
        <v>0.159</v>
      </c>
      <c r="AF66" s="6"/>
    </row>
    <row r="67" spans="1:34" x14ac:dyDescent="0.2">
      <c r="A67" s="1">
        <f t="shared" si="0"/>
        <v>67</v>
      </c>
      <c r="B67" t="s">
        <v>73</v>
      </c>
      <c r="C67" s="5">
        <f>ROUND(C65*C66,0)</f>
        <v>144552</v>
      </c>
      <c r="D67" s="5"/>
      <c r="E67" s="5">
        <f>ROUND(E65*E66,0)</f>
        <v>889468</v>
      </c>
      <c r="F67" s="5"/>
      <c r="G67" s="5">
        <f>ROUND(G65*G66,0)</f>
        <v>284984</v>
      </c>
      <c r="H67" s="5"/>
      <c r="I67" s="5">
        <f>ROUND(I65*I66,0)</f>
        <v>292211</v>
      </c>
      <c r="J67" s="5"/>
      <c r="K67" s="5">
        <f>ROUND(K65*K66,0)</f>
        <v>345332</v>
      </c>
      <c r="L67" s="5"/>
      <c r="M67" s="5">
        <f>ROUND(M65*M66,0)</f>
        <v>769676</v>
      </c>
      <c r="N67" s="5"/>
      <c r="O67" s="5">
        <f>ROUND(O65*O66,0)</f>
        <v>167147</v>
      </c>
      <c r="P67" s="5"/>
      <c r="Q67" s="5">
        <f>ROUND(Q65*Q66,0)</f>
        <v>303497</v>
      </c>
      <c r="R67" s="5"/>
      <c r="S67" s="5">
        <f>ROUND(S65*S66,0)</f>
        <v>570861</v>
      </c>
      <c r="T67" s="5"/>
      <c r="U67" s="5">
        <f>ROUND(U65*U66,0)</f>
        <v>162899</v>
      </c>
      <c r="V67" s="5"/>
      <c r="W67" s="5">
        <f>ROUND(W65*W66,0)</f>
        <v>511359</v>
      </c>
      <c r="X67" s="5"/>
      <c r="Y67" s="5">
        <f>ROUND(Y65*Y66,0)</f>
        <v>1406097</v>
      </c>
      <c r="Z67" s="5"/>
      <c r="AA67" s="5">
        <f>ROUND(AA65*AA66,0)</f>
        <v>830957</v>
      </c>
      <c r="AB67" s="5"/>
      <c r="AC67" s="5">
        <f>ROUND(AC65*AC66,0)</f>
        <v>340326</v>
      </c>
      <c r="AD67" s="5"/>
      <c r="AE67" s="5">
        <f>ROUND(AE65*AE66,0)</f>
        <v>358489</v>
      </c>
      <c r="AF67" s="5"/>
    </row>
    <row r="68" spans="1:34" x14ac:dyDescent="0.2">
      <c r="A68" s="1">
        <f t="shared" si="0"/>
        <v>68</v>
      </c>
      <c r="B68" t="s">
        <v>74</v>
      </c>
      <c r="C68" s="5"/>
      <c r="D68" s="5">
        <f>C67-C62</f>
        <v>8906</v>
      </c>
      <c r="E68" s="5"/>
      <c r="F68" s="5">
        <f>E67-E62</f>
        <v>33854</v>
      </c>
      <c r="G68" s="5"/>
      <c r="H68" s="5">
        <f>G67-G62</f>
        <v>10741</v>
      </c>
      <c r="I68" s="5"/>
      <c r="J68" s="5">
        <f>I67-I62</f>
        <v>11046</v>
      </c>
      <c r="K68" s="5"/>
      <c r="L68" s="5">
        <f>K67-K62</f>
        <v>13123</v>
      </c>
      <c r="M68" s="5"/>
      <c r="N68" s="5">
        <f>M67-M62</f>
        <v>67113</v>
      </c>
      <c r="O68" s="5"/>
      <c r="P68" s="5">
        <f>O67-O62</f>
        <v>6311</v>
      </c>
      <c r="Q68" s="5"/>
      <c r="R68" s="5">
        <f>Q67-Q62</f>
        <v>11496</v>
      </c>
      <c r="S68" s="5"/>
      <c r="T68" s="5">
        <f>S67-S62</f>
        <v>21590</v>
      </c>
      <c r="U68" s="5"/>
      <c r="V68" s="5">
        <f>U67-U62</f>
        <v>6149</v>
      </c>
      <c r="W68" s="5"/>
      <c r="X68" s="5">
        <f>W67-W62</f>
        <v>19503</v>
      </c>
      <c r="Y68" s="5"/>
      <c r="Z68" s="5">
        <f>Y67-Y62</f>
        <v>42615</v>
      </c>
      <c r="AA68" s="5"/>
      <c r="AB68" s="5">
        <f>AA67-AA62</f>
        <v>31503</v>
      </c>
      <c r="AC68" s="5"/>
      <c r="AD68" s="5">
        <f>AC67-AC62</f>
        <v>12992</v>
      </c>
      <c r="AE68" s="5"/>
      <c r="AF68" s="5">
        <f>AE67-AE62</f>
        <v>36616</v>
      </c>
      <c r="AG68" s="5">
        <f>SUM(D68:AF68)</f>
        <v>333558</v>
      </c>
      <c r="AH68" s="5">
        <f>-'Billing Impact'!G92</f>
        <v>343487</v>
      </c>
    </row>
    <row r="69" spans="1:34" x14ac:dyDescent="0.2">
      <c r="A69" s="1">
        <f t="shared" si="0"/>
        <v>69</v>
      </c>
    </row>
    <row r="70" spans="1:34" x14ac:dyDescent="0.2">
      <c r="A70" s="1">
        <f t="shared" si="0"/>
        <v>70</v>
      </c>
      <c r="B70" t="s">
        <v>17</v>
      </c>
    </row>
    <row r="71" spans="1:34" x14ac:dyDescent="0.2">
      <c r="A71" s="1">
        <f t="shared" si="0"/>
        <v>71</v>
      </c>
      <c r="B71" t="s">
        <v>69</v>
      </c>
      <c r="C71" s="5">
        <v>1197203</v>
      </c>
      <c r="D71" s="5"/>
      <c r="E71" s="5">
        <v>7540857</v>
      </c>
      <c r="F71" s="5"/>
      <c r="G71" s="5">
        <v>2423444</v>
      </c>
      <c r="H71" s="5"/>
      <c r="I71" s="5">
        <v>2299714</v>
      </c>
      <c r="J71" s="5"/>
      <c r="K71" s="5">
        <v>2943050</v>
      </c>
      <c r="L71" s="5"/>
      <c r="M71" s="5">
        <f>4805157+945873</f>
        <v>5751030</v>
      </c>
      <c r="N71" s="5"/>
      <c r="O71" s="5">
        <v>1412925</v>
      </c>
      <c r="P71" s="5"/>
      <c r="Q71" s="5">
        <v>2549923</v>
      </c>
      <c r="R71" s="5"/>
      <c r="S71" s="5">
        <v>4637164</v>
      </c>
      <c r="T71" s="5"/>
      <c r="U71" s="5">
        <v>1334951</v>
      </c>
      <c r="V71" s="5"/>
      <c r="W71" s="5">
        <v>4312227</v>
      </c>
      <c r="X71" s="5"/>
      <c r="Y71" s="5">
        <v>11297367</v>
      </c>
      <c r="Z71" s="5"/>
      <c r="AA71" s="5">
        <f>7165693-64447</f>
        <v>7101246</v>
      </c>
      <c r="AB71" s="5"/>
      <c r="AC71" s="5">
        <v>2796140</v>
      </c>
      <c r="AD71" s="5"/>
      <c r="AE71" s="5">
        <v>2952714</v>
      </c>
      <c r="AF71" s="5"/>
    </row>
    <row r="72" spans="1:34" x14ac:dyDescent="0.2">
      <c r="A72" s="1">
        <f t="shared" si="0"/>
        <v>72</v>
      </c>
      <c r="B72" t="s">
        <v>70</v>
      </c>
      <c r="C72" s="5">
        <v>198368</v>
      </c>
      <c r="D72" s="5"/>
      <c r="E72" s="5">
        <v>1249472</v>
      </c>
      <c r="F72" s="5"/>
      <c r="G72" s="5">
        <v>401548</v>
      </c>
      <c r="H72" s="5"/>
      <c r="I72" s="5">
        <v>381046</v>
      </c>
      <c r="J72" s="5"/>
      <c r="K72" s="5">
        <v>489190</v>
      </c>
      <c r="L72" s="5"/>
      <c r="M72" s="5">
        <f>160177+768070</f>
        <v>928247</v>
      </c>
      <c r="N72" s="5"/>
      <c r="O72" s="5">
        <v>234112</v>
      </c>
      <c r="P72" s="5"/>
      <c r="Q72" s="5">
        <v>422505</v>
      </c>
      <c r="R72" s="5"/>
      <c r="S72" s="5">
        <v>768348</v>
      </c>
      <c r="T72" s="5"/>
      <c r="U72" s="5">
        <v>221193</v>
      </c>
      <c r="V72" s="5"/>
      <c r="W72" s="5">
        <v>714506</v>
      </c>
      <c r="X72" s="5"/>
      <c r="Y72" s="5">
        <v>1881029</v>
      </c>
      <c r="Z72" s="5"/>
      <c r="AA72" s="5">
        <f>-10678+1187305</f>
        <v>1176627</v>
      </c>
      <c r="AB72" s="5"/>
      <c r="AC72" s="5">
        <v>463302</v>
      </c>
      <c r="AD72" s="5"/>
      <c r="AE72" s="5">
        <v>467831</v>
      </c>
      <c r="AF72" s="5"/>
    </row>
    <row r="73" spans="1:34" x14ac:dyDescent="0.2">
      <c r="A73" s="1">
        <f t="shared" si="0"/>
        <v>73</v>
      </c>
      <c r="B73" t="s">
        <v>140</v>
      </c>
      <c r="C73" s="5">
        <f>C71-C72</f>
        <v>998835</v>
      </c>
      <c r="D73" s="5"/>
      <c r="E73" s="5">
        <f>E71-E72</f>
        <v>6291385</v>
      </c>
      <c r="F73" s="5"/>
      <c r="G73" s="5">
        <f>G71-G72</f>
        <v>2021896</v>
      </c>
      <c r="H73" s="5"/>
      <c r="I73" s="5">
        <f>I71-I72</f>
        <v>1918668</v>
      </c>
      <c r="J73" s="5"/>
      <c r="K73" s="5">
        <f>K71-K72</f>
        <v>2453860</v>
      </c>
      <c r="L73" s="5"/>
      <c r="M73" s="5">
        <f>M71-M72</f>
        <v>4822783</v>
      </c>
      <c r="N73" s="5"/>
      <c r="O73" s="5">
        <f>O71-O72</f>
        <v>1178813</v>
      </c>
      <c r="P73" s="5"/>
      <c r="Q73" s="5">
        <f>Q71-Q72</f>
        <v>2127418</v>
      </c>
      <c r="R73" s="5"/>
      <c r="S73" s="5">
        <f>S71-S72</f>
        <v>3868816</v>
      </c>
      <c r="T73" s="5"/>
      <c r="U73" s="5">
        <f>U71-U72</f>
        <v>1113758</v>
      </c>
      <c r="V73" s="5"/>
      <c r="W73" s="5">
        <f>W71-W72</f>
        <v>3597721</v>
      </c>
      <c r="X73" s="5"/>
      <c r="Y73" s="5">
        <f>Y71-Y72</f>
        <v>9416338</v>
      </c>
      <c r="Z73" s="5"/>
      <c r="AA73" s="5">
        <f>AA71-AA72</f>
        <v>5924619</v>
      </c>
      <c r="AB73" s="5"/>
      <c r="AC73" s="5">
        <f>AC71-AC72</f>
        <v>2332838</v>
      </c>
      <c r="AD73" s="5"/>
      <c r="AE73" s="5">
        <f>AE71-AE72</f>
        <v>2484883</v>
      </c>
      <c r="AF73" s="5"/>
    </row>
    <row r="74" spans="1:34" x14ac:dyDescent="0.2">
      <c r="A74" s="1">
        <f t="shared" si="0"/>
        <v>74</v>
      </c>
      <c r="B74" t="s">
        <v>154</v>
      </c>
      <c r="C74" s="5">
        <f>'FAC Recalc'!D97</f>
        <v>5690</v>
      </c>
      <c r="D74" s="5"/>
      <c r="E74" s="5">
        <f>'FAC Recalc'!F97</f>
        <v>37509</v>
      </c>
      <c r="F74" s="5"/>
      <c r="G74" s="5">
        <f>'FAC Recalc'!H97</f>
        <v>11343</v>
      </c>
      <c r="H74" s="5"/>
      <c r="I74" s="5">
        <f>'FAC Recalc'!J97</f>
        <v>11234</v>
      </c>
      <c r="J74" s="5"/>
      <c r="K74" s="5">
        <f>'FAC Recalc'!L97</f>
        <v>14339</v>
      </c>
      <c r="L74" s="5"/>
      <c r="M74" s="5">
        <f>'FAC Recalc'!N97</f>
        <v>29111</v>
      </c>
      <c r="N74" s="5"/>
      <c r="O74" s="5">
        <f>'FAC Recalc'!P97</f>
        <v>6674</v>
      </c>
      <c r="P74" s="5"/>
      <c r="Q74" s="5">
        <f>'FAC Recalc'!R97</f>
        <v>12093</v>
      </c>
      <c r="R74" s="5"/>
      <c r="S74" s="5">
        <f>'FAC Recalc'!T97</f>
        <v>22383</v>
      </c>
      <c r="T74" s="5"/>
      <c r="U74" s="5">
        <f>'FAC Recalc'!V97</f>
        <v>6352</v>
      </c>
      <c r="V74" s="5"/>
      <c r="W74" s="5">
        <f>'FAC Recalc'!X97</f>
        <v>21305</v>
      </c>
      <c r="X74" s="5"/>
      <c r="Y74" s="5">
        <f>'FAC Recalc'!Z97</f>
        <v>65824</v>
      </c>
      <c r="Z74" s="5"/>
      <c r="AA74" s="5">
        <f>'FAC Recalc'!AB97</f>
        <v>34347</v>
      </c>
      <c r="AB74" s="5"/>
      <c r="AC74" s="5">
        <f>'FAC Recalc'!AD97</f>
        <v>14012</v>
      </c>
      <c r="AD74" s="5"/>
      <c r="AE74" s="5">
        <f>'FAC Recalc'!AF97</f>
        <v>12707</v>
      </c>
      <c r="AF74" s="5"/>
    </row>
    <row r="75" spans="1:34" x14ac:dyDescent="0.2">
      <c r="A75" s="1">
        <f t="shared" si="0"/>
        <v>75</v>
      </c>
      <c r="B75" t="s">
        <v>155</v>
      </c>
      <c r="C75" s="5">
        <f>C73+C74</f>
        <v>1004525</v>
      </c>
      <c r="D75" s="5"/>
      <c r="E75" s="5">
        <f>E73+E74</f>
        <v>6328894</v>
      </c>
      <c r="F75" s="5"/>
      <c r="G75" s="5">
        <f>G73+G74</f>
        <v>2033239</v>
      </c>
      <c r="H75" s="5"/>
      <c r="I75" s="5">
        <f>I73+I74</f>
        <v>1929902</v>
      </c>
      <c r="J75" s="5"/>
      <c r="K75" s="5">
        <f>K73+K74</f>
        <v>2468199</v>
      </c>
      <c r="L75" s="5"/>
      <c r="M75" s="5">
        <f>M73+M74</f>
        <v>4851894</v>
      </c>
      <c r="N75" s="5"/>
      <c r="O75" s="5">
        <f>O73+O74</f>
        <v>1185487</v>
      </c>
      <c r="P75" s="5"/>
      <c r="Q75" s="5">
        <f>Q73+Q74</f>
        <v>2139511</v>
      </c>
      <c r="R75" s="5"/>
      <c r="S75" s="5">
        <f>S73+S74</f>
        <v>3891199</v>
      </c>
      <c r="T75" s="5"/>
      <c r="U75" s="5">
        <f>U73+U74</f>
        <v>1120110</v>
      </c>
      <c r="V75" s="5"/>
      <c r="W75" s="5">
        <f>W73+W74</f>
        <v>3619026</v>
      </c>
      <c r="X75" s="5"/>
      <c r="Y75" s="5">
        <f>Y73+Y74</f>
        <v>9482162</v>
      </c>
      <c r="Z75" s="5"/>
      <c r="AA75" s="5">
        <f>AA73+AA74</f>
        <v>5958966</v>
      </c>
      <c r="AB75" s="5"/>
      <c r="AC75" s="5">
        <f>AC73+AC74</f>
        <v>2346850</v>
      </c>
      <c r="AD75" s="5"/>
      <c r="AE75" s="5">
        <f>AE73+AE74</f>
        <v>2497590</v>
      </c>
      <c r="AF75" s="5"/>
    </row>
    <row r="76" spans="1:34" x14ac:dyDescent="0.2">
      <c r="A76" s="1">
        <f t="shared" si="0"/>
        <v>76</v>
      </c>
      <c r="B76" t="s">
        <v>72</v>
      </c>
      <c r="C76" s="6">
        <f>0.1986+C3</f>
        <v>0.2036</v>
      </c>
      <c r="D76" s="10"/>
      <c r="E76" s="6">
        <f>C76</f>
        <v>0.2036</v>
      </c>
      <c r="F76" s="6"/>
      <c r="G76" s="6">
        <f>E76</f>
        <v>0.2036</v>
      </c>
      <c r="H76" s="6"/>
      <c r="I76" s="6">
        <f t="shared" ref="I76" si="73">G76</f>
        <v>0.2036</v>
      </c>
      <c r="J76" s="6"/>
      <c r="K76" s="6">
        <f t="shared" ref="K76" si="74">I76</f>
        <v>0.2036</v>
      </c>
      <c r="L76" s="6"/>
      <c r="M76" s="6">
        <f t="shared" ref="M76" si="75">K76</f>
        <v>0.2036</v>
      </c>
      <c r="N76" s="6"/>
      <c r="O76" s="6">
        <f t="shared" ref="O76" si="76">M76</f>
        <v>0.2036</v>
      </c>
      <c r="P76" s="6"/>
      <c r="Q76" s="6">
        <f t="shared" ref="Q76" si="77">O76</f>
        <v>0.2036</v>
      </c>
      <c r="R76" s="6"/>
      <c r="S76" s="6">
        <f t="shared" ref="S76" si="78">Q76</f>
        <v>0.2036</v>
      </c>
      <c r="T76" s="6"/>
      <c r="U76" s="6">
        <f t="shared" ref="U76" si="79">S76</f>
        <v>0.2036</v>
      </c>
      <c r="V76" s="6"/>
      <c r="W76" s="6">
        <f t="shared" ref="W76" si="80">U76</f>
        <v>0.2036</v>
      </c>
      <c r="X76" s="6"/>
      <c r="Y76" s="6">
        <f t="shared" ref="Y76" si="81">W76</f>
        <v>0.2036</v>
      </c>
      <c r="Z76" s="6"/>
      <c r="AA76" s="6">
        <f t="shared" ref="AA76" si="82">Y76</f>
        <v>0.2036</v>
      </c>
      <c r="AB76" s="6"/>
      <c r="AC76" s="6">
        <f t="shared" ref="AC76" si="83">AA76</f>
        <v>0.2036</v>
      </c>
      <c r="AD76" s="6"/>
      <c r="AE76" s="6">
        <f t="shared" ref="AE76" si="84">AC76</f>
        <v>0.2036</v>
      </c>
      <c r="AF76" s="6"/>
    </row>
    <row r="77" spans="1:34" x14ac:dyDescent="0.2">
      <c r="A77" s="1">
        <f t="shared" si="0"/>
        <v>77</v>
      </c>
      <c r="B77" t="s">
        <v>73</v>
      </c>
      <c r="C77" s="5">
        <f>ROUND(C75*C76,0)</f>
        <v>204521</v>
      </c>
      <c r="D77" s="5"/>
      <c r="E77" s="5">
        <f>ROUND(E75*E76,0)</f>
        <v>1288563</v>
      </c>
      <c r="F77" s="5"/>
      <c r="G77" s="5">
        <f>ROUND(G75*G76,0)</f>
        <v>413967</v>
      </c>
      <c r="H77" s="5"/>
      <c r="I77" s="5">
        <f>ROUND(I75*I76,0)</f>
        <v>392928</v>
      </c>
      <c r="J77" s="5"/>
      <c r="K77" s="5">
        <f>ROUND(K75*K76,0)</f>
        <v>502525</v>
      </c>
      <c r="L77" s="5"/>
      <c r="M77" s="5">
        <f>ROUND(M75*M76,0)</f>
        <v>987846</v>
      </c>
      <c r="N77" s="5"/>
      <c r="O77" s="5">
        <f>ROUND(O75*O76,0)</f>
        <v>241365</v>
      </c>
      <c r="P77" s="5"/>
      <c r="Q77" s="5">
        <f>ROUND(Q75*Q76,0)</f>
        <v>435604</v>
      </c>
      <c r="R77" s="5"/>
      <c r="S77" s="5">
        <f>ROUND(S75*S76,0)</f>
        <v>792248</v>
      </c>
      <c r="T77" s="5"/>
      <c r="U77" s="5">
        <f>ROUND(U75*U76,0)</f>
        <v>228054</v>
      </c>
      <c r="V77" s="5"/>
      <c r="W77" s="5">
        <f>ROUND(W75*W76,0)</f>
        <v>736834</v>
      </c>
      <c r="X77" s="5"/>
      <c r="Y77" s="5">
        <f>ROUND(Y75*Y76,0)</f>
        <v>1930568</v>
      </c>
      <c r="Z77" s="5"/>
      <c r="AA77" s="5">
        <f>ROUND(AA75*AA76,0)</f>
        <v>1213245</v>
      </c>
      <c r="AB77" s="5"/>
      <c r="AC77" s="5">
        <f>ROUND(AC75*AC76,0)</f>
        <v>477819</v>
      </c>
      <c r="AD77" s="5"/>
      <c r="AE77" s="5">
        <f>ROUND(AE75*AE76,0)</f>
        <v>508509</v>
      </c>
      <c r="AF77" s="5"/>
    </row>
    <row r="78" spans="1:34" x14ac:dyDescent="0.2">
      <c r="A78" s="1">
        <f t="shared" si="0"/>
        <v>78</v>
      </c>
      <c r="B78" t="s">
        <v>74</v>
      </c>
      <c r="C78" s="5"/>
      <c r="D78" s="5">
        <f>C77-C72</f>
        <v>6153</v>
      </c>
      <c r="E78" s="5"/>
      <c r="F78" s="5">
        <f>E77-E72</f>
        <v>39091</v>
      </c>
      <c r="G78" s="5"/>
      <c r="H78" s="5">
        <f>G77-G72</f>
        <v>12419</v>
      </c>
      <c r="I78" s="5"/>
      <c r="J78" s="5">
        <f>I77-I72</f>
        <v>11882</v>
      </c>
      <c r="K78" s="5"/>
      <c r="L78" s="5">
        <f>K77-K72</f>
        <v>13335</v>
      </c>
      <c r="M78" s="5"/>
      <c r="N78" s="5">
        <f>M77-M72</f>
        <v>59599</v>
      </c>
      <c r="O78" s="5"/>
      <c r="P78" s="5">
        <f>O77-O72</f>
        <v>7253</v>
      </c>
      <c r="Q78" s="5"/>
      <c r="R78" s="5">
        <f>Q77-Q72</f>
        <v>13099</v>
      </c>
      <c r="S78" s="5"/>
      <c r="T78" s="5">
        <f>S77-S72</f>
        <v>23900</v>
      </c>
      <c r="U78" s="5"/>
      <c r="V78" s="5">
        <f>U77-U72</f>
        <v>6861</v>
      </c>
      <c r="W78" s="5"/>
      <c r="X78" s="5">
        <f>W77-W72</f>
        <v>22328</v>
      </c>
      <c r="Y78" s="5"/>
      <c r="Z78" s="5">
        <f>Y77-Y72</f>
        <v>49539</v>
      </c>
      <c r="AA78" s="5"/>
      <c r="AB78" s="5">
        <f>AA77-AA72</f>
        <v>36618</v>
      </c>
      <c r="AC78" s="5"/>
      <c r="AD78" s="5">
        <f>AC77-AC72</f>
        <v>14517</v>
      </c>
      <c r="AE78" s="5"/>
      <c r="AF78" s="5">
        <f>AE77-AE72</f>
        <v>40678</v>
      </c>
      <c r="AG78" s="5">
        <f>SUM(D78:AF78)</f>
        <v>357272</v>
      </c>
      <c r="AH78" s="5">
        <f>-'Billing Impact'!G95</f>
        <v>433152</v>
      </c>
    </row>
    <row r="79" spans="1:34" x14ac:dyDescent="0.2">
      <c r="A79" s="1">
        <f t="shared" si="0"/>
        <v>79</v>
      </c>
    </row>
    <row r="80" spans="1:34" x14ac:dyDescent="0.2">
      <c r="A80" s="1">
        <f t="shared" si="0"/>
        <v>80</v>
      </c>
      <c r="B80" t="s">
        <v>18</v>
      </c>
    </row>
    <row r="81" spans="1:34" x14ac:dyDescent="0.2">
      <c r="A81" s="1">
        <f t="shared" si="0"/>
        <v>81</v>
      </c>
      <c r="B81" t="s">
        <v>69</v>
      </c>
      <c r="C81" s="5">
        <v>1374164</v>
      </c>
      <c r="D81" s="5"/>
      <c r="E81" s="5">
        <v>8229716</v>
      </c>
      <c r="F81" s="5"/>
      <c r="G81" s="5">
        <v>2738018</v>
      </c>
      <c r="H81" s="5"/>
      <c r="I81" s="5">
        <v>2670196</v>
      </c>
      <c r="J81" s="5"/>
      <c r="K81" s="5">
        <v>3262694</v>
      </c>
      <c r="L81" s="5"/>
      <c r="M81" s="5">
        <f>5108614+943612</f>
        <v>6052226</v>
      </c>
      <c r="N81" s="5"/>
      <c r="O81" s="5">
        <v>1565053</v>
      </c>
      <c r="P81" s="5"/>
      <c r="Q81" s="5">
        <v>2855307</v>
      </c>
      <c r="R81" s="5"/>
      <c r="S81" s="5">
        <v>5329546</v>
      </c>
      <c r="T81" s="5"/>
      <c r="U81" s="5">
        <v>1555199</v>
      </c>
      <c r="V81" s="5"/>
      <c r="W81" s="5">
        <v>4736056</v>
      </c>
      <c r="X81" s="5"/>
      <c r="Y81" s="5">
        <v>11855723</v>
      </c>
      <c r="Z81" s="5"/>
      <c r="AA81" s="5">
        <f>7879732-44236</f>
        <v>7835496</v>
      </c>
      <c r="AB81" s="5"/>
      <c r="AC81" s="5">
        <v>2935836</v>
      </c>
      <c r="AD81" s="5"/>
      <c r="AE81" s="5">
        <v>3360913</v>
      </c>
      <c r="AF81" s="5"/>
    </row>
    <row r="82" spans="1:34" x14ac:dyDescent="0.2">
      <c r="A82" s="1">
        <f t="shared" si="0"/>
        <v>82</v>
      </c>
      <c r="B82" t="s">
        <v>70</v>
      </c>
      <c r="C82" s="5">
        <v>210900</v>
      </c>
      <c r="D82" s="5"/>
      <c r="E82" s="5">
        <v>1255625</v>
      </c>
      <c r="F82" s="5"/>
      <c r="G82" s="5">
        <v>420217</v>
      </c>
      <c r="H82" s="5"/>
      <c r="I82" s="5">
        <v>409807</v>
      </c>
      <c r="J82" s="5"/>
      <c r="K82" s="5">
        <v>502221</v>
      </c>
      <c r="L82" s="5"/>
      <c r="M82" s="5">
        <f>148016+747797</f>
        <v>895813</v>
      </c>
      <c r="N82" s="5"/>
      <c r="O82" s="5">
        <v>240196</v>
      </c>
      <c r="P82" s="5"/>
      <c r="Q82" s="5">
        <v>438216</v>
      </c>
      <c r="R82" s="5"/>
      <c r="S82" s="5">
        <v>817952</v>
      </c>
      <c r="T82" s="5"/>
      <c r="U82" s="5">
        <v>238685</v>
      </c>
      <c r="V82" s="5"/>
      <c r="W82" s="5">
        <v>726866</v>
      </c>
      <c r="X82" s="5"/>
      <c r="Y82" s="5">
        <v>1828018</v>
      </c>
      <c r="Z82" s="5"/>
      <c r="AA82" s="5">
        <f>-6489+1209345</f>
        <v>1202856</v>
      </c>
      <c r="AB82" s="5"/>
      <c r="AC82" s="5">
        <v>450577</v>
      </c>
      <c r="AD82" s="5"/>
      <c r="AE82" s="5">
        <v>495170</v>
      </c>
      <c r="AF82" s="5"/>
    </row>
    <row r="83" spans="1:34" x14ac:dyDescent="0.2">
      <c r="A83" s="1">
        <f t="shared" si="0"/>
        <v>83</v>
      </c>
      <c r="B83" t="s">
        <v>140</v>
      </c>
      <c r="C83" s="5">
        <f>C81-C82</f>
        <v>1163264</v>
      </c>
      <c r="D83" s="5"/>
      <c r="E83" s="5">
        <f>E81-E82</f>
        <v>6974091</v>
      </c>
      <c r="F83" s="5"/>
      <c r="G83" s="5">
        <f>G81-G82</f>
        <v>2317801</v>
      </c>
      <c r="H83" s="5"/>
      <c r="I83" s="5">
        <f>I81-I82</f>
        <v>2260389</v>
      </c>
      <c r="J83" s="5"/>
      <c r="K83" s="5">
        <f>K81-K82</f>
        <v>2760473</v>
      </c>
      <c r="L83" s="5"/>
      <c r="M83" s="5">
        <f>M81-M82</f>
        <v>5156413</v>
      </c>
      <c r="N83" s="5"/>
      <c r="O83" s="5">
        <f>O81-O82</f>
        <v>1324857</v>
      </c>
      <c r="P83" s="5"/>
      <c r="Q83" s="5">
        <f>Q81-Q82</f>
        <v>2417091</v>
      </c>
      <c r="R83" s="5"/>
      <c r="S83" s="5">
        <f>S81-S82</f>
        <v>4511594</v>
      </c>
      <c r="T83" s="5"/>
      <c r="U83" s="5">
        <f>U81-U82</f>
        <v>1316514</v>
      </c>
      <c r="V83" s="5"/>
      <c r="W83" s="5">
        <f>W81-W82</f>
        <v>4009190</v>
      </c>
      <c r="X83" s="5"/>
      <c r="Y83" s="5">
        <f>Y81-Y82</f>
        <v>10027705</v>
      </c>
      <c r="Z83" s="5"/>
      <c r="AA83" s="5">
        <f>AA81-AA82</f>
        <v>6632640</v>
      </c>
      <c r="AB83" s="5"/>
      <c r="AC83" s="5">
        <f>AC81-AC82</f>
        <v>2485259</v>
      </c>
      <c r="AD83" s="5"/>
      <c r="AE83" s="5">
        <f>AE81-AE82</f>
        <v>2865743</v>
      </c>
      <c r="AF83" s="5"/>
    </row>
    <row r="84" spans="1:34" x14ac:dyDescent="0.2">
      <c r="A84" s="1">
        <f t="shared" si="0"/>
        <v>84</v>
      </c>
      <c r="B84" t="s">
        <v>154</v>
      </c>
      <c r="C84" s="5">
        <f>'FAC Recalc'!D105</f>
        <v>4025</v>
      </c>
      <c r="D84" s="5"/>
      <c r="E84" s="5">
        <f>'FAC Recalc'!F105</f>
        <v>24940</v>
      </c>
      <c r="F84" s="5"/>
      <c r="G84" s="5">
        <f>'FAC Recalc'!H105</f>
        <v>7960</v>
      </c>
      <c r="H84" s="5"/>
      <c r="I84" s="5">
        <f>'FAC Recalc'!J105</f>
        <v>7856</v>
      </c>
      <c r="J84" s="5"/>
      <c r="K84" s="5">
        <f>'FAC Recalc'!L105</f>
        <v>9787</v>
      </c>
      <c r="L84" s="5"/>
      <c r="M84" s="5">
        <f>'FAC Recalc'!N105</f>
        <v>18373</v>
      </c>
      <c r="N84" s="5"/>
      <c r="O84" s="5">
        <f>'FAC Recalc'!P105</f>
        <v>4676</v>
      </c>
      <c r="P84" s="5"/>
      <c r="Q84" s="5">
        <f>'FAC Recalc'!R105</f>
        <v>8441</v>
      </c>
      <c r="R84" s="5"/>
      <c r="S84" s="5">
        <f>'FAC Recalc'!T105</f>
        <v>15665</v>
      </c>
      <c r="T84" s="5"/>
      <c r="U84" s="5">
        <f>'FAC Recalc'!V105</f>
        <v>4526</v>
      </c>
      <c r="V84" s="5"/>
      <c r="W84" s="5">
        <f>'FAC Recalc'!X105</f>
        <v>14471</v>
      </c>
      <c r="X84" s="5"/>
      <c r="Y84" s="5">
        <f>'FAC Recalc'!Z105</f>
        <v>42559</v>
      </c>
      <c r="Z84" s="5"/>
      <c r="AA84" s="5">
        <f>'FAC Recalc'!AB105</f>
        <v>23639</v>
      </c>
      <c r="AB84" s="5"/>
      <c r="AC84" s="5">
        <f>'FAC Recalc'!AD105</f>
        <v>9120</v>
      </c>
      <c r="AD84" s="5"/>
      <c r="AE84" s="5">
        <f>'FAC Recalc'!AF105</f>
        <v>9079</v>
      </c>
      <c r="AF84" s="5"/>
    </row>
    <row r="85" spans="1:34" x14ac:dyDescent="0.2">
      <c r="A85" s="1">
        <f t="shared" si="0"/>
        <v>85</v>
      </c>
      <c r="B85" t="s">
        <v>155</v>
      </c>
      <c r="C85" s="5">
        <f>C83+C84</f>
        <v>1167289</v>
      </c>
      <c r="D85" s="5"/>
      <c r="E85" s="5">
        <f>E83+E84</f>
        <v>6999031</v>
      </c>
      <c r="F85" s="5"/>
      <c r="G85" s="5">
        <f>G83+G84</f>
        <v>2325761</v>
      </c>
      <c r="H85" s="5"/>
      <c r="I85" s="5">
        <f>I83+I84</f>
        <v>2268245</v>
      </c>
      <c r="J85" s="5"/>
      <c r="K85" s="5">
        <f>K83+K84</f>
        <v>2770260</v>
      </c>
      <c r="L85" s="5"/>
      <c r="M85" s="5">
        <f>M83+M84</f>
        <v>5174786</v>
      </c>
      <c r="N85" s="5"/>
      <c r="O85" s="5">
        <f>O83+O84</f>
        <v>1329533</v>
      </c>
      <c r="P85" s="5"/>
      <c r="Q85" s="5">
        <f>Q83+Q84</f>
        <v>2425532</v>
      </c>
      <c r="R85" s="5"/>
      <c r="S85" s="5">
        <f>S83+S84</f>
        <v>4527259</v>
      </c>
      <c r="T85" s="5"/>
      <c r="U85" s="5">
        <f>U83+U84</f>
        <v>1321040</v>
      </c>
      <c r="V85" s="5"/>
      <c r="W85" s="5">
        <f>W83+W84</f>
        <v>4023661</v>
      </c>
      <c r="X85" s="5"/>
      <c r="Y85" s="5">
        <f>Y83+Y84</f>
        <v>10070264</v>
      </c>
      <c r="Z85" s="5"/>
      <c r="AA85" s="5">
        <f>AA83+AA84</f>
        <v>6656279</v>
      </c>
      <c r="AB85" s="5"/>
      <c r="AC85" s="5">
        <f>AC83+AC84</f>
        <v>2494379</v>
      </c>
      <c r="AD85" s="5"/>
      <c r="AE85" s="5">
        <f>AE83+AE84</f>
        <v>2874822</v>
      </c>
      <c r="AF85" s="5"/>
    </row>
    <row r="86" spans="1:34" x14ac:dyDescent="0.2">
      <c r="A86" s="1">
        <f t="shared" si="0"/>
        <v>86</v>
      </c>
      <c r="B86" t="s">
        <v>72</v>
      </c>
      <c r="C86" s="6">
        <f>0.1813+C3</f>
        <v>0.18629999999999999</v>
      </c>
      <c r="D86" s="10"/>
      <c r="E86" s="6">
        <f>C86</f>
        <v>0.18629999999999999</v>
      </c>
      <c r="F86" s="6"/>
      <c r="G86" s="6">
        <f>E86</f>
        <v>0.18629999999999999</v>
      </c>
      <c r="H86" s="6"/>
      <c r="I86" s="6">
        <f t="shared" ref="I86" si="85">G86</f>
        <v>0.18629999999999999</v>
      </c>
      <c r="J86" s="6"/>
      <c r="K86" s="6">
        <f t="shared" ref="K86" si="86">I86</f>
        <v>0.18629999999999999</v>
      </c>
      <c r="L86" s="6"/>
      <c r="M86" s="6">
        <f t="shared" ref="M86" si="87">K86</f>
        <v>0.18629999999999999</v>
      </c>
      <c r="N86" s="6"/>
      <c r="O86" s="6">
        <f t="shared" ref="O86" si="88">M86</f>
        <v>0.18629999999999999</v>
      </c>
      <c r="P86" s="6"/>
      <c r="Q86" s="6">
        <f t="shared" ref="Q86" si="89">O86</f>
        <v>0.18629999999999999</v>
      </c>
      <c r="R86" s="6"/>
      <c r="S86" s="6">
        <f t="shared" ref="S86" si="90">Q86</f>
        <v>0.18629999999999999</v>
      </c>
      <c r="T86" s="6"/>
      <c r="U86" s="6">
        <f t="shared" ref="U86" si="91">S86</f>
        <v>0.18629999999999999</v>
      </c>
      <c r="V86" s="6"/>
      <c r="W86" s="6">
        <f t="shared" ref="W86" si="92">U86</f>
        <v>0.18629999999999999</v>
      </c>
      <c r="X86" s="6"/>
      <c r="Y86" s="6">
        <f t="shared" ref="Y86" si="93">W86</f>
        <v>0.18629999999999999</v>
      </c>
      <c r="Z86" s="6"/>
      <c r="AA86" s="6">
        <f t="shared" ref="AA86" si="94">Y86</f>
        <v>0.18629999999999999</v>
      </c>
      <c r="AB86" s="6"/>
      <c r="AC86" s="6">
        <f t="shared" ref="AC86" si="95">AA86</f>
        <v>0.18629999999999999</v>
      </c>
      <c r="AD86" s="6"/>
      <c r="AE86" s="6">
        <f t="shared" ref="AE86" si="96">AC86</f>
        <v>0.18629999999999999</v>
      </c>
      <c r="AF86" s="6"/>
    </row>
    <row r="87" spans="1:34" x14ac:dyDescent="0.2">
      <c r="A87" s="1">
        <f t="shared" si="0"/>
        <v>87</v>
      </c>
      <c r="B87" t="s">
        <v>73</v>
      </c>
      <c r="C87" s="5">
        <f>ROUND(C85*C86,0)</f>
        <v>217466</v>
      </c>
      <c r="D87" s="5"/>
      <c r="E87" s="5">
        <f>ROUND(E85*E86,0)</f>
        <v>1303919</v>
      </c>
      <c r="F87" s="5"/>
      <c r="G87" s="5">
        <f>ROUND(G85*G86,0)</f>
        <v>433289</v>
      </c>
      <c r="H87" s="5"/>
      <c r="I87" s="5">
        <f>ROUND(I85*I86,0)</f>
        <v>422574</v>
      </c>
      <c r="J87" s="5"/>
      <c r="K87" s="5">
        <f>ROUND(K85*K86,0)</f>
        <v>516099</v>
      </c>
      <c r="L87" s="5"/>
      <c r="M87" s="5">
        <f>ROUND(M85*M86,0)</f>
        <v>964063</v>
      </c>
      <c r="N87" s="5"/>
      <c r="O87" s="5">
        <f>ROUND(O85*O86,0)</f>
        <v>247692</v>
      </c>
      <c r="P87" s="5"/>
      <c r="Q87" s="5">
        <f>ROUND(Q85*Q86,0)</f>
        <v>451877</v>
      </c>
      <c r="R87" s="5"/>
      <c r="S87" s="5">
        <f>ROUND(S85*S86,0)</f>
        <v>843428</v>
      </c>
      <c r="T87" s="5"/>
      <c r="U87" s="5">
        <f>ROUND(U85*U86,0)</f>
        <v>246110</v>
      </c>
      <c r="V87" s="5"/>
      <c r="W87" s="5">
        <f>ROUND(W85*W86,0)</f>
        <v>749608</v>
      </c>
      <c r="X87" s="5"/>
      <c r="Y87" s="5">
        <f>ROUND(Y85*Y86,0)</f>
        <v>1876090</v>
      </c>
      <c r="Z87" s="5"/>
      <c r="AA87" s="5">
        <f>ROUND(AA85*AA86,0)</f>
        <v>1240065</v>
      </c>
      <c r="AB87" s="5"/>
      <c r="AC87" s="5">
        <f>ROUND(AC85*AC86,0)</f>
        <v>464703</v>
      </c>
      <c r="AD87" s="5"/>
      <c r="AE87" s="5">
        <f>ROUND(AE85*AE86,0)</f>
        <v>535579</v>
      </c>
      <c r="AF87" s="5"/>
    </row>
    <row r="88" spans="1:34" x14ac:dyDescent="0.2">
      <c r="A88" s="1">
        <f t="shared" si="0"/>
        <v>88</v>
      </c>
      <c r="B88" t="s">
        <v>74</v>
      </c>
      <c r="C88" s="5"/>
      <c r="D88" s="5">
        <f>C87-C82</f>
        <v>6566</v>
      </c>
      <c r="E88" s="5"/>
      <c r="F88" s="5">
        <f>E87-E82</f>
        <v>48294</v>
      </c>
      <c r="G88" s="5"/>
      <c r="H88" s="5">
        <f>G87-G82</f>
        <v>13072</v>
      </c>
      <c r="I88" s="5"/>
      <c r="J88" s="5">
        <f>I87-I82</f>
        <v>12767</v>
      </c>
      <c r="K88" s="5"/>
      <c r="L88" s="5">
        <f>K87-K82</f>
        <v>13878</v>
      </c>
      <c r="M88" s="5"/>
      <c r="N88" s="5">
        <f>M87-M82</f>
        <v>68250</v>
      </c>
      <c r="O88" s="5"/>
      <c r="P88" s="5">
        <f>O87-O82</f>
        <v>7496</v>
      </c>
      <c r="Q88" s="5"/>
      <c r="R88" s="5">
        <f>Q87-Q82</f>
        <v>13661</v>
      </c>
      <c r="S88" s="5"/>
      <c r="T88" s="5">
        <f>S87-S82</f>
        <v>25476</v>
      </c>
      <c r="U88" s="5"/>
      <c r="V88" s="5">
        <f>U87-U82</f>
        <v>7425</v>
      </c>
      <c r="W88" s="5"/>
      <c r="X88" s="5">
        <f>W87-W82</f>
        <v>22742</v>
      </c>
      <c r="Y88" s="5"/>
      <c r="Z88" s="5">
        <f>Y87-Y82</f>
        <v>48072</v>
      </c>
      <c r="AA88" s="5"/>
      <c r="AB88" s="5">
        <f>AA87-AA82</f>
        <v>37209</v>
      </c>
      <c r="AC88" s="5"/>
      <c r="AD88" s="5">
        <f>AC87-AC82</f>
        <v>14126</v>
      </c>
      <c r="AE88" s="5"/>
      <c r="AF88" s="5">
        <f>AE87-AE82</f>
        <v>40409</v>
      </c>
      <c r="AG88" s="5">
        <f>SUM(D88:AF88)</f>
        <v>379443</v>
      </c>
      <c r="AH88" s="5">
        <f>-'Billing Impact'!G98</f>
        <v>394912</v>
      </c>
    </row>
    <row r="89" spans="1:34" x14ac:dyDescent="0.2">
      <c r="A89" s="1">
        <f t="shared" si="0"/>
        <v>89</v>
      </c>
    </row>
    <row r="90" spans="1:34" x14ac:dyDescent="0.2">
      <c r="A90" s="1">
        <f t="shared" si="0"/>
        <v>90</v>
      </c>
      <c r="B90" t="s">
        <v>19</v>
      </c>
    </row>
    <row r="91" spans="1:34" x14ac:dyDescent="0.2">
      <c r="A91" s="1">
        <f t="shared" si="0"/>
        <v>91</v>
      </c>
      <c r="B91" t="s">
        <v>69</v>
      </c>
      <c r="C91" s="5">
        <v>1252613</v>
      </c>
      <c r="D91" s="5"/>
      <c r="E91" s="5">
        <v>7666846</v>
      </c>
      <c r="F91" s="5"/>
      <c r="G91" s="5">
        <v>2500071</v>
      </c>
      <c r="H91" s="5"/>
      <c r="I91" s="5">
        <v>2510206</v>
      </c>
      <c r="J91" s="5"/>
      <c r="K91" s="5">
        <v>3063923</v>
      </c>
      <c r="L91" s="5"/>
      <c r="M91" s="5">
        <f>4922104+960950</f>
        <v>5883054</v>
      </c>
      <c r="N91" s="5"/>
      <c r="O91" s="5">
        <v>1464285</v>
      </c>
      <c r="P91" s="5"/>
      <c r="Q91" s="5">
        <v>2663263</v>
      </c>
      <c r="R91" s="5"/>
      <c r="S91" s="5">
        <v>4939546</v>
      </c>
      <c r="T91" s="5"/>
      <c r="U91" s="5">
        <v>1414306</v>
      </c>
      <c r="V91" s="5"/>
      <c r="W91" s="5">
        <v>4395088</v>
      </c>
      <c r="X91" s="5"/>
      <c r="Y91" s="5">
        <v>11570061</v>
      </c>
      <c r="Z91" s="5"/>
      <c r="AA91" s="5">
        <f>7324681-71051</f>
        <v>7253630</v>
      </c>
      <c r="AB91" s="5"/>
      <c r="AC91" s="5">
        <v>2860842</v>
      </c>
      <c r="AD91" s="5"/>
      <c r="AE91" s="5">
        <v>3030343</v>
      </c>
      <c r="AF91" s="5"/>
    </row>
    <row r="92" spans="1:34" x14ac:dyDescent="0.2">
      <c r="A92" s="1">
        <f t="shared" si="0"/>
        <v>92</v>
      </c>
      <c r="B92" t="s">
        <v>70</v>
      </c>
      <c r="C92" s="5">
        <v>188823</v>
      </c>
      <c r="D92" s="5"/>
      <c r="E92" s="5">
        <v>1155726</v>
      </c>
      <c r="F92" s="5"/>
      <c r="G92" s="5">
        <v>376869</v>
      </c>
      <c r="H92" s="5"/>
      <c r="I92" s="5">
        <v>378396</v>
      </c>
      <c r="J92" s="5"/>
      <c r="K92" s="5">
        <v>463319</v>
      </c>
      <c r="L92" s="5"/>
      <c r="M92" s="5">
        <f>147997+713611</f>
        <v>861608</v>
      </c>
      <c r="N92" s="5"/>
      <c r="O92" s="5">
        <v>220731</v>
      </c>
      <c r="P92" s="5"/>
      <c r="Q92" s="5">
        <v>401469</v>
      </c>
      <c r="R92" s="5"/>
      <c r="S92" s="5">
        <v>744604</v>
      </c>
      <c r="T92" s="5"/>
      <c r="U92" s="5">
        <v>213197</v>
      </c>
      <c r="V92" s="5"/>
      <c r="W92" s="5">
        <v>662529</v>
      </c>
      <c r="X92" s="5"/>
      <c r="Y92" s="5">
        <v>1752417</v>
      </c>
      <c r="Z92" s="5"/>
      <c r="AA92" s="5">
        <f>-10711+1104147</f>
        <v>1093436</v>
      </c>
      <c r="AB92" s="5"/>
      <c r="AC92" s="5">
        <v>431253</v>
      </c>
      <c r="AD92" s="5"/>
      <c r="AE92" s="5">
        <v>439598</v>
      </c>
      <c r="AF92" s="5"/>
    </row>
    <row r="93" spans="1:34" x14ac:dyDescent="0.2">
      <c r="A93" s="1">
        <f t="shared" ref="A93:A126" si="97">A92+1</f>
        <v>93</v>
      </c>
      <c r="B93" t="s">
        <v>140</v>
      </c>
      <c r="C93" s="5">
        <f>C91-C92</f>
        <v>1063790</v>
      </c>
      <c r="D93" s="5"/>
      <c r="E93" s="5">
        <f>E91-E92</f>
        <v>6511120</v>
      </c>
      <c r="F93" s="5"/>
      <c r="G93" s="5">
        <f>G91-G92</f>
        <v>2123202</v>
      </c>
      <c r="H93" s="5"/>
      <c r="I93" s="5">
        <f>I91-I92</f>
        <v>2131810</v>
      </c>
      <c r="J93" s="5"/>
      <c r="K93" s="5">
        <f>K91-K92</f>
        <v>2600604</v>
      </c>
      <c r="L93" s="5"/>
      <c r="M93" s="5">
        <f>M91-M92</f>
        <v>5021446</v>
      </c>
      <c r="N93" s="5"/>
      <c r="O93" s="5">
        <f>O91-O92</f>
        <v>1243554</v>
      </c>
      <c r="P93" s="5"/>
      <c r="Q93" s="5">
        <f>Q91-Q92</f>
        <v>2261794</v>
      </c>
      <c r="R93" s="5"/>
      <c r="S93" s="5">
        <f>S91-S92</f>
        <v>4194942</v>
      </c>
      <c r="T93" s="5"/>
      <c r="U93" s="5">
        <f>U91-U92</f>
        <v>1201109</v>
      </c>
      <c r="V93" s="5"/>
      <c r="W93" s="5">
        <f>W91-W92</f>
        <v>3732559</v>
      </c>
      <c r="X93" s="5"/>
      <c r="Y93" s="5">
        <f>Y91-Y92</f>
        <v>9817644</v>
      </c>
      <c r="Z93" s="5"/>
      <c r="AA93" s="5">
        <f>AA91-AA92</f>
        <v>6160194</v>
      </c>
      <c r="AB93" s="5"/>
      <c r="AC93" s="5">
        <f>AC91-AC92</f>
        <v>2429589</v>
      </c>
      <c r="AD93" s="5"/>
      <c r="AE93" s="5">
        <f>AE91-AE92</f>
        <v>2590745</v>
      </c>
      <c r="AF93" s="5"/>
    </row>
    <row r="94" spans="1:34" x14ac:dyDescent="0.2">
      <c r="A94" s="1">
        <f t="shared" si="97"/>
        <v>94</v>
      </c>
      <c r="B94" t="s">
        <v>154</v>
      </c>
      <c r="C94" s="5">
        <f>'FAC Recalc'!D113</f>
        <v>1791</v>
      </c>
      <c r="D94" s="5"/>
      <c r="E94" s="5">
        <f>'FAC Recalc'!F113</f>
        <v>11418</v>
      </c>
      <c r="F94" s="5"/>
      <c r="G94" s="5">
        <f>'FAC Recalc'!H113</f>
        <v>3532</v>
      </c>
      <c r="H94" s="5"/>
      <c r="I94" s="5">
        <f>'FAC Recalc'!J113</f>
        <v>3629</v>
      </c>
      <c r="J94" s="5"/>
      <c r="K94" s="5">
        <f>'FAC Recalc'!L113</f>
        <v>4518</v>
      </c>
      <c r="L94" s="5"/>
      <c r="M94" s="5">
        <f>'FAC Recalc'!N113</f>
        <v>8886</v>
      </c>
      <c r="N94" s="5"/>
      <c r="O94" s="5">
        <f>'FAC Recalc'!P113</f>
        <v>2090</v>
      </c>
      <c r="P94" s="5"/>
      <c r="Q94" s="5">
        <f>'FAC Recalc'!R113</f>
        <v>3849</v>
      </c>
      <c r="R94" s="5"/>
      <c r="S94" s="5">
        <f>'FAC Recalc'!T113</f>
        <v>7157</v>
      </c>
      <c r="T94" s="5"/>
      <c r="U94" s="5">
        <f>'FAC Recalc'!V113</f>
        <v>2006</v>
      </c>
      <c r="V94" s="5"/>
      <c r="W94" s="5">
        <f>'FAC Recalc'!X113</f>
        <v>6600</v>
      </c>
      <c r="X94" s="5"/>
      <c r="Y94" s="5">
        <f>'FAC Recalc'!Z113</f>
        <v>20234</v>
      </c>
      <c r="Z94" s="5"/>
      <c r="AA94" s="5">
        <f>'FAC Recalc'!AB113</f>
        <v>10641</v>
      </c>
      <c r="AB94" s="5"/>
      <c r="AC94" s="5">
        <f>'FAC Recalc'!AD113</f>
        <v>4359</v>
      </c>
      <c r="AD94" s="5"/>
      <c r="AE94" s="5">
        <f>'FAC Recalc'!AF113</f>
        <v>4036</v>
      </c>
      <c r="AF94" s="5"/>
    </row>
    <row r="95" spans="1:34" x14ac:dyDescent="0.2">
      <c r="A95" s="1">
        <f t="shared" si="97"/>
        <v>95</v>
      </c>
      <c r="B95" t="s">
        <v>155</v>
      </c>
      <c r="C95" s="5">
        <f>C93+C94</f>
        <v>1065581</v>
      </c>
      <c r="D95" s="5"/>
      <c r="E95" s="5">
        <f>E93+E94</f>
        <v>6522538</v>
      </c>
      <c r="F95" s="5"/>
      <c r="G95" s="5">
        <f>G93+G94</f>
        <v>2126734</v>
      </c>
      <c r="H95" s="5"/>
      <c r="I95" s="5">
        <f>I93+I94</f>
        <v>2135439</v>
      </c>
      <c r="J95" s="5"/>
      <c r="K95" s="5">
        <f>K93+K94</f>
        <v>2605122</v>
      </c>
      <c r="L95" s="5"/>
      <c r="M95" s="5">
        <f>M93+M94</f>
        <v>5030332</v>
      </c>
      <c r="N95" s="5"/>
      <c r="O95" s="5">
        <f>O93+O94</f>
        <v>1245644</v>
      </c>
      <c r="P95" s="5"/>
      <c r="Q95" s="5">
        <f>Q93+Q94</f>
        <v>2265643</v>
      </c>
      <c r="R95" s="5"/>
      <c r="S95" s="5">
        <f>S93+S94</f>
        <v>4202099</v>
      </c>
      <c r="T95" s="5"/>
      <c r="U95" s="5">
        <f>U93+U94</f>
        <v>1203115</v>
      </c>
      <c r="V95" s="5"/>
      <c r="W95" s="5">
        <f>W93+W94</f>
        <v>3739159</v>
      </c>
      <c r="X95" s="5"/>
      <c r="Y95" s="5">
        <f>Y93+Y94</f>
        <v>9837878</v>
      </c>
      <c r="Z95" s="5"/>
      <c r="AA95" s="5">
        <f>AA93+AA94</f>
        <v>6170835</v>
      </c>
      <c r="AB95" s="5"/>
      <c r="AC95" s="5">
        <f>AC93+AC94</f>
        <v>2433948</v>
      </c>
      <c r="AD95" s="5"/>
      <c r="AE95" s="5">
        <f>AE93+AE94</f>
        <v>2594781</v>
      </c>
      <c r="AF95" s="5"/>
    </row>
    <row r="96" spans="1:34" x14ac:dyDescent="0.2">
      <c r="A96" s="1">
        <f t="shared" si="97"/>
        <v>96</v>
      </c>
      <c r="B96" t="s">
        <v>72</v>
      </c>
      <c r="C96" s="6">
        <f>0.1775+C3</f>
        <v>0.1825</v>
      </c>
      <c r="D96" s="10"/>
      <c r="E96" s="6">
        <f>C96</f>
        <v>0.1825</v>
      </c>
      <c r="F96" s="6"/>
      <c r="G96" s="6">
        <f>E96</f>
        <v>0.1825</v>
      </c>
      <c r="H96" s="6"/>
      <c r="I96" s="6">
        <f t="shared" ref="I96" si="98">G96</f>
        <v>0.1825</v>
      </c>
      <c r="J96" s="6"/>
      <c r="K96" s="6">
        <f t="shared" ref="K96" si="99">I96</f>
        <v>0.1825</v>
      </c>
      <c r="L96" s="6"/>
      <c r="M96" s="6">
        <f t="shared" ref="M96" si="100">K96</f>
        <v>0.1825</v>
      </c>
      <c r="N96" s="6"/>
      <c r="O96" s="6">
        <f t="shared" ref="O96" si="101">M96</f>
        <v>0.1825</v>
      </c>
      <c r="P96" s="6"/>
      <c r="Q96" s="6">
        <f t="shared" ref="Q96" si="102">O96</f>
        <v>0.1825</v>
      </c>
      <c r="R96" s="6"/>
      <c r="S96" s="6">
        <f t="shared" ref="S96" si="103">Q96</f>
        <v>0.1825</v>
      </c>
      <c r="T96" s="6"/>
      <c r="U96" s="6">
        <f t="shared" ref="U96" si="104">S96</f>
        <v>0.1825</v>
      </c>
      <c r="V96" s="6"/>
      <c r="W96" s="6">
        <f t="shared" ref="W96" si="105">U96</f>
        <v>0.1825</v>
      </c>
      <c r="X96" s="6"/>
      <c r="Y96" s="6">
        <f t="shared" ref="Y96" si="106">W96</f>
        <v>0.1825</v>
      </c>
      <c r="Z96" s="6"/>
      <c r="AA96" s="6">
        <f t="shared" ref="AA96" si="107">Y96</f>
        <v>0.1825</v>
      </c>
      <c r="AB96" s="6"/>
      <c r="AC96" s="6">
        <f t="shared" ref="AC96" si="108">AA96</f>
        <v>0.1825</v>
      </c>
      <c r="AD96" s="6"/>
      <c r="AE96" s="6">
        <f t="shared" ref="AE96" si="109">AC96</f>
        <v>0.1825</v>
      </c>
      <c r="AF96" s="6"/>
    </row>
    <row r="97" spans="1:34" x14ac:dyDescent="0.2">
      <c r="A97" s="1">
        <f t="shared" si="97"/>
        <v>97</v>
      </c>
      <c r="B97" t="s">
        <v>73</v>
      </c>
      <c r="C97" s="5">
        <f>ROUND(C95*C96,0)</f>
        <v>194469</v>
      </c>
      <c r="D97" s="5"/>
      <c r="E97" s="5">
        <f>ROUND(E95*E96,0)</f>
        <v>1190363</v>
      </c>
      <c r="F97" s="5"/>
      <c r="G97" s="5">
        <f>ROUND(G95*G96,0)</f>
        <v>388129</v>
      </c>
      <c r="H97" s="5"/>
      <c r="I97" s="5">
        <f>ROUND(I95*I96,0)</f>
        <v>389718</v>
      </c>
      <c r="J97" s="5"/>
      <c r="K97" s="5">
        <f>ROUND(K95*K96,0)</f>
        <v>475435</v>
      </c>
      <c r="L97" s="5"/>
      <c r="M97" s="5">
        <f>ROUND(M95*M96,0)</f>
        <v>918036</v>
      </c>
      <c r="N97" s="5"/>
      <c r="O97" s="5">
        <f>ROUND(O95*O96,0)</f>
        <v>227330</v>
      </c>
      <c r="P97" s="5"/>
      <c r="Q97" s="5">
        <f>ROUND(Q95*Q96,0)</f>
        <v>413480</v>
      </c>
      <c r="R97" s="5"/>
      <c r="S97" s="5">
        <f>ROUND(S95*S96,0)</f>
        <v>766883</v>
      </c>
      <c r="T97" s="5"/>
      <c r="U97" s="5">
        <f>ROUND(U95*U96,0)</f>
        <v>219568</v>
      </c>
      <c r="V97" s="5"/>
      <c r="W97" s="5">
        <f>ROUND(W95*W96,0)</f>
        <v>682397</v>
      </c>
      <c r="X97" s="5"/>
      <c r="Y97" s="5">
        <f>ROUND(Y95*Y96,0)</f>
        <v>1795413</v>
      </c>
      <c r="Z97" s="5"/>
      <c r="AA97" s="5">
        <f>ROUND(AA95*AA96,0)</f>
        <v>1126177</v>
      </c>
      <c r="AB97" s="5"/>
      <c r="AC97" s="5">
        <f>ROUND(AC95*AC96,0)</f>
        <v>444196</v>
      </c>
      <c r="AD97" s="5"/>
      <c r="AE97" s="5">
        <f>ROUND(AE95*AE96,0)</f>
        <v>473548</v>
      </c>
      <c r="AF97" s="5"/>
    </row>
    <row r="98" spans="1:34" x14ac:dyDescent="0.2">
      <c r="A98" s="1">
        <f t="shared" si="97"/>
        <v>98</v>
      </c>
      <c r="B98" t="s">
        <v>74</v>
      </c>
      <c r="C98" s="5"/>
      <c r="D98" s="5">
        <f>C97-C92</f>
        <v>5646</v>
      </c>
      <c r="E98" s="5"/>
      <c r="F98" s="5">
        <f>E97-E92</f>
        <v>34637</v>
      </c>
      <c r="G98" s="5"/>
      <c r="H98" s="5">
        <f>G97-G92</f>
        <v>11260</v>
      </c>
      <c r="I98" s="5"/>
      <c r="J98" s="5">
        <f>I97-I92</f>
        <v>11322</v>
      </c>
      <c r="K98" s="5"/>
      <c r="L98" s="5">
        <f>K97-K92</f>
        <v>12116</v>
      </c>
      <c r="M98" s="5"/>
      <c r="N98" s="5">
        <f>M97-M92</f>
        <v>56428</v>
      </c>
      <c r="O98" s="5"/>
      <c r="P98" s="5">
        <f>O97-O92</f>
        <v>6599</v>
      </c>
      <c r="Q98" s="5"/>
      <c r="R98" s="5">
        <f>Q97-Q92</f>
        <v>12011</v>
      </c>
      <c r="S98" s="5"/>
      <c r="T98" s="5">
        <f>S97-S92</f>
        <v>22279</v>
      </c>
      <c r="U98" s="5"/>
      <c r="V98" s="5">
        <f>U97-U92</f>
        <v>6371</v>
      </c>
      <c r="W98" s="5"/>
      <c r="X98" s="5">
        <f>W97-W92</f>
        <v>19868</v>
      </c>
      <c r="Y98" s="5"/>
      <c r="Z98" s="5">
        <f>Y97-Y92</f>
        <v>42996</v>
      </c>
      <c r="AA98" s="5"/>
      <c r="AB98" s="5">
        <f>AA97-AA92</f>
        <v>32741</v>
      </c>
      <c r="AC98" s="5"/>
      <c r="AD98" s="5">
        <f>AC97-AC92</f>
        <v>12943</v>
      </c>
      <c r="AE98" s="5"/>
      <c r="AF98" s="5">
        <f>AE97-AE92</f>
        <v>33950</v>
      </c>
      <c r="AG98" s="5">
        <f>SUM(D98:AF98)</f>
        <v>321167</v>
      </c>
      <c r="AH98" s="5">
        <f>-'Billing Impact'!G101</f>
        <v>396056</v>
      </c>
    </row>
    <row r="99" spans="1:34" x14ac:dyDescent="0.2">
      <c r="A99" s="1">
        <f t="shared" si="97"/>
        <v>99</v>
      </c>
    </row>
    <row r="100" spans="1:34" x14ac:dyDescent="0.2">
      <c r="A100" s="1">
        <f t="shared" si="97"/>
        <v>100</v>
      </c>
      <c r="B100" t="s">
        <v>20</v>
      </c>
    </row>
    <row r="101" spans="1:34" x14ac:dyDescent="0.2">
      <c r="A101" s="1">
        <f t="shared" si="97"/>
        <v>101</v>
      </c>
      <c r="B101" t="s">
        <v>69</v>
      </c>
      <c r="C101" s="5">
        <v>955476</v>
      </c>
      <c r="D101" s="5"/>
      <c r="E101" s="5">
        <v>6070114</v>
      </c>
      <c r="F101" s="5"/>
      <c r="G101" s="5">
        <v>1887983</v>
      </c>
      <c r="H101" s="5"/>
      <c r="I101" s="5">
        <v>1935990</v>
      </c>
      <c r="J101" s="5"/>
      <c r="K101" s="5">
        <v>2370741</v>
      </c>
      <c r="L101" s="5"/>
      <c r="M101" s="5">
        <f>3967650+736240</f>
        <v>4703890</v>
      </c>
      <c r="N101" s="5"/>
      <c r="O101" s="5">
        <v>1138763</v>
      </c>
      <c r="P101" s="5"/>
      <c r="Q101" s="5">
        <v>2068900</v>
      </c>
      <c r="R101" s="5"/>
      <c r="S101" s="5">
        <v>3833677</v>
      </c>
      <c r="T101" s="5"/>
      <c r="U101" s="5">
        <v>1077770</v>
      </c>
      <c r="V101" s="5"/>
      <c r="W101" s="5">
        <v>3528149</v>
      </c>
      <c r="X101" s="5"/>
      <c r="Y101" s="5">
        <v>9448221</v>
      </c>
      <c r="Z101" s="5"/>
      <c r="AA101" s="5">
        <f>5811757-42460</f>
        <v>5769297</v>
      </c>
      <c r="AB101" s="5"/>
      <c r="AC101" s="5">
        <v>2337037</v>
      </c>
      <c r="AD101" s="5"/>
      <c r="AE101" s="5">
        <v>2433298</v>
      </c>
      <c r="AF101" s="5"/>
    </row>
    <row r="102" spans="1:34" x14ac:dyDescent="0.2">
      <c r="A102" s="1">
        <f t="shared" si="97"/>
        <v>102</v>
      </c>
      <c r="B102" t="s">
        <v>70</v>
      </c>
      <c r="C102" s="5">
        <v>131008</v>
      </c>
      <c r="D102" s="5"/>
      <c r="E102" s="5">
        <v>832292</v>
      </c>
      <c r="F102" s="5"/>
      <c r="G102" s="5">
        <v>258867</v>
      </c>
      <c r="H102" s="5"/>
      <c r="I102" s="5">
        <v>265448</v>
      </c>
      <c r="J102" s="5"/>
      <c r="K102" s="5">
        <v>326337</v>
      </c>
      <c r="L102" s="5"/>
      <c r="M102" s="5">
        <f>103804+514681</f>
        <v>618485</v>
      </c>
      <c r="N102" s="5"/>
      <c r="O102" s="5">
        <v>156138</v>
      </c>
      <c r="P102" s="5"/>
      <c r="Q102" s="5">
        <v>283673</v>
      </c>
      <c r="R102" s="5"/>
      <c r="S102" s="5">
        <v>525645</v>
      </c>
      <c r="T102" s="5"/>
      <c r="U102" s="5">
        <v>147777</v>
      </c>
      <c r="V102" s="5"/>
      <c r="W102" s="5">
        <v>483754</v>
      </c>
      <c r="X102" s="5"/>
      <c r="Y102" s="5">
        <v>1303029</v>
      </c>
      <c r="Z102" s="5"/>
      <c r="AA102" s="5">
        <f>-5821+796868</f>
        <v>791047</v>
      </c>
      <c r="AB102" s="5"/>
      <c r="AC102" s="5">
        <v>320130</v>
      </c>
      <c r="AD102" s="5"/>
      <c r="AE102" s="5">
        <v>315946</v>
      </c>
      <c r="AF102" s="5"/>
    </row>
    <row r="103" spans="1:34" x14ac:dyDescent="0.2">
      <c r="A103" s="1">
        <f t="shared" si="97"/>
        <v>103</v>
      </c>
      <c r="B103" t="s">
        <v>140</v>
      </c>
      <c r="C103" s="5">
        <f>C101-C102</f>
        <v>824468</v>
      </c>
      <c r="D103" s="5"/>
      <c r="E103" s="5">
        <f>E101-E102</f>
        <v>5237822</v>
      </c>
      <c r="F103" s="5"/>
      <c r="G103" s="5">
        <f>G101-G102</f>
        <v>1629116</v>
      </c>
      <c r="H103" s="5"/>
      <c r="I103" s="5">
        <f>I101-I102</f>
        <v>1670542</v>
      </c>
      <c r="J103" s="5"/>
      <c r="K103" s="5">
        <f>K101-K102</f>
        <v>2044404</v>
      </c>
      <c r="L103" s="5"/>
      <c r="M103" s="5">
        <f>M101-M102</f>
        <v>4085405</v>
      </c>
      <c r="N103" s="5"/>
      <c r="O103" s="5">
        <f>O101-O102</f>
        <v>982625</v>
      </c>
      <c r="P103" s="5"/>
      <c r="Q103" s="5">
        <f>Q101-Q102</f>
        <v>1785227</v>
      </c>
      <c r="R103" s="5"/>
      <c r="S103" s="5">
        <f>S101-S102</f>
        <v>3308032</v>
      </c>
      <c r="T103" s="5"/>
      <c r="U103" s="5">
        <f>U101-U102</f>
        <v>929993</v>
      </c>
      <c r="V103" s="5"/>
      <c r="W103" s="5">
        <f>W101-W102</f>
        <v>3044395</v>
      </c>
      <c r="X103" s="5"/>
      <c r="Y103" s="5">
        <f>Y101-Y102</f>
        <v>8145192</v>
      </c>
      <c r="Z103" s="5"/>
      <c r="AA103" s="5">
        <f>AA101-AA102</f>
        <v>4978250</v>
      </c>
      <c r="AB103" s="5"/>
      <c r="AC103" s="5">
        <f>AC101-AC102</f>
        <v>2016907</v>
      </c>
      <c r="AD103" s="5"/>
      <c r="AE103" s="5">
        <f>AE101-AE102</f>
        <v>2117352</v>
      </c>
      <c r="AF103" s="5"/>
    </row>
    <row r="104" spans="1:34" x14ac:dyDescent="0.2">
      <c r="A104" s="1">
        <f t="shared" si="97"/>
        <v>104</v>
      </c>
      <c r="B104" t="s">
        <v>154</v>
      </c>
      <c r="C104" s="5">
        <f>'FAC Recalc'!D121</f>
        <v>2505</v>
      </c>
      <c r="D104" s="5"/>
      <c r="E104" s="5">
        <f>'FAC Recalc'!F121</f>
        <v>16752</v>
      </c>
      <c r="F104" s="5"/>
      <c r="G104" s="5">
        <f>'FAC Recalc'!H121</f>
        <v>4850</v>
      </c>
      <c r="H104" s="5"/>
      <c r="I104" s="5">
        <f>'FAC Recalc'!J121</f>
        <v>5105</v>
      </c>
      <c r="J104" s="5"/>
      <c r="K104" s="5">
        <f>'FAC Recalc'!L121</f>
        <v>6367</v>
      </c>
      <c r="L104" s="5"/>
      <c r="M104" s="5">
        <f>'FAC Recalc'!N121</f>
        <v>12428</v>
      </c>
      <c r="N104" s="5"/>
      <c r="O104" s="5">
        <f>'FAC Recalc'!P121</f>
        <v>2992</v>
      </c>
      <c r="P104" s="5"/>
      <c r="Q104" s="5">
        <f>'FAC Recalc'!R121</f>
        <v>5434</v>
      </c>
      <c r="R104" s="5"/>
      <c r="S104" s="5">
        <f>'FAC Recalc'!T121</f>
        <v>10151</v>
      </c>
      <c r="T104" s="5"/>
      <c r="U104" s="5">
        <f>'FAC Recalc'!V121</f>
        <v>2827</v>
      </c>
      <c r="V104" s="5"/>
      <c r="W104" s="5">
        <f>'FAC Recalc'!X121</f>
        <v>9609</v>
      </c>
      <c r="X104" s="5"/>
      <c r="Y104" s="5">
        <f>'FAC Recalc'!Z121</f>
        <v>31115</v>
      </c>
      <c r="Z104" s="5"/>
      <c r="AA104" s="5">
        <f>'FAC Recalc'!AB121</f>
        <v>15269</v>
      </c>
      <c r="AB104" s="5"/>
      <c r="AC104" s="5">
        <f>'FAC Recalc'!AD121</f>
        <v>6470</v>
      </c>
      <c r="AD104" s="5"/>
      <c r="AE104" s="5">
        <f>'FAC Recalc'!AF121</f>
        <v>5665</v>
      </c>
      <c r="AF104" s="5"/>
    </row>
    <row r="105" spans="1:34" x14ac:dyDescent="0.2">
      <c r="A105" s="1">
        <f t="shared" si="97"/>
        <v>105</v>
      </c>
      <c r="B105" t="s">
        <v>155</v>
      </c>
      <c r="C105" s="5">
        <f>C103+C104</f>
        <v>826973</v>
      </c>
      <c r="D105" s="5"/>
      <c r="E105" s="5">
        <f>E103+E104</f>
        <v>5254574</v>
      </c>
      <c r="F105" s="5"/>
      <c r="G105" s="5">
        <f>G103+G104</f>
        <v>1633966</v>
      </c>
      <c r="H105" s="5"/>
      <c r="I105" s="5">
        <f>I103+I104</f>
        <v>1675647</v>
      </c>
      <c r="J105" s="5"/>
      <c r="K105" s="5">
        <f>K103+K104</f>
        <v>2050771</v>
      </c>
      <c r="L105" s="5"/>
      <c r="M105" s="5">
        <f>M103+M104</f>
        <v>4097833</v>
      </c>
      <c r="N105" s="5"/>
      <c r="O105" s="5">
        <f>O103+O104</f>
        <v>985617</v>
      </c>
      <c r="P105" s="5"/>
      <c r="Q105" s="5">
        <f>Q103+Q104</f>
        <v>1790661</v>
      </c>
      <c r="R105" s="5"/>
      <c r="S105" s="5">
        <f>S103+S104</f>
        <v>3318183</v>
      </c>
      <c r="T105" s="5"/>
      <c r="U105" s="5">
        <f>U103+U104</f>
        <v>932820</v>
      </c>
      <c r="V105" s="5"/>
      <c r="W105" s="5">
        <f>W103+W104</f>
        <v>3054004</v>
      </c>
      <c r="X105" s="5"/>
      <c r="Y105" s="5">
        <f>Y103+Y104</f>
        <v>8176307</v>
      </c>
      <c r="Z105" s="5"/>
      <c r="AA105" s="5">
        <f>AA103+AA104</f>
        <v>4993519</v>
      </c>
      <c r="AB105" s="5"/>
      <c r="AC105" s="5">
        <f>AC103+AC104</f>
        <v>2023377</v>
      </c>
      <c r="AD105" s="5"/>
      <c r="AE105" s="5">
        <f>AE103+AE104</f>
        <v>2123017</v>
      </c>
      <c r="AF105" s="5"/>
    </row>
    <row r="106" spans="1:34" x14ac:dyDescent="0.2">
      <c r="A106" s="1">
        <f t="shared" si="97"/>
        <v>106</v>
      </c>
      <c r="B106" t="s">
        <v>72</v>
      </c>
      <c r="C106" s="6">
        <f>0.1589+C3</f>
        <v>0.16390000000000002</v>
      </c>
      <c r="D106" s="10"/>
      <c r="E106" s="6">
        <f>C106</f>
        <v>0.16390000000000002</v>
      </c>
      <c r="F106" s="6"/>
      <c r="G106" s="6">
        <f>E106</f>
        <v>0.16390000000000002</v>
      </c>
      <c r="H106" s="6"/>
      <c r="I106" s="6">
        <f t="shared" ref="I106" si="110">G106</f>
        <v>0.16390000000000002</v>
      </c>
      <c r="J106" s="6"/>
      <c r="K106" s="6">
        <f t="shared" ref="K106" si="111">I106</f>
        <v>0.16390000000000002</v>
      </c>
      <c r="L106" s="6"/>
      <c r="M106" s="6">
        <f t="shared" ref="M106" si="112">K106</f>
        <v>0.16390000000000002</v>
      </c>
      <c r="N106" s="6"/>
      <c r="O106" s="6">
        <f t="shared" ref="O106" si="113">M106</f>
        <v>0.16390000000000002</v>
      </c>
      <c r="P106" s="6"/>
      <c r="Q106" s="6">
        <f t="shared" ref="Q106" si="114">O106</f>
        <v>0.16390000000000002</v>
      </c>
      <c r="R106" s="6"/>
      <c r="S106" s="6">
        <f t="shared" ref="S106" si="115">Q106</f>
        <v>0.16390000000000002</v>
      </c>
      <c r="T106" s="6"/>
      <c r="U106" s="6">
        <f t="shared" ref="U106" si="116">S106</f>
        <v>0.16390000000000002</v>
      </c>
      <c r="V106" s="6"/>
      <c r="W106" s="6">
        <f t="shared" ref="W106" si="117">U106</f>
        <v>0.16390000000000002</v>
      </c>
      <c r="X106" s="6"/>
      <c r="Y106" s="6">
        <f t="shared" ref="Y106" si="118">W106</f>
        <v>0.16390000000000002</v>
      </c>
      <c r="Z106" s="6"/>
      <c r="AA106" s="6">
        <f t="shared" ref="AA106" si="119">Y106</f>
        <v>0.16390000000000002</v>
      </c>
      <c r="AB106" s="6"/>
      <c r="AC106" s="6">
        <f t="shared" ref="AC106" si="120">AA106</f>
        <v>0.16390000000000002</v>
      </c>
      <c r="AD106" s="6"/>
      <c r="AE106" s="6">
        <f t="shared" ref="AE106" si="121">AC106</f>
        <v>0.16390000000000002</v>
      </c>
      <c r="AF106" s="6"/>
    </row>
    <row r="107" spans="1:34" x14ac:dyDescent="0.2">
      <c r="A107" s="1">
        <f t="shared" si="97"/>
        <v>107</v>
      </c>
      <c r="B107" t="s">
        <v>73</v>
      </c>
      <c r="C107" s="5">
        <f>ROUND(C105*C106,0)</f>
        <v>135541</v>
      </c>
      <c r="D107" s="5"/>
      <c r="E107" s="5">
        <f>ROUND(E105*E106,0)</f>
        <v>861225</v>
      </c>
      <c r="F107" s="5"/>
      <c r="G107" s="5">
        <f>ROUND(G105*G106,0)</f>
        <v>267807</v>
      </c>
      <c r="H107" s="5"/>
      <c r="I107" s="5">
        <f>ROUND(I105*I106,0)</f>
        <v>274639</v>
      </c>
      <c r="J107" s="5"/>
      <c r="K107" s="5">
        <f>ROUND(K105*K106,0)</f>
        <v>336121</v>
      </c>
      <c r="L107" s="5"/>
      <c r="M107" s="5">
        <f>ROUND(M105*M106,0)</f>
        <v>671635</v>
      </c>
      <c r="N107" s="5"/>
      <c r="O107" s="5">
        <f>ROUND(O105*O106,0)</f>
        <v>161543</v>
      </c>
      <c r="P107" s="5"/>
      <c r="Q107" s="5">
        <f>ROUND(Q105*Q106,0)</f>
        <v>293489</v>
      </c>
      <c r="R107" s="5"/>
      <c r="S107" s="5">
        <f>ROUND(S105*S106,0)</f>
        <v>543850</v>
      </c>
      <c r="T107" s="5"/>
      <c r="U107" s="5">
        <f>ROUND(U105*U106,0)</f>
        <v>152889</v>
      </c>
      <c r="V107" s="5"/>
      <c r="W107" s="5">
        <f>ROUND(W105*W106,0)</f>
        <v>500551</v>
      </c>
      <c r="X107" s="5"/>
      <c r="Y107" s="5">
        <f>ROUND(Y105*Y106,0)</f>
        <v>1340097</v>
      </c>
      <c r="Z107" s="5"/>
      <c r="AA107" s="5">
        <f>ROUND(AA105*AA106,0)</f>
        <v>818438</v>
      </c>
      <c r="AB107" s="5"/>
      <c r="AC107" s="5">
        <f>ROUND(AC105*AC106,0)</f>
        <v>331631</v>
      </c>
      <c r="AD107" s="5"/>
      <c r="AE107" s="5">
        <f>ROUND(AE105*AE106,0)</f>
        <v>347962</v>
      </c>
      <c r="AF107" s="5"/>
    </row>
    <row r="108" spans="1:34" x14ac:dyDescent="0.2">
      <c r="A108" s="1">
        <f t="shared" si="97"/>
        <v>108</v>
      </c>
      <c r="B108" t="s">
        <v>74</v>
      </c>
      <c r="C108" s="5"/>
      <c r="D108" s="5">
        <f>C107-C102</f>
        <v>4533</v>
      </c>
      <c r="E108" s="5"/>
      <c r="F108" s="5">
        <f>E107-E102</f>
        <v>28933</v>
      </c>
      <c r="G108" s="5"/>
      <c r="H108" s="5">
        <f>G107-G102</f>
        <v>8940</v>
      </c>
      <c r="I108" s="5"/>
      <c r="J108" s="5">
        <f>I107-I102</f>
        <v>9191</v>
      </c>
      <c r="K108" s="5"/>
      <c r="L108" s="5">
        <f>K107-K102</f>
        <v>9784</v>
      </c>
      <c r="M108" s="5"/>
      <c r="N108" s="5">
        <f>M107-M102</f>
        <v>53150</v>
      </c>
      <c r="O108" s="5"/>
      <c r="P108" s="5">
        <f>O107-O102</f>
        <v>5405</v>
      </c>
      <c r="Q108" s="5"/>
      <c r="R108" s="5">
        <f>Q107-Q102</f>
        <v>9816</v>
      </c>
      <c r="S108" s="5"/>
      <c r="T108" s="5">
        <f>S107-S102</f>
        <v>18205</v>
      </c>
      <c r="U108" s="5"/>
      <c r="V108" s="5">
        <f>U107-U102</f>
        <v>5112</v>
      </c>
      <c r="W108" s="5"/>
      <c r="X108" s="5">
        <f>W107-W102</f>
        <v>16797</v>
      </c>
      <c r="Y108" s="5"/>
      <c r="Z108" s="5">
        <f>Y107-Y102</f>
        <v>37068</v>
      </c>
      <c r="AA108" s="5"/>
      <c r="AB108" s="5">
        <f>AA107-AA102</f>
        <v>27391</v>
      </c>
      <c r="AC108" s="5"/>
      <c r="AD108" s="5">
        <f>AC107-AC102</f>
        <v>11501</v>
      </c>
      <c r="AE108" s="5"/>
      <c r="AF108" s="5">
        <f>AE107-AE102</f>
        <v>32016</v>
      </c>
      <c r="AG108" s="5">
        <f>SUM(D108:AF108)</f>
        <v>277842</v>
      </c>
      <c r="AH108" s="5">
        <f>-'Billing Impact'!G104</f>
        <v>317567</v>
      </c>
    </row>
    <row r="109" spans="1:34" x14ac:dyDescent="0.2">
      <c r="A109" s="1">
        <f t="shared" si="97"/>
        <v>109</v>
      </c>
    </row>
    <row r="110" spans="1:34" x14ac:dyDescent="0.2">
      <c r="A110" s="1">
        <f t="shared" si="97"/>
        <v>110</v>
      </c>
      <c r="B110" t="s">
        <v>21</v>
      </c>
    </row>
    <row r="111" spans="1:34" x14ac:dyDescent="0.2">
      <c r="A111" s="1">
        <f t="shared" si="97"/>
        <v>111</v>
      </c>
      <c r="B111" t="s">
        <v>69</v>
      </c>
      <c r="C111" s="5">
        <v>1098551</v>
      </c>
      <c r="D111" s="5"/>
      <c r="E111" s="5">
        <v>6372910</v>
      </c>
      <c r="F111" s="5"/>
      <c r="G111" s="5">
        <v>2103187</v>
      </c>
      <c r="H111" s="5"/>
      <c r="I111" s="5">
        <v>2261217</v>
      </c>
      <c r="J111" s="5"/>
      <c r="K111" s="5">
        <v>2518762</v>
      </c>
      <c r="L111" s="5"/>
      <c r="M111" s="5">
        <f>4547156+844444</f>
        <v>5391600</v>
      </c>
      <c r="N111" s="5"/>
      <c r="O111" s="5">
        <v>1266345</v>
      </c>
      <c r="P111" s="5"/>
      <c r="Q111" s="5">
        <v>2283711</v>
      </c>
      <c r="R111" s="5"/>
      <c r="S111" s="5">
        <v>4438087</v>
      </c>
      <c r="T111" s="5"/>
      <c r="U111" s="5">
        <v>1243744</v>
      </c>
      <c r="V111" s="5"/>
      <c r="W111" s="5">
        <v>3669412</v>
      </c>
      <c r="X111" s="5"/>
      <c r="Y111" s="5">
        <v>9846852</v>
      </c>
      <c r="Z111" s="5"/>
      <c r="AA111" s="5">
        <f>5722801-49282</f>
        <v>5673519</v>
      </c>
      <c r="AB111" s="5"/>
      <c r="AC111" s="5">
        <v>2441228</v>
      </c>
      <c r="AD111" s="5"/>
      <c r="AE111" s="5">
        <v>2573055</v>
      </c>
      <c r="AF111" s="5"/>
    </row>
    <row r="112" spans="1:34" x14ac:dyDescent="0.2">
      <c r="A112" s="1">
        <f t="shared" si="97"/>
        <v>112</v>
      </c>
      <c r="B112" t="s">
        <v>70</v>
      </c>
      <c r="C112" s="5">
        <v>163853</v>
      </c>
      <c r="D112" s="5"/>
      <c r="E112" s="5">
        <v>950542</v>
      </c>
      <c r="F112" s="5"/>
      <c r="G112" s="5">
        <v>313696</v>
      </c>
      <c r="H112" s="5"/>
      <c r="I112" s="5">
        <v>337268</v>
      </c>
      <c r="J112" s="5"/>
      <c r="K112" s="5">
        <v>377121</v>
      </c>
      <c r="L112" s="5"/>
      <c r="M112" s="5">
        <f>129059+642381</f>
        <v>771440</v>
      </c>
      <c r="N112" s="5"/>
      <c r="O112" s="5">
        <v>188881</v>
      </c>
      <c r="P112" s="5"/>
      <c r="Q112" s="5">
        <v>340622</v>
      </c>
      <c r="R112" s="5"/>
      <c r="S112" s="5">
        <v>661957</v>
      </c>
      <c r="T112" s="5"/>
      <c r="U112" s="5">
        <v>185509</v>
      </c>
      <c r="V112" s="5"/>
      <c r="W112" s="5">
        <v>547305</v>
      </c>
      <c r="X112" s="5"/>
      <c r="Y112" s="5">
        <v>1476552</v>
      </c>
      <c r="Z112" s="5"/>
      <c r="AA112" s="5">
        <f>-7350+853576</f>
        <v>846226</v>
      </c>
      <c r="AB112" s="5"/>
      <c r="AC112" s="5">
        <v>363934</v>
      </c>
      <c r="AD112" s="5"/>
      <c r="AE112" s="5">
        <v>368891</v>
      </c>
      <c r="AF112" s="5"/>
    </row>
    <row r="113" spans="1:34" x14ac:dyDescent="0.2">
      <c r="A113" s="1">
        <f t="shared" si="97"/>
        <v>113</v>
      </c>
      <c r="B113" t="s">
        <v>140</v>
      </c>
      <c r="C113" s="5">
        <f>C111-C112</f>
        <v>934698</v>
      </c>
      <c r="D113" s="5"/>
      <c r="E113" s="5">
        <f>E111-E112</f>
        <v>5422368</v>
      </c>
      <c r="F113" s="5"/>
      <c r="G113" s="5">
        <f>G111-G112</f>
        <v>1789491</v>
      </c>
      <c r="H113" s="5"/>
      <c r="I113" s="5">
        <f>I111-I112</f>
        <v>1923949</v>
      </c>
      <c r="J113" s="5"/>
      <c r="K113" s="5">
        <f>K111-K112</f>
        <v>2141641</v>
      </c>
      <c r="L113" s="5"/>
      <c r="M113" s="5">
        <f>M111-M112</f>
        <v>4620160</v>
      </c>
      <c r="N113" s="5"/>
      <c r="O113" s="5">
        <f>O111-O112</f>
        <v>1077464</v>
      </c>
      <c r="P113" s="5"/>
      <c r="Q113" s="5">
        <f>Q111-Q112</f>
        <v>1943089</v>
      </c>
      <c r="R113" s="5"/>
      <c r="S113" s="5">
        <f>S111-S112</f>
        <v>3776130</v>
      </c>
      <c r="T113" s="5"/>
      <c r="U113" s="5">
        <f>U111-U112</f>
        <v>1058235</v>
      </c>
      <c r="V113" s="5"/>
      <c r="W113" s="5">
        <f>W111-W112</f>
        <v>3122107</v>
      </c>
      <c r="X113" s="5"/>
      <c r="Y113" s="5">
        <f>Y111-Y112</f>
        <v>8370300</v>
      </c>
      <c r="Z113" s="5"/>
      <c r="AA113" s="5">
        <f>AA111-AA112</f>
        <v>4827293</v>
      </c>
      <c r="AB113" s="5"/>
      <c r="AC113" s="5">
        <f>AC111-AC112</f>
        <v>2077294</v>
      </c>
      <c r="AD113" s="5"/>
      <c r="AE113" s="5">
        <f>AE111-AE112</f>
        <v>2204164</v>
      </c>
      <c r="AF113" s="5"/>
    </row>
    <row r="114" spans="1:34" x14ac:dyDescent="0.2">
      <c r="A114" s="1">
        <f t="shared" si="97"/>
        <v>114</v>
      </c>
      <c r="B114" t="s">
        <v>154</v>
      </c>
      <c r="C114" s="5">
        <f>'FAC Recalc'!D129</f>
        <v>5118</v>
      </c>
      <c r="D114" s="5"/>
      <c r="E114" s="5">
        <f>'FAC Recalc'!F129</f>
        <v>31390</v>
      </c>
      <c r="F114" s="5"/>
      <c r="G114" s="5">
        <f>'FAC Recalc'!H129</f>
        <v>9656</v>
      </c>
      <c r="H114" s="5"/>
      <c r="I114" s="5">
        <f>'FAC Recalc'!J129</f>
        <v>10561</v>
      </c>
      <c r="J114" s="5"/>
      <c r="K114" s="5">
        <f>'FAC Recalc'!L129</f>
        <v>7640</v>
      </c>
      <c r="L114" s="5"/>
      <c r="M114" s="5">
        <f>'FAC Recalc'!N129</f>
        <v>25901</v>
      </c>
      <c r="N114" s="5"/>
      <c r="O114" s="5">
        <f>'FAC Recalc'!P129</f>
        <v>6033</v>
      </c>
      <c r="P114" s="5"/>
      <c r="Q114" s="5">
        <f>'FAC Recalc'!R129</f>
        <v>10710</v>
      </c>
      <c r="R114" s="5"/>
      <c r="S114" s="5">
        <f>'FAC Recalc'!T129</f>
        <v>20613</v>
      </c>
      <c r="T114" s="5"/>
      <c r="U114" s="5">
        <f>'FAC Recalc'!V129</f>
        <v>5877</v>
      </c>
      <c r="V114" s="5"/>
      <c r="W114" s="5">
        <f>'FAC Recalc'!X129</f>
        <v>18447</v>
      </c>
      <c r="X114" s="5"/>
      <c r="Y114" s="5">
        <f>'FAC Recalc'!Z129</f>
        <v>58904</v>
      </c>
      <c r="Z114" s="5"/>
      <c r="AA114" s="5">
        <f>'FAC Recalc'!AB129</f>
        <v>28252</v>
      </c>
      <c r="AB114" s="5"/>
      <c r="AC114" s="5">
        <f>'FAC Recalc'!AD129</f>
        <v>12436</v>
      </c>
      <c r="AD114" s="5"/>
      <c r="AE114" s="5">
        <f>'FAC Recalc'!AF129</f>
        <v>11053</v>
      </c>
      <c r="AF114" s="5"/>
    </row>
    <row r="115" spans="1:34" x14ac:dyDescent="0.2">
      <c r="A115" s="1">
        <f t="shared" si="97"/>
        <v>115</v>
      </c>
      <c r="B115" t="s">
        <v>155</v>
      </c>
      <c r="C115" s="5">
        <f>C113+C114</f>
        <v>939816</v>
      </c>
      <c r="D115" s="5"/>
      <c r="E115" s="5">
        <f>E113+E114</f>
        <v>5453758</v>
      </c>
      <c r="F115" s="5"/>
      <c r="G115" s="5">
        <f>G113+G114</f>
        <v>1799147</v>
      </c>
      <c r="H115" s="5"/>
      <c r="I115" s="5">
        <f>I113+I114</f>
        <v>1934510</v>
      </c>
      <c r="J115" s="5"/>
      <c r="K115" s="5">
        <f>K113+K114</f>
        <v>2149281</v>
      </c>
      <c r="L115" s="5"/>
      <c r="M115" s="5">
        <f>M113+M114</f>
        <v>4646061</v>
      </c>
      <c r="N115" s="5"/>
      <c r="O115" s="5">
        <f>O113+O114</f>
        <v>1083497</v>
      </c>
      <c r="P115" s="5"/>
      <c r="Q115" s="5">
        <f>Q113+Q114</f>
        <v>1953799</v>
      </c>
      <c r="R115" s="5"/>
      <c r="S115" s="5">
        <f>S113+S114</f>
        <v>3796743</v>
      </c>
      <c r="T115" s="5"/>
      <c r="U115" s="5">
        <f>U113+U114</f>
        <v>1064112</v>
      </c>
      <c r="V115" s="5"/>
      <c r="W115" s="5">
        <f>W113+W114</f>
        <v>3140554</v>
      </c>
      <c r="X115" s="5"/>
      <c r="Y115" s="5">
        <f>Y113+Y114</f>
        <v>8429204</v>
      </c>
      <c r="Z115" s="5"/>
      <c r="AA115" s="5">
        <f>AA113+AA114</f>
        <v>4855545</v>
      </c>
      <c r="AB115" s="5"/>
      <c r="AC115" s="5">
        <f>AC113+AC114</f>
        <v>2089730</v>
      </c>
      <c r="AD115" s="5"/>
      <c r="AE115" s="5">
        <f>AE113+AE114</f>
        <v>2215217</v>
      </c>
      <c r="AF115" s="5"/>
    </row>
    <row r="116" spans="1:34" x14ac:dyDescent="0.2">
      <c r="A116" s="1">
        <f t="shared" si="97"/>
        <v>116</v>
      </c>
      <c r="B116" t="s">
        <v>72</v>
      </c>
      <c r="C116" s="6">
        <f>0.1753+C3</f>
        <v>0.18030000000000002</v>
      </c>
      <c r="D116" s="10"/>
      <c r="E116" s="6">
        <f>C116</f>
        <v>0.18030000000000002</v>
      </c>
      <c r="F116" s="6"/>
      <c r="G116" s="6">
        <f>E116</f>
        <v>0.18030000000000002</v>
      </c>
      <c r="H116" s="6"/>
      <c r="I116" s="6">
        <f t="shared" ref="I116" si="122">G116</f>
        <v>0.18030000000000002</v>
      </c>
      <c r="J116" s="6"/>
      <c r="K116" s="6">
        <f t="shared" ref="K116" si="123">I116</f>
        <v>0.18030000000000002</v>
      </c>
      <c r="L116" s="6"/>
      <c r="M116" s="6">
        <f t="shared" ref="M116" si="124">K116</f>
        <v>0.18030000000000002</v>
      </c>
      <c r="N116" s="6"/>
      <c r="O116" s="6">
        <f t="shared" ref="O116" si="125">M116</f>
        <v>0.18030000000000002</v>
      </c>
      <c r="P116" s="6"/>
      <c r="Q116" s="6">
        <f t="shared" ref="Q116" si="126">O116</f>
        <v>0.18030000000000002</v>
      </c>
      <c r="R116" s="6"/>
      <c r="S116" s="6">
        <f t="shared" ref="S116" si="127">Q116</f>
        <v>0.18030000000000002</v>
      </c>
      <c r="T116" s="6"/>
      <c r="U116" s="6">
        <f t="shared" ref="U116" si="128">S116</f>
        <v>0.18030000000000002</v>
      </c>
      <c r="V116" s="6"/>
      <c r="W116" s="6">
        <f t="shared" ref="W116" si="129">U116</f>
        <v>0.18030000000000002</v>
      </c>
      <c r="X116" s="6"/>
      <c r="Y116" s="6">
        <f t="shared" ref="Y116" si="130">W116</f>
        <v>0.18030000000000002</v>
      </c>
      <c r="Z116" s="6"/>
      <c r="AA116" s="6">
        <f t="shared" ref="AA116" si="131">Y116</f>
        <v>0.18030000000000002</v>
      </c>
      <c r="AB116" s="6"/>
      <c r="AC116" s="6">
        <f t="shared" ref="AC116" si="132">AA116</f>
        <v>0.18030000000000002</v>
      </c>
      <c r="AD116" s="6"/>
      <c r="AE116" s="6">
        <f t="shared" ref="AE116" si="133">AC116</f>
        <v>0.18030000000000002</v>
      </c>
      <c r="AF116" s="6"/>
    </row>
    <row r="117" spans="1:34" x14ac:dyDescent="0.2">
      <c r="A117" s="1">
        <f t="shared" si="97"/>
        <v>117</v>
      </c>
      <c r="B117" t="s">
        <v>73</v>
      </c>
      <c r="C117" s="5">
        <f>ROUND(C115*C116,0)</f>
        <v>169449</v>
      </c>
      <c r="D117" s="5"/>
      <c r="E117" s="5">
        <f>ROUND(E115*E116,0)</f>
        <v>983313</v>
      </c>
      <c r="F117" s="5"/>
      <c r="G117" s="5">
        <f>ROUND(G115*G116,0)</f>
        <v>324386</v>
      </c>
      <c r="H117" s="5"/>
      <c r="I117" s="5">
        <f>ROUND(I115*I116,0)</f>
        <v>348792</v>
      </c>
      <c r="J117" s="5"/>
      <c r="K117" s="5">
        <f>ROUND(K115*K116,0)</f>
        <v>387515</v>
      </c>
      <c r="L117" s="5"/>
      <c r="M117" s="5">
        <f>ROUND(M115*M116,0)</f>
        <v>837685</v>
      </c>
      <c r="N117" s="5"/>
      <c r="O117" s="5">
        <f>ROUND(O115*O116,0)</f>
        <v>195355</v>
      </c>
      <c r="P117" s="5"/>
      <c r="Q117" s="5">
        <f>ROUND(Q115*Q116,0)</f>
        <v>352270</v>
      </c>
      <c r="R117" s="5"/>
      <c r="S117" s="5">
        <f>ROUND(S115*S116,0)</f>
        <v>684553</v>
      </c>
      <c r="T117" s="5"/>
      <c r="U117" s="5">
        <f>ROUND(U115*U116,0)</f>
        <v>191859</v>
      </c>
      <c r="V117" s="5"/>
      <c r="W117" s="5">
        <f>ROUND(W115*W116,0)</f>
        <v>566242</v>
      </c>
      <c r="X117" s="5"/>
      <c r="Y117" s="5">
        <f>ROUND(Y115*Y116,0)</f>
        <v>1519785</v>
      </c>
      <c r="Z117" s="5"/>
      <c r="AA117" s="5">
        <f>ROUND(AA115*AA116,0)</f>
        <v>875455</v>
      </c>
      <c r="AB117" s="5"/>
      <c r="AC117" s="5">
        <f>ROUND(AC115*AC116,0)</f>
        <v>376778</v>
      </c>
      <c r="AD117" s="5"/>
      <c r="AE117" s="5">
        <f>ROUND(AE115*AE116,0)</f>
        <v>399404</v>
      </c>
      <c r="AF117" s="5"/>
    </row>
    <row r="118" spans="1:34" x14ac:dyDescent="0.2">
      <c r="A118" s="1">
        <f t="shared" si="97"/>
        <v>118</v>
      </c>
      <c r="B118" t="s">
        <v>74</v>
      </c>
      <c r="C118" s="5"/>
      <c r="D118" s="5">
        <f>C117-C112</f>
        <v>5596</v>
      </c>
      <c r="E118" s="5"/>
      <c r="F118" s="5">
        <f>E117-E112</f>
        <v>32771</v>
      </c>
      <c r="G118" s="5"/>
      <c r="H118" s="5">
        <f>G117-G112</f>
        <v>10690</v>
      </c>
      <c r="I118" s="5"/>
      <c r="J118" s="5">
        <f>I117-I112</f>
        <v>11524</v>
      </c>
      <c r="K118" s="5"/>
      <c r="L118" s="5">
        <f>K117-K112</f>
        <v>10394</v>
      </c>
      <c r="M118" s="5"/>
      <c r="N118" s="5">
        <f>M117-M112</f>
        <v>66245</v>
      </c>
      <c r="O118" s="5"/>
      <c r="P118" s="5">
        <f>O117-O112</f>
        <v>6474</v>
      </c>
      <c r="Q118" s="5"/>
      <c r="R118" s="5">
        <f>Q117-Q112</f>
        <v>11648</v>
      </c>
      <c r="S118" s="5"/>
      <c r="T118" s="5">
        <f>S117-S112</f>
        <v>22596</v>
      </c>
      <c r="U118" s="5"/>
      <c r="V118" s="5">
        <f>U117-U112</f>
        <v>6350</v>
      </c>
      <c r="W118" s="5"/>
      <c r="X118" s="5">
        <f>W117-W112</f>
        <v>18937</v>
      </c>
      <c r="Y118" s="5"/>
      <c r="Z118" s="5">
        <f>Y117-Y112</f>
        <v>43233</v>
      </c>
      <c r="AA118" s="5"/>
      <c r="AB118" s="5">
        <f>AA117-AA112</f>
        <v>29229</v>
      </c>
      <c r="AC118" s="5"/>
      <c r="AD118" s="5">
        <f>AC117-AC112</f>
        <v>12844</v>
      </c>
      <c r="AE118" s="5"/>
      <c r="AF118" s="5">
        <f>AE117-AE112</f>
        <v>30513</v>
      </c>
      <c r="AG118" s="5">
        <f>SUM(D118:AF118)</f>
        <v>319044</v>
      </c>
      <c r="AH118" s="5">
        <f>-'Billing Impact'!G107</f>
        <v>387540</v>
      </c>
    </row>
    <row r="119" spans="1:34" x14ac:dyDescent="0.2">
      <c r="A119" s="1">
        <f t="shared" si="97"/>
        <v>119</v>
      </c>
    </row>
    <row r="120" spans="1:34" x14ac:dyDescent="0.2">
      <c r="A120" s="1">
        <f t="shared" si="97"/>
        <v>120</v>
      </c>
      <c r="B120" s="16" t="s">
        <v>75</v>
      </c>
    </row>
    <row r="121" spans="1:34" x14ac:dyDescent="0.2">
      <c r="A121" s="1">
        <f t="shared" si="97"/>
        <v>121</v>
      </c>
      <c r="B121" t="s">
        <v>69</v>
      </c>
      <c r="C121" s="5">
        <v>1366525</v>
      </c>
      <c r="D121" s="5"/>
      <c r="E121" s="5">
        <v>7390710</v>
      </c>
      <c r="F121" s="5"/>
      <c r="G121" s="5">
        <v>2602704</v>
      </c>
      <c r="H121" s="5"/>
      <c r="I121" s="5">
        <v>2649502</v>
      </c>
      <c r="J121" s="5"/>
      <c r="K121" s="5">
        <v>2813399</v>
      </c>
      <c r="L121" s="5"/>
      <c r="M121" s="5">
        <f>4832315+976349</f>
        <v>5808664</v>
      </c>
      <c r="N121" s="5"/>
      <c r="O121" s="5">
        <v>1487263</v>
      </c>
      <c r="P121" s="5"/>
      <c r="Q121" s="5">
        <v>2764653</v>
      </c>
      <c r="R121" s="5"/>
      <c r="S121" s="5">
        <v>5308357</v>
      </c>
      <c r="T121" s="5"/>
      <c r="U121" s="5">
        <v>1489416</v>
      </c>
      <c r="V121" s="5"/>
      <c r="W121" s="5">
        <v>4169540</v>
      </c>
      <c r="X121" s="5"/>
      <c r="Y121" s="5">
        <v>10053059</v>
      </c>
      <c r="Z121" s="5"/>
      <c r="AA121" s="5">
        <f>6395903-72883</f>
        <v>6323020</v>
      </c>
      <c r="AB121" s="5"/>
      <c r="AC121" s="5">
        <v>2697279</v>
      </c>
      <c r="AD121" s="5"/>
      <c r="AE121" s="5">
        <v>3028553</v>
      </c>
      <c r="AF121" s="5"/>
    </row>
    <row r="122" spans="1:34" x14ac:dyDescent="0.2">
      <c r="A122" s="1">
        <f t="shared" si="97"/>
        <v>122</v>
      </c>
      <c r="B122" t="s">
        <v>70</v>
      </c>
      <c r="C122" s="5">
        <v>232574</v>
      </c>
      <c r="D122" s="5"/>
      <c r="E122" s="5">
        <v>1257847</v>
      </c>
      <c r="F122" s="5"/>
      <c r="G122" s="5">
        <v>442962</v>
      </c>
      <c r="H122" s="5"/>
      <c r="I122" s="5">
        <v>450928</v>
      </c>
      <c r="J122" s="5"/>
      <c r="K122" s="5">
        <v>480410</v>
      </c>
      <c r="L122" s="5"/>
      <c r="M122" s="5">
        <f>169714+791734</f>
        <v>961448</v>
      </c>
      <c r="N122" s="5"/>
      <c r="O122" s="5">
        <v>253121</v>
      </c>
      <c r="P122" s="5"/>
      <c r="Q122" s="5">
        <v>470525</v>
      </c>
      <c r="R122" s="5"/>
      <c r="S122" s="5">
        <v>903448</v>
      </c>
      <c r="T122" s="5"/>
      <c r="U122" s="5">
        <v>253488</v>
      </c>
      <c r="V122" s="5"/>
      <c r="W122" s="5">
        <v>709628</v>
      </c>
      <c r="X122" s="5"/>
      <c r="Y122" s="5">
        <v>1720345</v>
      </c>
      <c r="Z122" s="5"/>
      <c r="AA122" s="5">
        <f>-12405+1088543</f>
        <v>1076138</v>
      </c>
      <c r="AB122" s="5"/>
      <c r="AC122" s="5">
        <v>458983</v>
      </c>
      <c r="AD122" s="5"/>
      <c r="AE122" s="5">
        <v>492795</v>
      </c>
      <c r="AF122" s="5"/>
    </row>
    <row r="123" spans="1:34" x14ac:dyDescent="0.2">
      <c r="A123" s="1">
        <f t="shared" si="97"/>
        <v>123</v>
      </c>
      <c r="B123" t="s">
        <v>140</v>
      </c>
      <c r="C123" s="5">
        <f>C121-C122</f>
        <v>1133951</v>
      </c>
      <c r="D123" s="5"/>
      <c r="E123" s="5">
        <f>E121-E122</f>
        <v>6132863</v>
      </c>
      <c r="F123" s="5"/>
      <c r="G123" s="5">
        <f>G121-G122</f>
        <v>2159742</v>
      </c>
      <c r="H123" s="5"/>
      <c r="I123" s="5">
        <f>I121-I122</f>
        <v>2198574</v>
      </c>
      <c r="J123" s="5"/>
      <c r="K123" s="5">
        <f>K121-K122</f>
        <v>2332989</v>
      </c>
      <c r="L123" s="5"/>
      <c r="M123" s="5">
        <f>M121-M122</f>
        <v>4847216</v>
      </c>
      <c r="N123" s="5"/>
      <c r="O123" s="5">
        <f>O121-O122</f>
        <v>1234142</v>
      </c>
      <c r="P123" s="5"/>
      <c r="Q123" s="5">
        <f>Q121-Q122</f>
        <v>2294128</v>
      </c>
      <c r="R123" s="5"/>
      <c r="S123" s="5">
        <f>S121-S122</f>
        <v>4404909</v>
      </c>
      <c r="T123" s="5"/>
      <c r="U123" s="5">
        <f>U121-U122</f>
        <v>1235928</v>
      </c>
      <c r="V123" s="5"/>
      <c r="W123" s="5">
        <f>W121-W122</f>
        <v>3459912</v>
      </c>
      <c r="X123" s="5"/>
      <c r="Y123" s="5">
        <f>Y121-Y122</f>
        <v>8332714</v>
      </c>
      <c r="Z123" s="5"/>
      <c r="AA123" s="5">
        <f>AA121-AA122</f>
        <v>5246882</v>
      </c>
      <c r="AB123" s="5"/>
      <c r="AC123" s="5">
        <f>AC121-AC122</f>
        <v>2238296</v>
      </c>
      <c r="AD123" s="5"/>
      <c r="AE123" s="5">
        <f>AE121-AE122</f>
        <v>2535758</v>
      </c>
      <c r="AF123" s="5"/>
    </row>
    <row r="124" spans="1:34" x14ac:dyDescent="0.2">
      <c r="A124" s="1">
        <f t="shared" si="97"/>
        <v>124</v>
      </c>
      <c r="B124" t="s">
        <v>154</v>
      </c>
      <c r="C124" s="5">
        <f>'FAC Recalc'!D137</f>
        <v>6969</v>
      </c>
      <c r="D124" s="5"/>
      <c r="E124" s="5">
        <f>'FAC Recalc'!F137</f>
        <v>38710</v>
      </c>
      <c r="F124" s="5"/>
      <c r="G124" s="5">
        <f>'FAC Recalc'!H137</f>
        <v>13122</v>
      </c>
      <c r="H124" s="5"/>
      <c r="I124" s="5">
        <f>'FAC Recalc'!J137</f>
        <v>13470</v>
      </c>
      <c r="J124" s="5"/>
      <c r="K124" s="5">
        <f>'FAC Recalc'!L137</f>
        <v>14722</v>
      </c>
      <c r="L124" s="5"/>
      <c r="M124" s="5">
        <f>'FAC Recalc'!N137</f>
        <v>30960</v>
      </c>
      <c r="N124" s="5"/>
      <c r="O124" s="5">
        <f>'FAC Recalc'!P137</f>
        <v>7759</v>
      </c>
      <c r="P124" s="5"/>
      <c r="Q124" s="5">
        <f>'FAC Recalc'!R137</f>
        <v>14119</v>
      </c>
      <c r="R124" s="5"/>
      <c r="S124" s="5">
        <f>'FAC Recalc'!T137</f>
        <v>26803</v>
      </c>
      <c r="T124" s="5"/>
      <c r="U124" s="5">
        <f>'FAC Recalc'!V137</f>
        <v>7697</v>
      </c>
      <c r="V124" s="5"/>
      <c r="W124" s="5">
        <f>'FAC Recalc'!X137</f>
        <v>21976</v>
      </c>
      <c r="X124" s="5"/>
      <c r="Y124" s="5">
        <f>'FAC Recalc'!Z137</f>
        <v>63103</v>
      </c>
      <c r="Z124" s="5"/>
      <c r="AA124" s="5">
        <f>'FAC Recalc'!AB137</f>
        <v>33233</v>
      </c>
      <c r="AB124" s="5"/>
      <c r="AC124" s="5">
        <f>'FAC Recalc'!AD137</f>
        <v>14714</v>
      </c>
      <c r="AD124" s="5"/>
      <c r="AE124" s="5">
        <f>'FAC Recalc'!AF137</f>
        <v>13844</v>
      </c>
      <c r="AF124" s="5"/>
    </row>
    <row r="125" spans="1:34" x14ac:dyDescent="0.2">
      <c r="A125" s="1">
        <f t="shared" si="97"/>
        <v>125</v>
      </c>
      <c r="B125" t="s">
        <v>155</v>
      </c>
      <c r="C125" s="5">
        <f>C123+C124</f>
        <v>1140920</v>
      </c>
      <c r="D125" s="5"/>
      <c r="E125" s="5">
        <f>E123+E124</f>
        <v>6171573</v>
      </c>
      <c r="F125" s="5"/>
      <c r="G125" s="5">
        <f>G123+G124</f>
        <v>2172864</v>
      </c>
      <c r="H125" s="5"/>
      <c r="I125" s="5">
        <f>I123+I124</f>
        <v>2212044</v>
      </c>
      <c r="J125" s="5"/>
      <c r="K125" s="5">
        <f>K123+K124</f>
        <v>2347711</v>
      </c>
      <c r="L125" s="5"/>
      <c r="M125" s="5">
        <f>M123+M124</f>
        <v>4878176</v>
      </c>
      <c r="N125" s="5"/>
      <c r="O125" s="5">
        <f>O123+O124</f>
        <v>1241901</v>
      </c>
      <c r="P125" s="5"/>
      <c r="Q125" s="5">
        <f>Q123+Q124</f>
        <v>2308247</v>
      </c>
      <c r="R125" s="5"/>
      <c r="S125" s="5">
        <f>S123+S124</f>
        <v>4431712</v>
      </c>
      <c r="T125" s="5"/>
      <c r="U125" s="5">
        <f>U123+U124</f>
        <v>1243625</v>
      </c>
      <c r="V125" s="5"/>
      <c r="W125" s="5">
        <f>W123+W124</f>
        <v>3481888</v>
      </c>
      <c r="X125" s="5"/>
      <c r="Y125" s="5">
        <f>Y123+Y124</f>
        <v>8395817</v>
      </c>
      <c r="Z125" s="5"/>
      <c r="AA125" s="5">
        <f>AA123+AA124</f>
        <v>5280115</v>
      </c>
      <c r="AB125" s="5"/>
      <c r="AC125" s="5">
        <f>AC123+AC124</f>
        <v>2253010</v>
      </c>
      <c r="AD125" s="5"/>
      <c r="AE125" s="5">
        <f>AE123+AE124</f>
        <v>2549602</v>
      </c>
      <c r="AF125" s="5"/>
    </row>
    <row r="126" spans="1:34" x14ac:dyDescent="0.2">
      <c r="A126" s="1">
        <f t="shared" si="97"/>
        <v>126</v>
      </c>
      <c r="B126" t="s">
        <v>72</v>
      </c>
      <c r="C126" s="6">
        <f>0.2051+C3</f>
        <v>0.21010000000000001</v>
      </c>
      <c r="D126" s="10"/>
      <c r="E126" s="6">
        <f>C126</f>
        <v>0.21010000000000001</v>
      </c>
      <c r="F126" s="6"/>
      <c r="G126" s="6">
        <f>E126</f>
        <v>0.21010000000000001</v>
      </c>
      <c r="H126" s="6"/>
      <c r="I126" s="6">
        <f t="shared" ref="I126" si="134">G126</f>
        <v>0.21010000000000001</v>
      </c>
      <c r="J126" s="6"/>
      <c r="K126" s="6">
        <f t="shared" ref="K126" si="135">I126</f>
        <v>0.21010000000000001</v>
      </c>
      <c r="L126" s="6"/>
      <c r="M126" s="6">
        <f t="shared" ref="M126" si="136">K126</f>
        <v>0.21010000000000001</v>
      </c>
      <c r="N126" s="6"/>
      <c r="O126" s="6">
        <f t="shared" ref="O126" si="137">M126</f>
        <v>0.21010000000000001</v>
      </c>
      <c r="P126" s="6"/>
      <c r="Q126" s="6">
        <f t="shared" ref="Q126" si="138">O126</f>
        <v>0.21010000000000001</v>
      </c>
      <c r="R126" s="6"/>
      <c r="S126" s="6">
        <f t="shared" ref="S126" si="139">Q126</f>
        <v>0.21010000000000001</v>
      </c>
      <c r="T126" s="6"/>
      <c r="U126" s="6">
        <f t="shared" ref="U126" si="140">S126</f>
        <v>0.21010000000000001</v>
      </c>
      <c r="V126" s="6"/>
      <c r="W126" s="6">
        <f t="shared" ref="W126" si="141">U126</f>
        <v>0.21010000000000001</v>
      </c>
      <c r="X126" s="6"/>
      <c r="Y126" s="6">
        <f t="shared" ref="Y126" si="142">W126</f>
        <v>0.21010000000000001</v>
      </c>
      <c r="Z126" s="6"/>
      <c r="AA126" s="6">
        <f t="shared" ref="AA126" si="143">Y126</f>
        <v>0.21010000000000001</v>
      </c>
      <c r="AB126" s="6"/>
      <c r="AC126" s="6">
        <f t="shared" ref="AC126" si="144">AA126</f>
        <v>0.21010000000000001</v>
      </c>
      <c r="AD126" s="6"/>
      <c r="AE126" s="6">
        <f t="shared" ref="AE126" si="145">AC126</f>
        <v>0.21010000000000001</v>
      </c>
      <c r="AF126" s="6"/>
    </row>
    <row r="127" spans="1:34" x14ac:dyDescent="0.2">
      <c r="A127" s="1">
        <f t="shared" ref="A127:A162" si="146">A126+1</f>
        <v>127</v>
      </c>
      <c r="B127" t="s">
        <v>73</v>
      </c>
      <c r="C127" s="5">
        <f>ROUND(C125*C126,0)</f>
        <v>239707</v>
      </c>
      <c r="D127" s="5"/>
      <c r="E127" s="5">
        <f>ROUND(E125*E126,0)</f>
        <v>1296647</v>
      </c>
      <c r="F127" s="5"/>
      <c r="G127" s="5">
        <f>ROUND(G125*G126,0)</f>
        <v>456519</v>
      </c>
      <c r="H127" s="5"/>
      <c r="I127" s="5">
        <f>ROUND(I125*I126,0)</f>
        <v>464750</v>
      </c>
      <c r="J127" s="5"/>
      <c r="K127" s="5">
        <f>ROUND(K125*K126,0)</f>
        <v>493254</v>
      </c>
      <c r="L127" s="5"/>
      <c r="M127" s="5">
        <f>ROUND(M125*M126,0)</f>
        <v>1024905</v>
      </c>
      <c r="N127" s="5"/>
      <c r="O127" s="5">
        <f>ROUND(O125*O126,0)</f>
        <v>260923</v>
      </c>
      <c r="P127" s="5"/>
      <c r="Q127" s="5">
        <f>ROUND(Q125*Q126,0)</f>
        <v>484963</v>
      </c>
      <c r="R127" s="5"/>
      <c r="S127" s="5">
        <f>ROUND(S125*S126,0)</f>
        <v>931103</v>
      </c>
      <c r="T127" s="5"/>
      <c r="U127" s="5">
        <f>ROUND(U125*U126,0)</f>
        <v>261286</v>
      </c>
      <c r="V127" s="5"/>
      <c r="W127" s="5">
        <f>ROUND(W125*W126,0)</f>
        <v>731545</v>
      </c>
      <c r="X127" s="5"/>
      <c r="Y127" s="5">
        <f>ROUND(Y125*Y126,0)</f>
        <v>1763961</v>
      </c>
      <c r="Z127" s="5"/>
      <c r="AA127" s="5">
        <f>ROUND(AA125*AA126,0)</f>
        <v>1109352</v>
      </c>
      <c r="AB127" s="5"/>
      <c r="AC127" s="5">
        <f>ROUND(AC125*AC126,0)</f>
        <v>473357</v>
      </c>
      <c r="AD127" s="5"/>
      <c r="AE127" s="5">
        <f>ROUND(AE125*AE126,0)</f>
        <v>535671</v>
      </c>
      <c r="AF127" s="5"/>
    </row>
    <row r="128" spans="1:34" x14ac:dyDescent="0.2">
      <c r="A128" s="1">
        <f t="shared" si="146"/>
        <v>128</v>
      </c>
      <c r="B128" t="s">
        <v>74</v>
      </c>
      <c r="C128" s="5"/>
      <c r="D128" s="5">
        <f>C127-C122</f>
        <v>7133</v>
      </c>
      <c r="E128" s="5"/>
      <c r="F128" s="5">
        <f>E127-E122</f>
        <v>38800</v>
      </c>
      <c r="G128" s="5"/>
      <c r="H128" s="5">
        <f>G127-G122</f>
        <v>13557</v>
      </c>
      <c r="I128" s="5"/>
      <c r="J128" s="5">
        <f>I127-I122</f>
        <v>13822</v>
      </c>
      <c r="K128" s="5"/>
      <c r="L128" s="5">
        <f>K127-K122</f>
        <v>12844</v>
      </c>
      <c r="M128" s="5"/>
      <c r="N128" s="5">
        <f>M127-M122</f>
        <v>63457</v>
      </c>
      <c r="O128" s="5"/>
      <c r="P128" s="5">
        <f>O127-O122</f>
        <v>7802</v>
      </c>
      <c r="Q128" s="5"/>
      <c r="R128" s="5">
        <f>Q127-Q122</f>
        <v>14438</v>
      </c>
      <c r="S128" s="5"/>
      <c r="T128" s="5">
        <f>S127-S122</f>
        <v>27655</v>
      </c>
      <c r="U128" s="5"/>
      <c r="V128" s="5">
        <f>U127-U122</f>
        <v>7798</v>
      </c>
      <c r="W128" s="5"/>
      <c r="X128" s="5">
        <f>W127-W122</f>
        <v>21917</v>
      </c>
      <c r="Y128" s="5"/>
      <c r="Z128" s="5">
        <f>Y127-Y122</f>
        <v>43616</v>
      </c>
      <c r="AA128" s="5"/>
      <c r="AB128" s="5">
        <f>AA127-AA122</f>
        <v>33214</v>
      </c>
      <c r="AC128" s="5"/>
      <c r="AD128" s="5">
        <f>AC127-AC122</f>
        <v>14374</v>
      </c>
      <c r="AE128" s="5"/>
      <c r="AF128" s="5">
        <f>AE127-AE122</f>
        <v>42876</v>
      </c>
      <c r="AG128" s="5">
        <f>SUM(D128:AF128)</f>
        <v>363303</v>
      </c>
      <c r="AH128" s="5">
        <f>-'Billing Impact'!G110</f>
        <v>435879</v>
      </c>
    </row>
    <row r="129" spans="1:34" x14ac:dyDescent="0.2">
      <c r="A129" s="1">
        <f t="shared" si="146"/>
        <v>129</v>
      </c>
    </row>
    <row r="130" spans="1:34" x14ac:dyDescent="0.2">
      <c r="A130" s="1">
        <f t="shared" si="146"/>
        <v>130</v>
      </c>
    </row>
    <row r="131" spans="1:34" x14ac:dyDescent="0.2">
      <c r="A131" s="1">
        <f t="shared" si="146"/>
        <v>131</v>
      </c>
      <c r="B131" t="s">
        <v>80</v>
      </c>
      <c r="D131" s="5">
        <f>SUM(D18:D128)</f>
        <v>77186</v>
      </c>
      <c r="F131" s="5">
        <f>SUM(F18:F128)</f>
        <v>440167</v>
      </c>
      <c r="H131" s="5">
        <f>SUM(H18:H128)</f>
        <v>144064</v>
      </c>
      <c r="J131" s="5">
        <f>SUM(J18:J128)</f>
        <v>144802</v>
      </c>
      <c r="L131" s="5">
        <f>SUM(L18:L128)</f>
        <v>153333</v>
      </c>
      <c r="N131" s="5">
        <f>SUM(N18:N128)</f>
        <v>727589</v>
      </c>
      <c r="P131" s="5">
        <f>SUM(P18:P128)</f>
        <v>82815</v>
      </c>
      <c r="R131" s="5">
        <f>SUM(R18:R128)</f>
        <v>154752</v>
      </c>
      <c r="T131" s="5">
        <f>SUM(T18:T128)</f>
        <v>289654</v>
      </c>
      <c r="V131" s="5">
        <f>SUM(V18:V128)</f>
        <v>82031</v>
      </c>
      <c r="X131" s="5">
        <f>SUM(X18:X128)</f>
        <v>245455</v>
      </c>
      <c r="Z131" s="5">
        <f>SUM(Z18:Z128)</f>
        <v>512354</v>
      </c>
      <c r="AB131" s="5">
        <f>SUM(AB18:AB128)</f>
        <v>380930</v>
      </c>
      <c r="AD131" s="5">
        <f>SUM(AD18:AD128)</f>
        <v>159085</v>
      </c>
      <c r="AF131" s="5">
        <f>SUM(AF18:AF128)</f>
        <v>417456</v>
      </c>
      <c r="AG131" s="5">
        <f>SUM(D131:AF131)</f>
        <v>4011673</v>
      </c>
      <c r="AH131" s="5">
        <f>SUM(AH18:AH128)</f>
        <v>4377209</v>
      </c>
    </row>
    <row r="132" spans="1:34" x14ac:dyDescent="0.2">
      <c r="A132" s="1">
        <f t="shared" si="146"/>
        <v>132</v>
      </c>
      <c r="AH132" s="5">
        <f>-F158</f>
        <v>-362210</v>
      </c>
    </row>
    <row r="133" spans="1:34" x14ac:dyDescent="0.2">
      <c r="A133" s="1">
        <f t="shared" si="146"/>
        <v>133</v>
      </c>
      <c r="B133" t="s">
        <v>81</v>
      </c>
      <c r="D133" s="5">
        <f>ROUND(D131/12,0)</f>
        <v>6432</v>
      </c>
      <c r="F133" s="5">
        <f>ROUND(F131/12,0)</f>
        <v>36681</v>
      </c>
      <c r="H133" s="5">
        <f>ROUND(H131/12,0)</f>
        <v>12005</v>
      </c>
      <c r="J133" s="5">
        <f>ROUND(J131/12,0)</f>
        <v>12067</v>
      </c>
      <c r="L133" s="5">
        <f>ROUND(L131/12,0)</f>
        <v>12778</v>
      </c>
      <c r="N133" s="5">
        <f>ROUND(N131/12,0)</f>
        <v>60632</v>
      </c>
      <c r="P133" s="5">
        <f>ROUND(P131/12,0)</f>
        <v>6901</v>
      </c>
      <c r="R133" s="5">
        <f>ROUND(R131/12,0)</f>
        <v>12896</v>
      </c>
      <c r="T133" s="5">
        <f>ROUND(T131/12,0)</f>
        <v>24138</v>
      </c>
      <c r="V133" s="5">
        <f>ROUND(V131/12,0)</f>
        <v>6836</v>
      </c>
      <c r="X133" s="5">
        <f>ROUND(X131/12,0)</f>
        <v>20455</v>
      </c>
      <c r="Z133" s="5">
        <f>ROUND(Z131/12,0)</f>
        <v>42696</v>
      </c>
      <c r="AB133" s="5">
        <f>ROUND(AB131/12,0)</f>
        <v>31744</v>
      </c>
      <c r="AD133" s="5">
        <f>ROUND(AD131/12,0)</f>
        <v>13257</v>
      </c>
      <c r="AF133" s="5">
        <f>ROUND(AF131/12,0)</f>
        <v>34788</v>
      </c>
      <c r="AH133" s="5">
        <f>AH131+AH132</f>
        <v>4014999</v>
      </c>
    </row>
    <row r="134" spans="1:34" x14ac:dyDescent="0.2">
      <c r="A134" s="1">
        <f t="shared" si="146"/>
        <v>134</v>
      </c>
    </row>
    <row r="135" spans="1:34" x14ac:dyDescent="0.2">
      <c r="A135" s="1">
        <f t="shared" si="146"/>
        <v>135</v>
      </c>
      <c r="B135" t="s">
        <v>190</v>
      </c>
    </row>
    <row r="136" spans="1:34" x14ac:dyDescent="0.2">
      <c r="A136" s="1">
        <f t="shared" si="146"/>
        <v>136</v>
      </c>
      <c r="B136" t="s">
        <v>140</v>
      </c>
      <c r="C136" s="5">
        <f>C13+C23+C33+C43+C53+C63+C73+C83+C93+C103+C113+C123</f>
        <v>13064875</v>
      </c>
      <c r="E136" s="5">
        <f>E13+E23+E33+E43+E53+E63+E73+E83+E93+E103+E113+E123</f>
        <v>76038336</v>
      </c>
      <c r="G136" s="5">
        <f t="shared" ref="G136" si="147">G13+G23+G33+G43+G53+G63+G73+G83+G93+G103+G113+G123</f>
        <v>25557549</v>
      </c>
      <c r="I136" s="5">
        <f t="shared" ref="I136" si="148">I13+I23+I33+I43+I53+I63+I73+I83+I93+I103+I113+I123</f>
        <v>25630914</v>
      </c>
      <c r="K136" s="5">
        <f t="shared" ref="K136" si="149">K13+K23+K33+K43+K53+K63+K73+K83+K93+K103+K113+K123</f>
        <v>29021488</v>
      </c>
      <c r="M136" s="5">
        <f t="shared" ref="M136" si="150">M13+M23+M33+M43+M53+M63+M73+M83+M93+M103+M113+M123</f>
        <v>60059026</v>
      </c>
      <c r="O136" s="5">
        <f t="shared" ref="O136" si="151">O13+O23+O33+O43+O53+O63+O73+O83+O93+O103+O113+O123</f>
        <v>14645794</v>
      </c>
      <c r="Q136" s="5">
        <f t="shared" ref="Q136" si="152">Q13+Q23+Q33+Q43+Q53+Q63+Q73+Q83+Q93+Q103+Q113+Q123</f>
        <v>27421220</v>
      </c>
      <c r="S136" s="5">
        <f t="shared" ref="S136" si="153">S13+S23+S33+S43+S53+S63+S73+S83+S93+S103+S113+S123</f>
        <v>51306719</v>
      </c>
      <c r="U136" s="5">
        <f t="shared" ref="U136" si="154">U13+U23+U33+U43+U53+U63+U73+U83+U93+U103+U113+U123</f>
        <v>14523387</v>
      </c>
      <c r="W136" s="5">
        <f t="shared" ref="W136" si="155">W13+W23+W33+W43+W53+W63+W73+W83+W93+W103+W113+W123</f>
        <v>43222864</v>
      </c>
      <c r="Y136" s="5">
        <f t="shared" ref="Y136" si="156">Y13+Y23+Y33+Y43+Y53+Y63+Y73+Y83+Y93+Y103+Y113+Y123</f>
        <v>108792867</v>
      </c>
      <c r="AA136" s="5">
        <f t="shared" ref="AA136" si="157">AA13+AA23+AA33+AA43+AA53+AA63+AA73+AA83+AA93+AA103+AA113+AA123</f>
        <v>67199144</v>
      </c>
      <c r="AC136" s="5">
        <f t="shared" ref="AC136" si="158">AC13+AC23+AC33+AC43+AC53+AC63+AC73+AC83+AC93+AC103+AC113+AC123</f>
        <v>27829355</v>
      </c>
      <c r="AE136" s="5">
        <f t="shared" ref="AE136" si="159">AE13+AE23+AE33+AE43+AE53+AE63+AE73+AE83+AE93+AE103+AE113+AE123</f>
        <v>30460542</v>
      </c>
    </row>
    <row r="137" spans="1:34" x14ac:dyDescent="0.2">
      <c r="A137" s="1">
        <f t="shared" si="146"/>
        <v>137</v>
      </c>
    </row>
    <row r="138" spans="1:34" x14ac:dyDescent="0.2">
      <c r="A138" s="1">
        <f t="shared" si="146"/>
        <v>138</v>
      </c>
      <c r="B138" t="s">
        <v>191</v>
      </c>
    </row>
    <row r="139" spans="1:34" x14ac:dyDescent="0.2">
      <c r="A139" s="1">
        <f t="shared" si="146"/>
        <v>139</v>
      </c>
      <c r="B139" t="s">
        <v>70</v>
      </c>
      <c r="C139" s="5">
        <f>C12+C22+C32+C42+C52+C62+C72+C82+C92+C102+C112+C122</f>
        <v>2194049</v>
      </c>
      <c r="E139" s="5">
        <f t="shared" ref="E139" si="160">E12+E22+E32+E42+E52+E62+E72+E82+E92+E102+E112+E122</f>
        <v>12806240</v>
      </c>
      <c r="G139" s="5">
        <f t="shared" ref="G139" si="161">G12+G22+G32+G42+G52+G62+G72+G82+G92+G102+G112+G122</f>
        <v>4308083</v>
      </c>
      <c r="I139" s="5">
        <f t="shared" ref="I139" si="162">I12+I22+I32+I42+I52+I62+I72+I82+I92+I102+I112+I122</f>
        <v>4309154</v>
      </c>
      <c r="K139" s="5">
        <f t="shared" ref="K139" si="163">K12+K22+K32+K42+K52+K62+K72+K82+K92+K102+K112+K122</f>
        <v>4914918</v>
      </c>
      <c r="M139" s="5">
        <f t="shared" ref="M139" si="164">M12+M22+M32+M42+M52+M62+M72+M82+M92+M102+M112+M122</f>
        <v>9709529</v>
      </c>
      <c r="O139" s="5">
        <f t="shared" ref="O139" si="165">O12+O22+O32+O42+O52+O62+O72+O82+O92+O102+O112+O122</f>
        <v>2467193</v>
      </c>
      <c r="Q139" s="5">
        <f t="shared" ref="Q139" si="166">Q12+Q22+Q32+Q42+Q52+Q62+Q72+Q82+Q92+Q102+Q112+Q122</f>
        <v>4621980</v>
      </c>
      <c r="S139" s="5">
        <f t="shared" ref="S139" si="167">S12+S22+S32+S42+S52+S62+S72+S82+S92+S102+S112+S122</f>
        <v>8635160</v>
      </c>
      <c r="U139" s="5">
        <f t="shared" ref="U139" si="168">U12+U22+U32+U42+U52+U62+U72+U82+U92+U102+U112+U122</f>
        <v>2445351</v>
      </c>
      <c r="W139" s="5">
        <f t="shared" ref="W139" si="169">W12+W22+W32+W42+W52+W62+W72+W82+W92+W102+W112+W122</f>
        <v>7296612</v>
      </c>
      <c r="Y139" s="5">
        <f t="shared" ref="Y139" si="170">Y12+Y22+Y32+Y42+Y52+Y62+Y72+Y82+Y92+Y102+Y112+Y122</f>
        <v>18455517</v>
      </c>
      <c r="AA139" s="5">
        <f t="shared" ref="AA139" si="171">AA12+AA22+AA32+AA42+AA52+AA62+AA72+AA82+AA92+AA102+AA112+AA122</f>
        <v>11367522</v>
      </c>
      <c r="AC139" s="5">
        <f t="shared" ref="AC139" si="172">AC12+AC22+AC32+AC42+AC52+AC62+AC72+AC82+AC92+AC102+AC112+AC122</f>
        <v>4689490</v>
      </c>
      <c r="AE139" s="5">
        <f>AE12+AE22+AE32+AE42+AE52+AE62+AE72+AE82+AE92+AE102+AE112+AE122</f>
        <v>4897811</v>
      </c>
      <c r="AG139" s="5">
        <f>SUM(C139:AE139)</f>
        <v>103118609</v>
      </c>
    </row>
    <row r="140" spans="1:34" x14ac:dyDescent="0.2">
      <c r="A140" s="1">
        <f t="shared" si="146"/>
        <v>140</v>
      </c>
      <c r="B140" t="s">
        <v>192</v>
      </c>
      <c r="D140" s="28">
        <f>ROUND(D131/C139,5)</f>
        <v>3.5180000000000003E-2</v>
      </c>
      <c r="F140" s="28">
        <f>ROUND(F131/E139,5)</f>
        <v>3.4369999999999998E-2</v>
      </c>
      <c r="H140" s="28">
        <f>ROUND(H131/G139,5)</f>
        <v>3.3439999999999998E-2</v>
      </c>
      <c r="J140" s="28">
        <f>ROUND(J131/I139,5)</f>
        <v>3.3599999999999998E-2</v>
      </c>
      <c r="L140" s="28">
        <f>ROUND(L131/K139,5)</f>
        <v>3.1199999999999999E-2</v>
      </c>
      <c r="N140" s="28">
        <f>ROUND(N131/M139,5)</f>
        <v>7.4940000000000007E-2</v>
      </c>
      <c r="P140" s="28">
        <f>ROUND(P131/O139,5)</f>
        <v>3.3570000000000003E-2</v>
      </c>
      <c r="R140" s="28">
        <f>ROUND(R131/Q139,5)</f>
        <v>3.3480000000000003E-2</v>
      </c>
      <c r="T140" s="28">
        <f>ROUND(T131/S139,5)</f>
        <v>3.354E-2</v>
      </c>
      <c r="V140" s="28">
        <f>ROUND(V131/U139,5)</f>
        <v>3.3550000000000003E-2</v>
      </c>
      <c r="X140" s="28">
        <f>ROUND(X131/W139,5)</f>
        <v>3.3640000000000003E-2</v>
      </c>
      <c r="Z140" s="28">
        <f>ROUND(Z131/Y139,5)</f>
        <v>2.776E-2</v>
      </c>
      <c r="AB140" s="28">
        <f>ROUND(AB131/AA139,5)</f>
        <v>3.3509999999999998E-2</v>
      </c>
      <c r="AD140" s="28">
        <f>ROUND(AD131/AC139,5)</f>
        <v>3.3919999999999999E-2</v>
      </c>
      <c r="AF140" s="28">
        <f>ROUND(AF131/AE139,5)</f>
        <v>8.523E-2</v>
      </c>
      <c r="AG140" s="28">
        <f>ROUND(AG131/AG139,5)</f>
        <v>3.8899999999999997E-2</v>
      </c>
    </row>
    <row r="141" spans="1:34" x14ac:dyDescent="0.2">
      <c r="A141" s="1">
        <f t="shared" si="146"/>
        <v>141</v>
      </c>
    </row>
    <row r="142" spans="1:34" x14ac:dyDescent="0.2">
      <c r="A142" s="1">
        <f t="shared" si="146"/>
        <v>142</v>
      </c>
      <c r="B142" t="s">
        <v>141</v>
      </c>
    </row>
    <row r="143" spans="1:34" x14ac:dyDescent="0.2">
      <c r="A143" s="1">
        <f t="shared" si="146"/>
        <v>143</v>
      </c>
      <c r="B143" t="s">
        <v>142</v>
      </c>
    </row>
    <row r="144" spans="1:34" x14ac:dyDescent="0.2">
      <c r="A144" s="1">
        <f t="shared" si="146"/>
        <v>144</v>
      </c>
      <c r="B144" t="s">
        <v>143</v>
      </c>
      <c r="E144" s="5">
        <f>'Billing Impact'!E113+'Billing Impact'!F113</f>
        <v>-26044823</v>
      </c>
    </row>
    <row r="145" spans="1:6" x14ac:dyDescent="0.2">
      <c r="A145" s="1">
        <f t="shared" si="146"/>
        <v>145</v>
      </c>
      <c r="B145" t="s">
        <v>144</v>
      </c>
      <c r="E145" s="5">
        <f>ROUND(E144/12,0)</f>
        <v>-2170402</v>
      </c>
    </row>
    <row r="146" spans="1:6" x14ac:dyDescent="0.2">
      <c r="A146" s="1">
        <f t="shared" si="146"/>
        <v>146</v>
      </c>
      <c r="B146" t="s">
        <v>145</v>
      </c>
      <c r="F146" s="5">
        <v>56844697</v>
      </c>
    </row>
    <row r="147" spans="1:6" x14ac:dyDescent="0.2">
      <c r="A147" s="1">
        <f t="shared" si="146"/>
        <v>147</v>
      </c>
      <c r="B147" t="s">
        <v>146</v>
      </c>
      <c r="F147" s="5">
        <f>F146+E145</f>
        <v>54674295</v>
      </c>
    </row>
    <row r="148" spans="1:6" x14ac:dyDescent="0.2">
      <c r="A148" s="1">
        <f t="shared" si="146"/>
        <v>148</v>
      </c>
      <c r="B148" t="s">
        <v>169</v>
      </c>
      <c r="E148" s="5">
        <f>'FAC Recalc'!AG139</f>
        <v>2318762</v>
      </c>
      <c r="F148" s="5"/>
    </row>
    <row r="149" spans="1:6" x14ac:dyDescent="0.2">
      <c r="A149" s="1">
        <f t="shared" si="146"/>
        <v>149</v>
      </c>
      <c r="B149" t="s">
        <v>144</v>
      </c>
      <c r="E149" s="5">
        <f>ROUND(E148/12,0)</f>
        <v>193230</v>
      </c>
      <c r="F149" s="5"/>
    </row>
    <row r="150" spans="1:6" x14ac:dyDescent="0.2">
      <c r="A150" s="1">
        <f t="shared" si="146"/>
        <v>150</v>
      </c>
      <c r="B150" t="s">
        <v>170</v>
      </c>
      <c r="E150" s="5"/>
      <c r="F150" s="5">
        <f>F147+E149</f>
        <v>54867525</v>
      </c>
    </row>
    <row r="151" spans="1:6" x14ac:dyDescent="0.2">
      <c r="A151" s="1">
        <f t="shared" si="146"/>
        <v>151</v>
      </c>
      <c r="B151" t="s">
        <v>147</v>
      </c>
      <c r="F151" s="5">
        <v>11658357</v>
      </c>
    </row>
    <row r="152" spans="1:6" x14ac:dyDescent="0.2">
      <c r="A152" s="1">
        <f t="shared" si="146"/>
        <v>152</v>
      </c>
      <c r="B152" t="s">
        <v>72</v>
      </c>
      <c r="F152" s="6">
        <f>ROUND(F151/F150,4)</f>
        <v>0.21249999999999999</v>
      </c>
    </row>
    <row r="153" spans="1:6" x14ac:dyDescent="0.2">
      <c r="A153" s="1">
        <f t="shared" si="146"/>
        <v>153</v>
      </c>
      <c r="B153" t="s">
        <v>148</v>
      </c>
      <c r="F153" s="6">
        <v>0.2051</v>
      </c>
    </row>
    <row r="154" spans="1:6" x14ac:dyDescent="0.2">
      <c r="A154" s="1">
        <f t="shared" si="146"/>
        <v>154</v>
      </c>
      <c r="B154" t="s">
        <v>149</v>
      </c>
      <c r="F154" s="6">
        <f>F152-F153</f>
        <v>7.3999999999999899E-3</v>
      </c>
    </row>
    <row r="155" spans="1:6" x14ac:dyDescent="0.2">
      <c r="A155" s="1">
        <f t="shared" si="146"/>
        <v>155</v>
      </c>
      <c r="B155" t="s">
        <v>150</v>
      </c>
      <c r="F155" s="5">
        <f>'Billing Impact'!E68+'Billing Impact'!F68</f>
        <v>48789135</v>
      </c>
    </row>
    <row r="156" spans="1:6" x14ac:dyDescent="0.2">
      <c r="A156" s="1">
        <f t="shared" si="146"/>
        <v>156</v>
      </c>
      <c r="B156" t="s">
        <v>157</v>
      </c>
      <c r="F156" s="5">
        <f>'FAC Recalc'!AL139</f>
        <v>158122</v>
      </c>
    </row>
    <row r="157" spans="1:6" x14ac:dyDescent="0.2">
      <c r="A157" s="1">
        <f t="shared" si="146"/>
        <v>157</v>
      </c>
      <c r="B157" t="s">
        <v>156</v>
      </c>
      <c r="F157" s="5">
        <f>F155+F156</f>
        <v>48947257</v>
      </c>
    </row>
    <row r="158" spans="1:6" x14ac:dyDescent="0.2">
      <c r="A158" s="1">
        <f t="shared" si="146"/>
        <v>158</v>
      </c>
      <c r="B158" t="s">
        <v>151</v>
      </c>
      <c r="F158" s="5">
        <f>ROUND(F157*F154,0)</f>
        <v>362210</v>
      </c>
    </row>
    <row r="159" spans="1:6" x14ac:dyDescent="0.2">
      <c r="A159" s="1">
        <f t="shared" si="146"/>
        <v>159</v>
      </c>
      <c r="B159" t="s">
        <v>152</v>
      </c>
      <c r="F159" s="5">
        <f>-'Billing Impact'!G113</f>
        <v>4377209</v>
      </c>
    </row>
    <row r="160" spans="1:6" x14ac:dyDescent="0.2">
      <c r="A160" s="1">
        <f t="shared" si="146"/>
        <v>160</v>
      </c>
      <c r="B160" t="s">
        <v>153</v>
      </c>
      <c r="F160" s="5">
        <f>F159-F158</f>
        <v>4014999</v>
      </c>
    </row>
    <row r="161" spans="1:1" x14ac:dyDescent="0.2">
      <c r="A161" s="1">
        <f t="shared" si="146"/>
        <v>161</v>
      </c>
    </row>
    <row r="162" spans="1:1" x14ac:dyDescent="0.2">
      <c r="A162" s="1">
        <f t="shared" si="146"/>
        <v>162</v>
      </c>
    </row>
  </sheetData>
  <mergeCells count="15">
    <mergeCell ref="M7:N7"/>
    <mergeCell ref="C7:D7"/>
    <mergeCell ref="E7:F7"/>
    <mergeCell ref="G7:H7"/>
    <mergeCell ref="I7:J7"/>
    <mergeCell ref="K7:L7"/>
    <mergeCell ref="AA7:AB7"/>
    <mergeCell ref="AC7:AD7"/>
    <mergeCell ref="AE7:AF7"/>
    <mergeCell ref="O7:P7"/>
    <mergeCell ref="Q7:R7"/>
    <mergeCell ref="S7:T7"/>
    <mergeCell ref="U7:V7"/>
    <mergeCell ref="W7:X7"/>
    <mergeCell ref="Y7:Z7"/>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1"/>
  <sheetViews>
    <sheetView zoomScale="80" zoomScaleNormal="80" workbookViewId="0">
      <pane xSplit="2" ySplit="8" topLeftCell="C9" activePane="bottomRight" state="frozen"/>
      <selection pane="topRight" activeCell="C1" sqref="C1"/>
      <selection pane="bottomLeft" activeCell="A9" sqref="A9"/>
      <selection pane="bottomRight" activeCell="C4" sqref="C4"/>
    </sheetView>
  </sheetViews>
  <sheetFormatPr defaultColWidth="15.625" defaultRowHeight="14.25" x14ac:dyDescent="0.2"/>
  <cols>
    <col min="1" max="1" width="4.625" customWidth="1"/>
    <col min="2" max="2" width="30.75" customWidth="1"/>
  </cols>
  <sheetData>
    <row r="1" spans="1:34" x14ac:dyDescent="0.2">
      <c r="A1" s="1">
        <v>1</v>
      </c>
      <c r="B1" t="str">
        <f>'Calculation on 58MW'!B1</f>
        <v>SoKentuckyAmend3-2017 58MW Var Adj.xlsx</v>
      </c>
    </row>
    <row r="2" spans="1:34" x14ac:dyDescent="0.2">
      <c r="A2" s="1">
        <f>A1+1</f>
        <v>2</v>
      </c>
      <c r="B2" t="s">
        <v>51</v>
      </c>
    </row>
    <row r="3" spans="1:34" x14ac:dyDescent="0.2">
      <c r="A3" s="1">
        <f t="shared" ref="A3:A94" si="0">A2+1</f>
        <v>3</v>
      </c>
      <c r="B3" t="s">
        <v>71</v>
      </c>
      <c r="C3" s="10">
        <v>1.2149999999999999E-3</v>
      </c>
    </row>
    <row r="4" spans="1:34" x14ac:dyDescent="0.2">
      <c r="A4" s="1">
        <f t="shared" si="0"/>
        <v>4</v>
      </c>
      <c r="C4" s="6"/>
    </row>
    <row r="5" spans="1:34" ht="15" x14ac:dyDescent="0.25">
      <c r="A5" s="1">
        <f t="shared" si="0"/>
        <v>5</v>
      </c>
      <c r="B5" s="2" t="s">
        <v>138</v>
      </c>
      <c r="C5" s="6"/>
    </row>
    <row r="6" spans="1:34" x14ac:dyDescent="0.2">
      <c r="A6" s="1">
        <f t="shared" si="0"/>
        <v>6</v>
      </c>
      <c r="AH6" s="3" t="s">
        <v>77</v>
      </c>
    </row>
    <row r="7" spans="1:34" x14ac:dyDescent="0.2">
      <c r="A7" s="1">
        <f t="shared" si="0"/>
        <v>7</v>
      </c>
      <c r="C7" s="34" t="s">
        <v>52</v>
      </c>
      <c r="D7" s="36"/>
      <c r="E7" s="34" t="s">
        <v>53</v>
      </c>
      <c r="F7" s="36"/>
      <c r="G7" s="34" t="s">
        <v>54</v>
      </c>
      <c r="H7" s="36"/>
      <c r="I7" s="34" t="s">
        <v>55</v>
      </c>
      <c r="J7" s="36"/>
      <c r="K7" s="34" t="s">
        <v>56</v>
      </c>
      <c r="L7" s="36"/>
      <c r="M7" s="34" t="s">
        <v>57</v>
      </c>
      <c r="N7" s="36"/>
      <c r="O7" s="34" t="s">
        <v>58</v>
      </c>
      <c r="P7" s="36"/>
      <c r="Q7" s="34" t="s">
        <v>59</v>
      </c>
      <c r="R7" s="36"/>
      <c r="S7" s="34" t="s">
        <v>60</v>
      </c>
      <c r="T7" s="36"/>
      <c r="U7" s="34" t="s">
        <v>61</v>
      </c>
      <c r="V7" s="36"/>
      <c r="W7" s="34" t="s">
        <v>62</v>
      </c>
      <c r="X7" s="36"/>
      <c r="Y7" s="34" t="s">
        <v>63</v>
      </c>
      <c r="Z7" s="36"/>
      <c r="AA7" s="34" t="s">
        <v>64</v>
      </c>
      <c r="AB7" s="36"/>
      <c r="AC7" s="34" t="s">
        <v>65</v>
      </c>
      <c r="AD7" s="36"/>
      <c r="AE7" s="34" t="s">
        <v>66</v>
      </c>
      <c r="AF7" s="36"/>
      <c r="AG7" s="3" t="s">
        <v>76</v>
      </c>
      <c r="AH7" s="3" t="s">
        <v>78</v>
      </c>
    </row>
    <row r="8" spans="1:34" ht="15" thickBot="1" x14ac:dyDescent="0.25">
      <c r="A8" s="1">
        <f t="shared" si="0"/>
        <v>8</v>
      </c>
      <c r="B8" s="4" t="s">
        <v>1</v>
      </c>
      <c r="C8" s="4" t="s">
        <v>67</v>
      </c>
      <c r="D8" s="4" t="s">
        <v>68</v>
      </c>
      <c r="E8" s="4" t="s">
        <v>67</v>
      </c>
      <c r="F8" s="4" t="s">
        <v>68</v>
      </c>
      <c r="G8" s="4" t="s">
        <v>67</v>
      </c>
      <c r="H8" s="4" t="s">
        <v>68</v>
      </c>
      <c r="I8" s="4" t="s">
        <v>67</v>
      </c>
      <c r="J8" s="4" t="s">
        <v>68</v>
      </c>
      <c r="K8" s="4" t="s">
        <v>67</v>
      </c>
      <c r="L8" s="4" t="s">
        <v>68</v>
      </c>
      <c r="M8" s="4" t="s">
        <v>67</v>
      </c>
      <c r="N8" s="4" t="s">
        <v>68</v>
      </c>
      <c r="O8" s="4" t="s">
        <v>67</v>
      </c>
      <c r="P8" s="4" t="s">
        <v>68</v>
      </c>
      <c r="Q8" s="4" t="s">
        <v>67</v>
      </c>
      <c r="R8" s="4" t="s">
        <v>68</v>
      </c>
      <c r="S8" s="4" t="s">
        <v>67</v>
      </c>
      <c r="T8" s="4" t="s">
        <v>68</v>
      </c>
      <c r="U8" s="4" t="s">
        <v>67</v>
      </c>
      <c r="V8" s="4" t="s">
        <v>68</v>
      </c>
      <c r="W8" s="4" t="s">
        <v>67</v>
      </c>
      <c r="X8" s="4" t="s">
        <v>68</v>
      </c>
      <c r="Y8" s="4" t="s">
        <v>67</v>
      </c>
      <c r="Z8" s="4" t="s">
        <v>68</v>
      </c>
      <c r="AA8" s="4" t="s">
        <v>67</v>
      </c>
      <c r="AB8" s="4" t="s">
        <v>68</v>
      </c>
      <c r="AC8" s="4" t="s">
        <v>67</v>
      </c>
      <c r="AD8" s="4" t="s">
        <v>68</v>
      </c>
      <c r="AE8" s="4" t="s">
        <v>67</v>
      </c>
      <c r="AF8" s="4" t="s">
        <v>68</v>
      </c>
      <c r="AG8" s="17" t="s">
        <v>68</v>
      </c>
      <c r="AH8" s="17" t="s">
        <v>79</v>
      </c>
    </row>
    <row r="9" spans="1:34" x14ac:dyDescent="0.2">
      <c r="A9" s="1">
        <f t="shared" si="0"/>
        <v>9</v>
      </c>
    </row>
    <row r="10" spans="1:34" x14ac:dyDescent="0.2">
      <c r="A10" s="1">
        <f t="shared" si="0"/>
        <v>10</v>
      </c>
      <c r="B10" s="15" t="s">
        <v>49</v>
      </c>
    </row>
    <row r="11" spans="1:34" x14ac:dyDescent="0.2">
      <c r="A11" s="1">
        <f t="shared" si="0"/>
        <v>11</v>
      </c>
      <c r="B11" t="s">
        <v>69</v>
      </c>
      <c r="C11" s="5">
        <v>1720577</v>
      </c>
      <c r="D11" s="5"/>
      <c r="E11" s="5">
        <v>9517776</v>
      </c>
      <c r="F11" s="5"/>
      <c r="G11" s="5">
        <v>3389910</v>
      </c>
      <c r="H11" s="5"/>
      <c r="I11" s="5">
        <v>3273803</v>
      </c>
      <c r="J11" s="5"/>
      <c r="K11" s="5">
        <v>3556488</v>
      </c>
      <c r="L11" s="5"/>
      <c r="M11" s="5">
        <f>5985053+1180787</f>
        <v>7165840</v>
      </c>
      <c r="N11" s="5"/>
      <c r="O11" s="5">
        <v>1843235</v>
      </c>
      <c r="P11" s="5"/>
      <c r="Q11" s="5">
        <v>3684039</v>
      </c>
      <c r="R11" s="5"/>
      <c r="S11" s="5">
        <v>6740519</v>
      </c>
      <c r="T11" s="5"/>
      <c r="U11" s="5">
        <v>1905742</v>
      </c>
      <c r="V11" s="5"/>
      <c r="W11" s="5">
        <v>5439969</v>
      </c>
      <c r="X11" s="5"/>
      <c r="Y11" s="5">
        <v>12251730</v>
      </c>
      <c r="Z11" s="5"/>
      <c r="AA11" s="5">
        <f>8059050-64532</f>
        <v>7994518</v>
      </c>
      <c r="AB11" s="5"/>
      <c r="AC11" s="5">
        <v>3333411</v>
      </c>
      <c r="AD11" s="5"/>
      <c r="AE11" s="5">
        <v>3806666</v>
      </c>
      <c r="AF11" s="5"/>
    </row>
    <row r="12" spans="1:34" x14ac:dyDescent="0.2">
      <c r="A12" s="1">
        <f t="shared" si="0"/>
        <v>12</v>
      </c>
      <c r="B12" t="s">
        <v>70</v>
      </c>
      <c r="C12" s="5">
        <v>286164</v>
      </c>
      <c r="D12" s="5"/>
      <c r="E12" s="5">
        <v>1582867</v>
      </c>
      <c r="F12" s="5"/>
      <c r="G12" s="5">
        <v>563807</v>
      </c>
      <c r="H12" s="5"/>
      <c r="I12" s="5">
        <v>544496</v>
      </c>
      <c r="J12" s="5"/>
      <c r="K12" s="5">
        <v>591515</v>
      </c>
      <c r="L12" s="5"/>
      <c r="M12" s="5">
        <f>955419+199853</f>
        <v>1155272</v>
      </c>
      <c r="N12" s="5"/>
      <c r="O12" s="5">
        <v>306568</v>
      </c>
      <c r="P12" s="5"/>
      <c r="Q12" s="5">
        <v>612728</v>
      </c>
      <c r="R12" s="5"/>
      <c r="S12" s="5">
        <v>1121078</v>
      </c>
      <c r="T12" s="5"/>
      <c r="U12" s="5">
        <v>316962</v>
      </c>
      <c r="V12" s="5"/>
      <c r="W12" s="5">
        <v>904679</v>
      </c>
      <c r="X12" s="5"/>
      <c r="Y12" s="5">
        <v>2039652</v>
      </c>
      <c r="Z12" s="5"/>
      <c r="AA12" s="5">
        <f>1340372-10733</f>
        <v>1329639</v>
      </c>
      <c r="AB12" s="5"/>
      <c r="AC12" s="5">
        <v>554410</v>
      </c>
      <c r="AD12" s="5"/>
      <c r="AE12" s="5">
        <v>614783</v>
      </c>
      <c r="AF12" s="5"/>
    </row>
    <row r="13" spans="1:34" x14ac:dyDescent="0.2">
      <c r="A13" s="1">
        <f t="shared" si="0"/>
        <v>13</v>
      </c>
      <c r="B13" t="s">
        <v>140</v>
      </c>
      <c r="C13" s="5">
        <f>C11-C12</f>
        <v>1434413</v>
      </c>
      <c r="D13" s="5"/>
      <c r="E13" s="5">
        <f>E11-E12</f>
        <v>7934909</v>
      </c>
      <c r="F13" s="5"/>
      <c r="G13" s="5">
        <f>G11-G12</f>
        <v>2826103</v>
      </c>
      <c r="H13" s="5"/>
      <c r="I13" s="5">
        <f>I11-I12</f>
        <v>2729307</v>
      </c>
      <c r="J13" s="5"/>
      <c r="K13" s="5">
        <f>K11-K12</f>
        <v>2964973</v>
      </c>
      <c r="L13" s="5"/>
      <c r="M13" s="5">
        <f>M11-M12</f>
        <v>6010568</v>
      </c>
      <c r="N13" s="5"/>
      <c r="O13" s="5">
        <f>O11-O12</f>
        <v>1536667</v>
      </c>
      <c r="P13" s="5"/>
      <c r="Q13" s="5">
        <f>Q11-Q12</f>
        <v>3071311</v>
      </c>
      <c r="R13" s="5"/>
      <c r="S13" s="5">
        <f>S11-S12</f>
        <v>5619441</v>
      </c>
      <c r="T13" s="5"/>
      <c r="U13" s="5">
        <f>U11-U12</f>
        <v>1588780</v>
      </c>
      <c r="V13" s="5"/>
      <c r="W13" s="5">
        <f>W11-W12</f>
        <v>4535290</v>
      </c>
      <c r="X13" s="5"/>
      <c r="Y13" s="5">
        <f>Y11-Y12</f>
        <v>10212078</v>
      </c>
      <c r="Z13" s="5"/>
      <c r="AA13" s="5">
        <f>AA11-AA12</f>
        <v>6664879</v>
      </c>
      <c r="AB13" s="5"/>
      <c r="AC13" s="5">
        <f>AC11-AC12</f>
        <v>2779001</v>
      </c>
      <c r="AD13" s="5"/>
      <c r="AE13" s="5">
        <f>AE11-AE12</f>
        <v>3191883</v>
      </c>
      <c r="AF13" s="5"/>
    </row>
    <row r="14" spans="1:34" x14ac:dyDescent="0.2">
      <c r="A14" s="1">
        <f t="shared" si="0"/>
        <v>14</v>
      </c>
      <c r="B14" t="s">
        <v>160</v>
      </c>
      <c r="C14" s="5">
        <f>'FAC Recalc'!D49</f>
        <v>6847</v>
      </c>
      <c r="D14" s="5"/>
      <c r="E14" s="5">
        <f>'FAC Recalc'!F49</f>
        <v>38500</v>
      </c>
      <c r="F14" s="5"/>
      <c r="G14" s="5">
        <f>'FAC Recalc'!H49</f>
        <v>13324</v>
      </c>
      <c r="H14" s="5"/>
      <c r="I14" s="5">
        <f>'FAC Recalc'!J49</f>
        <v>13211</v>
      </c>
      <c r="J14" s="5"/>
      <c r="K14" s="5">
        <f>'FAC Recalc'!L49</f>
        <v>14256</v>
      </c>
      <c r="L14" s="5"/>
      <c r="M14" s="5">
        <f>'FAC Recalc'!N49</f>
        <v>29252</v>
      </c>
      <c r="N14" s="5"/>
      <c r="O14" s="5">
        <f>'FAC Recalc'!P49</f>
        <v>7383</v>
      </c>
      <c r="P14" s="5"/>
      <c r="Q14" s="5">
        <f>'FAC Recalc'!R49</f>
        <v>14539</v>
      </c>
      <c r="R14" s="5"/>
      <c r="S14" s="5">
        <f>'FAC Recalc'!T49</f>
        <v>27004</v>
      </c>
      <c r="T14" s="5"/>
      <c r="U14" s="5">
        <f>'FAC Recalc'!V49</f>
        <v>7602</v>
      </c>
      <c r="V14" s="5"/>
      <c r="W14" s="5">
        <f>'FAC Recalc'!X49</f>
        <v>21771</v>
      </c>
      <c r="X14" s="5"/>
      <c r="Y14" s="5">
        <f>'FAC Recalc'!Z49</f>
        <v>57475</v>
      </c>
      <c r="Z14" s="5"/>
      <c r="AA14" s="5">
        <f>'FAC Recalc'!AB49</f>
        <v>32214</v>
      </c>
      <c r="AB14" s="5"/>
      <c r="AC14" s="5">
        <f>'FAC Recalc'!AD49</f>
        <v>13782</v>
      </c>
      <c r="AD14" s="5"/>
      <c r="AE14" s="5">
        <f>'FAC Recalc'!AF49</f>
        <v>13516</v>
      </c>
      <c r="AF14" s="5"/>
    </row>
    <row r="15" spans="1:34" x14ac:dyDescent="0.2">
      <c r="A15" s="1">
        <f t="shared" si="0"/>
        <v>15</v>
      </c>
      <c r="B15" t="s">
        <v>161</v>
      </c>
      <c r="C15" s="5">
        <f>'Demand-Energy Alloc - After'!D17</f>
        <v>8488</v>
      </c>
      <c r="D15" s="5"/>
      <c r="E15" s="5">
        <f>'Demand-Energy Alloc - After'!E17</f>
        <v>42517</v>
      </c>
      <c r="F15" s="5"/>
      <c r="G15" s="5">
        <f>'Demand-Energy Alloc - After'!F17</f>
        <v>17262</v>
      </c>
      <c r="H15" s="5"/>
      <c r="I15" s="5">
        <f>'Demand-Energy Alloc - After'!G17</f>
        <v>15527</v>
      </c>
      <c r="J15" s="5"/>
      <c r="K15" s="5">
        <f>'Demand-Energy Alloc - After'!H17</f>
        <v>16494</v>
      </c>
      <c r="L15" s="5"/>
      <c r="M15" s="5">
        <f>'Demand-Energy Alloc - After'!I17</f>
        <v>16557</v>
      </c>
      <c r="N15" s="5"/>
      <c r="O15" s="5">
        <f>'Demand-Energy Alloc - After'!J17</f>
        <v>8286</v>
      </c>
      <c r="P15" s="5"/>
      <c r="Q15" s="5">
        <f>'Demand-Energy Alloc - After'!K17</f>
        <v>17556</v>
      </c>
      <c r="R15" s="5"/>
      <c r="S15" s="5">
        <f>'Demand-Energy Alloc - After'!L17</f>
        <v>31582</v>
      </c>
      <c r="T15" s="5"/>
      <c r="U15" s="5">
        <f>'Demand-Energy Alloc - After'!M17</f>
        <v>9420</v>
      </c>
      <c r="V15" s="5"/>
      <c r="W15" s="5">
        <f>'Demand-Energy Alloc - After'!N17</f>
        <v>25737</v>
      </c>
      <c r="X15" s="5"/>
      <c r="Y15" s="5">
        <f>'Demand-Energy Alloc - After'!O17</f>
        <v>34773</v>
      </c>
      <c r="Z15" s="5"/>
      <c r="AA15" s="5">
        <f>'Demand-Energy Alloc - After'!P17</f>
        <v>37186</v>
      </c>
      <c r="AB15" s="5"/>
      <c r="AC15" s="5">
        <f>'Demand-Energy Alloc - After'!Q17</f>
        <v>12301</v>
      </c>
      <c r="AD15" s="5"/>
      <c r="AE15" s="5">
        <f>'Demand-Energy Alloc - After'!R17</f>
        <v>17755</v>
      </c>
      <c r="AF15" s="5"/>
    </row>
    <row r="16" spans="1:34" x14ac:dyDescent="0.2">
      <c r="A16" s="1">
        <f t="shared" si="0"/>
        <v>16</v>
      </c>
      <c r="B16" t="s">
        <v>162</v>
      </c>
      <c r="C16" s="5">
        <f>'Demand-Energy Alloc - After'!D18</f>
        <v>22848</v>
      </c>
      <c r="D16" s="5"/>
      <c r="E16" s="5">
        <f>'Demand-Energy Alloc - After'!E18</f>
        <v>108361</v>
      </c>
      <c r="F16" s="5"/>
      <c r="G16" s="5">
        <f>'Demand-Energy Alloc - After'!F18</f>
        <v>45396</v>
      </c>
      <c r="H16" s="5"/>
      <c r="I16" s="5">
        <f>'Demand-Energy Alloc - After'!G18</f>
        <v>45006</v>
      </c>
      <c r="J16" s="5"/>
      <c r="K16" s="5">
        <f>'Demand-Energy Alloc - After'!H18</f>
        <v>44315</v>
      </c>
      <c r="L16" s="5"/>
      <c r="M16" s="5">
        <f>'Demand-Energy Alloc - After'!I18</f>
        <v>44688</v>
      </c>
      <c r="N16" s="5"/>
      <c r="O16" s="5">
        <f>'Demand-Energy Alloc - After'!J18</f>
        <v>22703</v>
      </c>
      <c r="P16" s="5"/>
      <c r="Q16" s="5">
        <f>'Demand-Energy Alloc - After'!K18</f>
        <v>44651</v>
      </c>
      <c r="R16" s="5"/>
      <c r="S16" s="5">
        <f>'Demand-Energy Alloc - After'!L18</f>
        <v>86839</v>
      </c>
      <c r="T16" s="5"/>
      <c r="U16" s="5">
        <f>'Demand-Energy Alloc - After'!M18</f>
        <v>25902</v>
      </c>
      <c r="V16" s="5"/>
      <c r="W16" s="5">
        <f>'Demand-Energy Alloc - After'!N18</f>
        <v>62328</v>
      </c>
      <c r="X16" s="5"/>
      <c r="Y16" s="5">
        <f>'Demand-Energy Alloc - After'!O18</f>
        <v>101181</v>
      </c>
      <c r="Z16" s="5"/>
      <c r="AA16" s="5">
        <f>'Demand-Energy Alloc - After'!P18</f>
        <v>99590</v>
      </c>
      <c r="AB16" s="5"/>
      <c r="AC16" s="5">
        <f>'Demand-Energy Alloc - After'!Q18</f>
        <v>33654</v>
      </c>
      <c r="AD16" s="5"/>
      <c r="AE16" s="5">
        <f>'Demand-Energy Alloc - After'!R18</f>
        <v>45087</v>
      </c>
      <c r="AF16" s="5"/>
    </row>
    <row r="17" spans="1:34" x14ac:dyDescent="0.2">
      <c r="A17" s="1">
        <f t="shared" si="0"/>
        <v>17</v>
      </c>
      <c r="B17" t="s">
        <v>163</v>
      </c>
      <c r="C17" s="5">
        <f>SUM(C13:C16)</f>
        <v>1472596</v>
      </c>
      <c r="D17" s="5"/>
      <c r="E17" s="5">
        <f>SUM(E13:E16)</f>
        <v>8124287</v>
      </c>
      <c r="F17" s="5"/>
      <c r="G17" s="5">
        <f>SUM(G13:G16)</f>
        <v>2902085</v>
      </c>
      <c r="H17" s="5"/>
      <c r="I17" s="5">
        <f>SUM(I13:I16)</f>
        <v>2803051</v>
      </c>
      <c r="J17" s="5"/>
      <c r="K17" s="5">
        <f>SUM(K13:K16)</f>
        <v>3040038</v>
      </c>
      <c r="L17" s="5"/>
      <c r="M17" s="5">
        <f>SUM(M13:M16)</f>
        <v>6101065</v>
      </c>
      <c r="N17" s="5"/>
      <c r="O17" s="5">
        <f>SUM(O13:O16)</f>
        <v>1575039</v>
      </c>
      <c r="P17" s="5"/>
      <c r="Q17" s="5">
        <f>SUM(Q13:Q16)</f>
        <v>3148057</v>
      </c>
      <c r="R17" s="5"/>
      <c r="S17" s="5">
        <f>SUM(S13:S16)</f>
        <v>5764866</v>
      </c>
      <c r="T17" s="5"/>
      <c r="U17" s="5">
        <f>SUM(U13:U16)</f>
        <v>1631704</v>
      </c>
      <c r="V17" s="5"/>
      <c r="W17" s="5">
        <f>SUM(W13:W16)</f>
        <v>4645126</v>
      </c>
      <c r="X17" s="5"/>
      <c r="Y17" s="5">
        <f>SUM(Y13:Y16)</f>
        <v>10405507</v>
      </c>
      <c r="Z17" s="5"/>
      <c r="AA17" s="5">
        <f>SUM(AA13:AA16)</f>
        <v>6833869</v>
      </c>
      <c r="AB17" s="5"/>
      <c r="AC17" s="5">
        <f>SUM(AC13:AC16)</f>
        <v>2838738</v>
      </c>
      <c r="AD17" s="5"/>
      <c r="AE17" s="5">
        <f>SUM(AE13:AE16)</f>
        <v>3268241</v>
      </c>
      <c r="AF17" s="5"/>
    </row>
    <row r="18" spans="1:34" x14ac:dyDescent="0.2">
      <c r="A18" s="1">
        <f t="shared" si="0"/>
        <v>18</v>
      </c>
      <c r="B18" t="s">
        <v>72</v>
      </c>
      <c r="C18" s="6">
        <f>0.1995+C3</f>
        <v>0.200715</v>
      </c>
      <c r="D18" s="10"/>
      <c r="E18" s="6">
        <f>C18</f>
        <v>0.200715</v>
      </c>
      <c r="F18" s="6"/>
      <c r="G18" s="6">
        <f>E18</f>
        <v>0.200715</v>
      </c>
      <c r="H18" s="6"/>
      <c r="I18" s="6">
        <f t="shared" ref="I18" si="1">G18</f>
        <v>0.200715</v>
      </c>
      <c r="J18" s="6"/>
      <c r="K18" s="6">
        <f t="shared" ref="K18" si="2">I18</f>
        <v>0.200715</v>
      </c>
      <c r="L18" s="6"/>
      <c r="M18" s="6">
        <f t="shared" ref="M18" si="3">K18</f>
        <v>0.200715</v>
      </c>
      <c r="N18" s="6"/>
      <c r="O18" s="6">
        <f t="shared" ref="O18" si="4">M18</f>
        <v>0.200715</v>
      </c>
      <c r="P18" s="6"/>
      <c r="Q18" s="6">
        <f t="shared" ref="Q18" si="5">O18</f>
        <v>0.200715</v>
      </c>
      <c r="R18" s="6"/>
      <c r="S18" s="6">
        <f t="shared" ref="S18" si="6">Q18</f>
        <v>0.200715</v>
      </c>
      <c r="T18" s="6"/>
      <c r="U18" s="6">
        <f t="shared" ref="U18" si="7">S18</f>
        <v>0.200715</v>
      </c>
      <c r="V18" s="6"/>
      <c r="W18" s="6">
        <f t="shared" ref="W18" si="8">U18</f>
        <v>0.200715</v>
      </c>
      <c r="X18" s="6"/>
      <c r="Y18" s="6">
        <f t="shared" ref="Y18" si="9">W18</f>
        <v>0.200715</v>
      </c>
      <c r="Z18" s="6"/>
      <c r="AA18" s="6">
        <f t="shared" ref="AA18" si="10">Y18</f>
        <v>0.200715</v>
      </c>
      <c r="AB18" s="6"/>
      <c r="AC18" s="6">
        <f t="shared" ref="AC18" si="11">AA18</f>
        <v>0.200715</v>
      </c>
      <c r="AD18" s="6"/>
      <c r="AE18" s="6">
        <f t="shared" ref="AE18" si="12">AC18</f>
        <v>0.200715</v>
      </c>
      <c r="AF18" s="6"/>
    </row>
    <row r="19" spans="1:34" x14ac:dyDescent="0.2">
      <c r="A19" s="1">
        <f t="shared" si="0"/>
        <v>19</v>
      </c>
      <c r="B19" t="s">
        <v>73</v>
      </c>
      <c r="C19" s="5">
        <f>ROUND(C17*C18,0)</f>
        <v>295572</v>
      </c>
      <c r="D19" s="5"/>
      <c r="E19" s="5">
        <f>ROUND(E17*E18,0)</f>
        <v>1630666</v>
      </c>
      <c r="F19" s="5"/>
      <c r="G19" s="5">
        <f>ROUND(G17*G18,0)</f>
        <v>582492</v>
      </c>
      <c r="H19" s="5"/>
      <c r="I19" s="5">
        <f>ROUND(I17*I18,0)</f>
        <v>562614</v>
      </c>
      <c r="J19" s="5"/>
      <c r="K19" s="5">
        <f>ROUND(K17*K18,0)</f>
        <v>610181</v>
      </c>
      <c r="L19" s="5"/>
      <c r="M19" s="5">
        <f>ROUND(M17*M18,0)</f>
        <v>1224575</v>
      </c>
      <c r="N19" s="5"/>
      <c r="O19" s="5">
        <f>ROUND(O17*O18,0)</f>
        <v>316134</v>
      </c>
      <c r="P19" s="5"/>
      <c r="Q19" s="5">
        <f>ROUND(Q17*Q18,0)</f>
        <v>631862</v>
      </c>
      <c r="R19" s="5"/>
      <c r="S19" s="5">
        <f>ROUND(S17*S18,0)</f>
        <v>1157095</v>
      </c>
      <c r="T19" s="5"/>
      <c r="U19" s="5">
        <f>ROUND(U17*U18,0)</f>
        <v>327507</v>
      </c>
      <c r="V19" s="5"/>
      <c r="W19" s="5">
        <f>ROUND(W17*W18,0)</f>
        <v>932346</v>
      </c>
      <c r="X19" s="5"/>
      <c r="Y19" s="5">
        <f>ROUND(Y17*Y18,0)</f>
        <v>2088541</v>
      </c>
      <c r="Z19" s="5"/>
      <c r="AA19" s="5">
        <f>ROUND(AA17*AA18,0)</f>
        <v>1371660</v>
      </c>
      <c r="AB19" s="5"/>
      <c r="AC19" s="5">
        <f>ROUND(AC17*AC18,0)</f>
        <v>569777</v>
      </c>
      <c r="AD19" s="5"/>
      <c r="AE19" s="5">
        <f>ROUND(AE17*AE18,0)</f>
        <v>655985</v>
      </c>
      <c r="AF19" s="5"/>
    </row>
    <row r="20" spans="1:34" x14ac:dyDescent="0.2">
      <c r="A20" s="1">
        <f t="shared" si="0"/>
        <v>20</v>
      </c>
      <c r="B20" t="s">
        <v>74</v>
      </c>
      <c r="C20" s="5"/>
      <c r="D20" s="5">
        <f>C19-C12</f>
        <v>9408</v>
      </c>
      <c r="E20" s="5"/>
      <c r="F20" s="5">
        <f>E19-E12</f>
        <v>47799</v>
      </c>
      <c r="G20" s="5"/>
      <c r="H20" s="5">
        <f>G19-G12</f>
        <v>18685</v>
      </c>
      <c r="I20" s="5"/>
      <c r="J20" s="5">
        <f>I19-I12</f>
        <v>18118</v>
      </c>
      <c r="K20" s="5"/>
      <c r="L20" s="5">
        <f>K19-K12</f>
        <v>18666</v>
      </c>
      <c r="M20" s="5"/>
      <c r="N20" s="5">
        <f>M19-M12</f>
        <v>69303</v>
      </c>
      <c r="O20" s="5"/>
      <c r="P20" s="5">
        <f>O19-O12</f>
        <v>9566</v>
      </c>
      <c r="Q20" s="5"/>
      <c r="R20" s="5">
        <f>Q19-Q12</f>
        <v>19134</v>
      </c>
      <c r="S20" s="5"/>
      <c r="T20" s="5">
        <f>S19-S12</f>
        <v>36017</v>
      </c>
      <c r="U20" s="5"/>
      <c r="V20" s="5">
        <f>U19-U12</f>
        <v>10545</v>
      </c>
      <c r="W20" s="5"/>
      <c r="X20" s="5">
        <f>W19-W12</f>
        <v>27667</v>
      </c>
      <c r="Y20" s="5"/>
      <c r="Z20" s="5">
        <f>Y19-Y12</f>
        <v>48889</v>
      </c>
      <c r="AA20" s="5"/>
      <c r="AB20" s="5">
        <f>AA19-AA12</f>
        <v>42021</v>
      </c>
      <c r="AC20" s="5"/>
      <c r="AD20" s="5">
        <f>AC19-AC12</f>
        <v>15367</v>
      </c>
      <c r="AE20" s="5"/>
      <c r="AF20" s="5">
        <f>AE19-AE12</f>
        <v>41202</v>
      </c>
      <c r="AG20" s="5">
        <f>SUM(D20:AF20)</f>
        <v>432387</v>
      </c>
      <c r="AH20" s="5">
        <f>-'Billing Impact'!G77</f>
        <v>450767</v>
      </c>
    </row>
    <row r="21" spans="1:34" x14ac:dyDescent="0.2">
      <c r="A21" s="1">
        <f t="shared" si="0"/>
        <v>21</v>
      </c>
    </row>
    <row r="22" spans="1:34" x14ac:dyDescent="0.2">
      <c r="A22" s="1">
        <f t="shared" si="0"/>
        <v>22</v>
      </c>
      <c r="B22" s="16" t="s">
        <v>12</v>
      </c>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row>
    <row r="23" spans="1:34" x14ac:dyDescent="0.2">
      <c r="A23" s="1">
        <f t="shared" si="0"/>
        <v>23</v>
      </c>
      <c r="B23" t="s">
        <v>69</v>
      </c>
      <c r="C23" s="5">
        <v>1628835</v>
      </c>
      <c r="D23" s="5"/>
      <c r="E23" s="5">
        <v>9364083</v>
      </c>
      <c r="F23" s="5"/>
      <c r="G23" s="5">
        <v>3237823</v>
      </c>
      <c r="H23" s="5"/>
      <c r="I23" s="5">
        <v>3158097</v>
      </c>
      <c r="J23" s="5"/>
      <c r="K23" s="5">
        <v>3447937</v>
      </c>
      <c r="L23" s="5"/>
      <c r="M23" s="5">
        <f>5672731+1152784</f>
        <v>6825515</v>
      </c>
      <c r="N23" s="5"/>
      <c r="O23" s="5">
        <v>1753741</v>
      </c>
      <c r="P23" s="5"/>
      <c r="Q23" s="5">
        <v>3626768</v>
      </c>
      <c r="R23" s="5"/>
      <c r="S23" s="5">
        <v>6531605</v>
      </c>
      <c r="T23" s="5"/>
      <c r="U23" s="5">
        <v>1783585</v>
      </c>
      <c r="V23" s="5"/>
      <c r="W23" s="5">
        <v>5348536</v>
      </c>
      <c r="X23" s="5"/>
      <c r="Y23" s="5">
        <v>12062283</v>
      </c>
      <c r="Z23" s="5"/>
      <c r="AA23" s="5">
        <f>7791438-60640</f>
        <v>7730798</v>
      </c>
      <c r="AB23" s="5"/>
      <c r="AC23" s="5">
        <v>3272559</v>
      </c>
      <c r="AD23" s="5"/>
      <c r="AE23" s="5">
        <v>3729074</v>
      </c>
      <c r="AF23" s="5"/>
    </row>
    <row r="24" spans="1:34" x14ac:dyDescent="0.2">
      <c r="A24" s="1">
        <f t="shared" si="0"/>
        <v>24</v>
      </c>
      <c r="B24" t="s">
        <v>70</v>
      </c>
      <c r="C24" s="5">
        <v>235715</v>
      </c>
      <c r="D24" s="5"/>
      <c r="E24" s="5">
        <v>1355117</v>
      </c>
      <c r="F24" s="5"/>
      <c r="G24" s="5">
        <v>468559</v>
      </c>
      <c r="H24" s="5"/>
      <c r="I24" s="5">
        <v>457021</v>
      </c>
      <c r="J24" s="5"/>
      <c r="K24" s="5">
        <v>498967</v>
      </c>
      <c r="L24" s="5"/>
      <c r="M24" s="5">
        <f>169839+790883</f>
        <v>960722</v>
      </c>
      <c r="N24" s="5"/>
      <c r="O24" s="5">
        <v>253791</v>
      </c>
      <c r="P24" s="5"/>
      <c r="Q24" s="5">
        <v>524846</v>
      </c>
      <c r="R24" s="5"/>
      <c r="S24" s="5">
        <v>945215</v>
      </c>
      <c r="T24" s="5"/>
      <c r="U24" s="5">
        <v>258111</v>
      </c>
      <c r="V24" s="5"/>
      <c r="W24" s="5">
        <v>774009</v>
      </c>
      <c r="X24" s="5"/>
      <c r="Y24" s="5">
        <v>1756078</v>
      </c>
      <c r="Z24" s="5"/>
      <c r="AA24" s="5">
        <f>1127532-8776</f>
        <v>1118756</v>
      </c>
      <c r="AB24" s="5"/>
      <c r="AC24" s="5">
        <v>473588</v>
      </c>
      <c r="AD24" s="5"/>
      <c r="AE24" s="5">
        <v>520563</v>
      </c>
      <c r="AF24" s="5"/>
    </row>
    <row r="25" spans="1:34" x14ac:dyDescent="0.2">
      <c r="A25" s="1">
        <f t="shared" si="0"/>
        <v>25</v>
      </c>
      <c r="B25" t="s">
        <v>140</v>
      </c>
      <c r="C25" s="5">
        <f>C23-C24</f>
        <v>1393120</v>
      </c>
      <c r="D25" s="5"/>
      <c r="E25" s="5">
        <f>E23-E24</f>
        <v>8008966</v>
      </c>
      <c r="F25" s="5"/>
      <c r="G25" s="5">
        <f>G23-G24</f>
        <v>2769264</v>
      </c>
      <c r="H25" s="5"/>
      <c r="I25" s="5">
        <f>I23-I24</f>
        <v>2701076</v>
      </c>
      <c r="J25" s="5"/>
      <c r="K25" s="5">
        <f>K23-K24</f>
        <v>2948970</v>
      </c>
      <c r="L25" s="5"/>
      <c r="M25" s="5">
        <f>M23-M24</f>
        <v>5864793</v>
      </c>
      <c r="N25" s="5"/>
      <c r="O25" s="5">
        <f>O23-O24</f>
        <v>1499950</v>
      </c>
      <c r="P25" s="5"/>
      <c r="Q25" s="5">
        <f>Q23-Q24</f>
        <v>3101922</v>
      </c>
      <c r="R25" s="5"/>
      <c r="S25" s="5">
        <f>S23-S24</f>
        <v>5586390</v>
      </c>
      <c r="T25" s="5"/>
      <c r="U25" s="5">
        <f>U23-U24</f>
        <v>1525474</v>
      </c>
      <c r="V25" s="5"/>
      <c r="W25" s="5">
        <f>W23-W24</f>
        <v>4574527</v>
      </c>
      <c r="X25" s="5"/>
      <c r="Y25" s="5">
        <f>Y23-Y24</f>
        <v>10306205</v>
      </c>
      <c r="Z25" s="5"/>
      <c r="AA25" s="5">
        <f>AA23-AA24</f>
        <v>6612042</v>
      </c>
      <c r="AB25" s="5"/>
      <c r="AC25" s="5">
        <f>AC23-AC24</f>
        <v>2798971</v>
      </c>
      <c r="AD25" s="5"/>
      <c r="AE25" s="5">
        <f>AE23-AE24</f>
        <v>3208511</v>
      </c>
      <c r="AF25" s="5"/>
    </row>
    <row r="26" spans="1:34" x14ac:dyDescent="0.2">
      <c r="A26" s="1">
        <f t="shared" si="0"/>
        <v>26</v>
      </c>
      <c r="B26" t="s">
        <v>160</v>
      </c>
      <c r="C26" s="5">
        <f>'FAC Recalc'!D57</f>
        <v>453</v>
      </c>
      <c r="D26" s="5"/>
      <c r="E26" s="5">
        <f>'FAC Recalc'!F57</f>
        <v>2657</v>
      </c>
      <c r="F26" s="5"/>
      <c r="G26" s="5">
        <f>'FAC Recalc'!H57</f>
        <v>889</v>
      </c>
      <c r="H26" s="5"/>
      <c r="I26" s="5">
        <f>'FAC Recalc'!J57</f>
        <v>878</v>
      </c>
      <c r="J26" s="5"/>
      <c r="K26" s="5">
        <f>'FAC Recalc'!L57</f>
        <v>973</v>
      </c>
      <c r="L26" s="5"/>
      <c r="M26" s="5">
        <f>'FAC Recalc'!N57</f>
        <v>1988</v>
      </c>
      <c r="N26" s="5"/>
      <c r="O26" s="5">
        <f>'FAC Recalc'!P57</f>
        <v>492</v>
      </c>
      <c r="P26" s="5"/>
      <c r="Q26" s="5">
        <f>'FAC Recalc'!R57</f>
        <v>985</v>
      </c>
      <c r="R26" s="5"/>
      <c r="S26" s="5">
        <f>'FAC Recalc'!T57</f>
        <v>1800</v>
      </c>
      <c r="T26" s="5"/>
      <c r="U26" s="5">
        <f>'FAC Recalc'!V57</f>
        <v>504</v>
      </c>
      <c r="V26" s="5"/>
      <c r="W26" s="5">
        <f>'FAC Recalc'!X57</f>
        <v>1496</v>
      </c>
      <c r="X26" s="5"/>
      <c r="Y26" s="5">
        <f>'FAC Recalc'!Z57</f>
        <v>4136</v>
      </c>
      <c r="Z26" s="5"/>
      <c r="AA26" s="5">
        <f>'FAC Recalc'!AB57</f>
        <v>2194</v>
      </c>
      <c r="AB26" s="5"/>
      <c r="AC26" s="5">
        <f>'FAC Recalc'!AD57</f>
        <v>965</v>
      </c>
      <c r="AD26" s="5"/>
      <c r="AE26" s="5">
        <f>'FAC Recalc'!AF57</f>
        <v>924</v>
      </c>
      <c r="AF26" s="5"/>
    </row>
    <row r="27" spans="1:34" x14ac:dyDescent="0.2">
      <c r="A27" s="1">
        <f t="shared" si="0"/>
        <v>27</v>
      </c>
      <c r="B27" t="s">
        <v>161</v>
      </c>
      <c r="C27" s="5">
        <f>'Demand-Energy Alloc - After'!D26</f>
        <v>8261</v>
      </c>
      <c r="D27" s="5"/>
      <c r="E27" s="5">
        <f>'Demand-Energy Alloc - After'!E26</f>
        <v>42936</v>
      </c>
      <c r="F27" s="5"/>
      <c r="G27" s="5">
        <f>'Demand-Energy Alloc - After'!F26</f>
        <v>16683</v>
      </c>
      <c r="H27" s="5"/>
      <c r="I27" s="5">
        <f>'Demand-Energy Alloc - After'!G26</f>
        <v>16100</v>
      </c>
      <c r="J27" s="5"/>
      <c r="K27" s="5">
        <f>'Demand-Energy Alloc - After'!H26</f>
        <v>16194</v>
      </c>
      <c r="L27" s="5"/>
      <c r="M27" s="5">
        <f>'Demand-Energy Alloc - After'!I26</f>
        <v>15150</v>
      </c>
      <c r="N27" s="5"/>
      <c r="O27" s="5">
        <f>'Demand-Energy Alloc - After'!J26</f>
        <v>7971</v>
      </c>
      <c r="P27" s="5"/>
      <c r="Q27" s="5">
        <f>'Demand-Energy Alloc - After'!K26</f>
        <v>19001</v>
      </c>
      <c r="R27" s="5"/>
      <c r="S27" s="5">
        <f>'Demand-Energy Alloc - After'!L26</f>
        <v>32989</v>
      </c>
      <c r="T27" s="5"/>
      <c r="U27" s="5">
        <f>'Demand-Energy Alloc - After'!M26</f>
        <v>8614</v>
      </c>
      <c r="V27" s="5"/>
      <c r="W27" s="5">
        <f>'Demand-Energy Alloc - After'!N26</f>
        <v>26170</v>
      </c>
      <c r="X27" s="5"/>
      <c r="Y27" s="5">
        <f>'Demand-Energy Alloc - After'!O26</f>
        <v>31442</v>
      </c>
      <c r="Z27" s="5"/>
      <c r="AA27" s="5">
        <f>'Demand-Energy Alloc - After'!P26</f>
        <v>36149</v>
      </c>
      <c r="AB27" s="5"/>
      <c r="AC27" s="5">
        <f>'Demand-Energy Alloc - After'!Q26</f>
        <v>11854</v>
      </c>
      <c r="AD27" s="5"/>
      <c r="AE27" s="5">
        <f>'Demand-Energy Alloc - After'!R26</f>
        <v>18128</v>
      </c>
      <c r="AF27" s="5"/>
    </row>
    <row r="28" spans="1:34" x14ac:dyDescent="0.2">
      <c r="A28" s="1">
        <f t="shared" si="0"/>
        <v>28</v>
      </c>
      <c r="B28" t="s">
        <v>162</v>
      </c>
      <c r="C28" s="5">
        <f>'Demand-Energy Alloc - After'!D27</f>
        <v>24227</v>
      </c>
      <c r="D28" s="5"/>
      <c r="E28" s="5">
        <f>'Demand-Energy Alloc - After'!E27</f>
        <v>117701</v>
      </c>
      <c r="F28" s="5"/>
      <c r="G28" s="5">
        <f>'Demand-Energy Alloc - After'!F27</f>
        <v>48824</v>
      </c>
      <c r="H28" s="5"/>
      <c r="I28" s="5">
        <f>'Demand-Energy Alloc - After'!G27</f>
        <v>48112</v>
      </c>
      <c r="J28" s="5"/>
      <c r="K28" s="5">
        <f>'Demand-Energy Alloc - After'!H27</f>
        <v>47488</v>
      </c>
      <c r="L28" s="5"/>
      <c r="M28" s="5">
        <f>'Demand-Energy Alloc - After'!I27</f>
        <v>49078</v>
      </c>
      <c r="N28" s="5"/>
      <c r="O28" s="5">
        <f>'Demand-Energy Alloc - After'!J27</f>
        <v>24383</v>
      </c>
      <c r="P28" s="5"/>
      <c r="Q28" s="5">
        <f>'Demand-Energy Alloc - After'!K27</f>
        <v>47732</v>
      </c>
      <c r="R28" s="5"/>
      <c r="S28" s="5">
        <f>'Demand-Energy Alloc - After'!L27</f>
        <v>92636</v>
      </c>
      <c r="T28" s="5"/>
      <c r="U28" s="5">
        <f>'Demand-Energy Alloc - After'!M27</f>
        <v>27631</v>
      </c>
      <c r="V28" s="5"/>
      <c r="W28" s="5">
        <f>'Demand-Energy Alloc - After'!N27</f>
        <v>66956</v>
      </c>
      <c r="X28" s="5"/>
      <c r="Y28" s="5">
        <f>'Demand-Energy Alloc - After'!O27</f>
        <v>109626</v>
      </c>
      <c r="Z28" s="5"/>
      <c r="AA28" s="5">
        <f>'Demand-Energy Alloc - After'!P27</f>
        <v>107704</v>
      </c>
      <c r="AB28" s="5"/>
      <c r="AC28" s="5">
        <f>'Demand-Energy Alloc - After'!Q27</f>
        <v>36604</v>
      </c>
      <c r="AD28" s="5"/>
      <c r="AE28" s="5">
        <f>'Demand-Energy Alloc - After'!R27</f>
        <v>48230</v>
      </c>
      <c r="AF28" s="5"/>
    </row>
    <row r="29" spans="1:34" x14ac:dyDescent="0.2">
      <c r="A29" s="1">
        <f t="shared" si="0"/>
        <v>29</v>
      </c>
      <c r="B29" t="s">
        <v>163</v>
      </c>
      <c r="C29" s="5">
        <f>SUM(C25:C28)</f>
        <v>1426061</v>
      </c>
      <c r="D29" s="5"/>
      <c r="E29" s="5">
        <f>SUM(E25:E28)</f>
        <v>8172260</v>
      </c>
      <c r="F29" s="5"/>
      <c r="G29" s="5">
        <f t="shared" ref="G29" si="13">SUM(G25:G28)</f>
        <v>2835660</v>
      </c>
      <c r="H29" s="5"/>
      <c r="I29" s="5">
        <f t="shared" ref="I29" si="14">SUM(I25:I28)</f>
        <v>2766166</v>
      </c>
      <c r="J29" s="5"/>
      <c r="K29" s="5">
        <f t="shared" ref="K29" si="15">SUM(K25:K28)</f>
        <v>3013625</v>
      </c>
      <c r="L29" s="5"/>
      <c r="M29" s="5">
        <f t="shared" ref="M29" si="16">SUM(M25:M28)</f>
        <v>5931009</v>
      </c>
      <c r="N29" s="5"/>
      <c r="O29" s="5">
        <f t="shared" ref="O29" si="17">SUM(O25:O28)</f>
        <v>1532796</v>
      </c>
      <c r="P29" s="5"/>
      <c r="Q29" s="5">
        <f t="shared" ref="Q29" si="18">SUM(Q25:Q28)</f>
        <v>3169640</v>
      </c>
      <c r="R29" s="5"/>
      <c r="S29" s="5">
        <f t="shared" ref="S29" si="19">SUM(S25:S28)</f>
        <v>5713815</v>
      </c>
      <c r="T29" s="5"/>
      <c r="U29" s="5">
        <f t="shared" ref="U29" si="20">SUM(U25:U28)</f>
        <v>1562223</v>
      </c>
      <c r="V29" s="5"/>
      <c r="W29" s="5">
        <f t="shared" ref="W29" si="21">SUM(W25:W28)</f>
        <v>4669149</v>
      </c>
      <c r="X29" s="5"/>
      <c r="Y29" s="5">
        <f t="shared" ref="Y29" si="22">SUM(Y25:Y28)</f>
        <v>10451409</v>
      </c>
      <c r="Z29" s="5"/>
      <c r="AA29" s="5">
        <f t="shared" ref="AA29" si="23">SUM(AA25:AA28)</f>
        <v>6758089</v>
      </c>
      <c r="AB29" s="5"/>
      <c r="AC29" s="5">
        <f t="shared" ref="AC29" si="24">SUM(AC25:AC28)</f>
        <v>2848394</v>
      </c>
      <c r="AD29" s="5"/>
      <c r="AE29" s="5">
        <f t="shared" ref="AE29" si="25">SUM(AE25:AE28)</f>
        <v>3275793</v>
      </c>
      <c r="AF29" s="5"/>
    </row>
    <row r="30" spans="1:34" x14ac:dyDescent="0.2">
      <c r="A30" s="1">
        <f t="shared" si="0"/>
        <v>30</v>
      </c>
      <c r="B30" t="s">
        <v>72</v>
      </c>
      <c r="C30" s="6">
        <f>0.1692+C3</f>
        <v>0.17041499999999998</v>
      </c>
      <c r="D30" s="10"/>
      <c r="E30" s="6">
        <f>C30</f>
        <v>0.17041499999999998</v>
      </c>
      <c r="F30" s="6"/>
      <c r="G30" s="6">
        <f>E30</f>
        <v>0.17041499999999998</v>
      </c>
      <c r="H30" s="6"/>
      <c r="I30" s="6">
        <f t="shared" ref="I30" si="26">G30</f>
        <v>0.17041499999999998</v>
      </c>
      <c r="J30" s="6"/>
      <c r="K30" s="6">
        <f t="shared" ref="K30" si="27">I30</f>
        <v>0.17041499999999998</v>
      </c>
      <c r="L30" s="6"/>
      <c r="M30" s="6">
        <f t="shared" ref="M30" si="28">K30</f>
        <v>0.17041499999999998</v>
      </c>
      <c r="N30" s="6"/>
      <c r="O30" s="6">
        <f t="shared" ref="O30" si="29">M30</f>
        <v>0.17041499999999998</v>
      </c>
      <c r="P30" s="6"/>
      <c r="Q30" s="6">
        <f t="shared" ref="Q30" si="30">O30</f>
        <v>0.17041499999999998</v>
      </c>
      <c r="R30" s="6"/>
      <c r="S30" s="6">
        <f t="shared" ref="S30" si="31">Q30</f>
        <v>0.17041499999999998</v>
      </c>
      <c r="T30" s="6"/>
      <c r="U30" s="6">
        <f t="shared" ref="U30" si="32">S30</f>
        <v>0.17041499999999998</v>
      </c>
      <c r="V30" s="6"/>
      <c r="W30" s="6">
        <f t="shared" ref="W30" si="33">U30</f>
        <v>0.17041499999999998</v>
      </c>
      <c r="X30" s="6"/>
      <c r="Y30" s="6">
        <f t="shared" ref="Y30" si="34">W30</f>
        <v>0.17041499999999998</v>
      </c>
      <c r="Z30" s="6"/>
      <c r="AA30" s="6">
        <f t="shared" ref="AA30" si="35">Y30</f>
        <v>0.17041499999999998</v>
      </c>
      <c r="AB30" s="6"/>
      <c r="AC30" s="6">
        <f t="shared" ref="AC30" si="36">AA30</f>
        <v>0.17041499999999998</v>
      </c>
      <c r="AD30" s="6"/>
      <c r="AE30" s="6">
        <f t="shared" ref="AE30" si="37">AC30</f>
        <v>0.17041499999999998</v>
      </c>
      <c r="AF30" s="6"/>
    </row>
    <row r="31" spans="1:34" x14ac:dyDescent="0.2">
      <c r="A31" s="1">
        <f t="shared" si="0"/>
        <v>31</v>
      </c>
      <c r="B31" t="s">
        <v>73</v>
      </c>
      <c r="C31" s="5">
        <f>ROUND(C29*C30,0)</f>
        <v>243022</v>
      </c>
      <c r="D31" s="5"/>
      <c r="E31" s="5">
        <f>ROUND(E29*E30,0)</f>
        <v>1392676</v>
      </c>
      <c r="F31" s="5"/>
      <c r="G31" s="5">
        <f t="shared" ref="G31" si="38">ROUND(G29*G30,0)</f>
        <v>483239</v>
      </c>
      <c r="H31" s="5"/>
      <c r="I31" s="5">
        <f t="shared" ref="I31" si="39">ROUND(I29*I30,0)</f>
        <v>471396</v>
      </c>
      <c r="J31" s="5"/>
      <c r="K31" s="5">
        <f t="shared" ref="K31" si="40">ROUND(K29*K30,0)</f>
        <v>513567</v>
      </c>
      <c r="L31" s="5"/>
      <c r="M31" s="5">
        <f t="shared" ref="M31" si="41">ROUND(M29*M30,0)</f>
        <v>1010733</v>
      </c>
      <c r="N31" s="5"/>
      <c r="O31" s="5">
        <f t="shared" ref="O31" si="42">ROUND(O29*O30,0)</f>
        <v>261211</v>
      </c>
      <c r="P31" s="5"/>
      <c r="Q31" s="5">
        <f t="shared" ref="Q31" si="43">ROUND(Q29*Q30,0)</f>
        <v>540154</v>
      </c>
      <c r="R31" s="5"/>
      <c r="S31" s="5">
        <f t="shared" ref="S31" si="44">ROUND(S29*S30,0)</f>
        <v>973720</v>
      </c>
      <c r="T31" s="5"/>
      <c r="U31" s="5">
        <f t="shared" ref="U31" si="45">ROUND(U29*U30,0)</f>
        <v>266226</v>
      </c>
      <c r="V31" s="5"/>
      <c r="W31" s="5">
        <f t="shared" ref="W31" si="46">ROUND(W29*W30,0)</f>
        <v>795693</v>
      </c>
      <c r="X31" s="5"/>
      <c r="Y31" s="5">
        <f t="shared" ref="Y31" si="47">ROUND(Y29*Y30,0)</f>
        <v>1781077</v>
      </c>
      <c r="Z31" s="5"/>
      <c r="AA31" s="5">
        <f t="shared" ref="AA31" si="48">ROUND(AA29*AA30,0)</f>
        <v>1151680</v>
      </c>
      <c r="AB31" s="5"/>
      <c r="AC31" s="5">
        <f t="shared" ref="AC31" si="49">ROUND(AC29*AC30,0)</f>
        <v>485409</v>
      </c>
      <c r="AD31" s="5"/>
      <c r="AE31" s="5">
        <f t="shared" ref="AE31" si="50">ROUND(AE29*AE30,0)</f>
        <v>558244</v>
      </c>
      <c r="AF31" s="5"/>
    </row>
    <row r="32" spans="1:34" x14ac:dyDescent="0.2">
      <c r="A32" s="1">
        <f t="shared" si="0"/>
        <v>32</v>
      </c>
      <c r="B32" t="s">
        <v>74</v>
      </c>
      <c r="C32" s="5"/>
      <c r="D32" s="5">
        <f>C31-C24</f>
        <v>7307</v>
      </c>
      <c r="E32" s="5"/>
      <c r="F32" s="5">
        <f>E31-E24</f>
        <v>37559</v>
      </c>
      <c r="G32" s="5"/>
      <c r="H32" s="5">
        <f>G31-G24</f>
        <v>14680</v>
      </c>
      <c r="I32" s="5"/>
      <c r="J32" s="5">
        <f>I31-I24</f>
        <v>14375</v>
      </c>
      <c r="K32" s="5"/>
      <c r="L32" s="5">
        <f>K31-K24</f>
        <v>14600</v>
      </c>
      <c r="M32" s="5"/>
      <c r="N32" s="5">
        <f>M31-M24</f>
        <v>50011</v>
      </c>
      <c r="O32" s="5"/>
      <c r="P32" s="5">
        <f>O31-O24</f>
        <v>7420</v>
      </c>
      <c r="Q32" s="5"/>
      <c r="R32" s="5">
        <f>Q31-Q24</f>
        <v>15308</v>
      </c>
      <c r="S32" s="5"/>
      <c r="T32" s="5">
        <f>S31-S24</f>
        <v>28505</v>
      </c>
      <c r="U32" s="5"/>
      <c r="V32" s="5">
        <f>U31-U24</f>
        <v>8115</v>
      </c>
      <c r="W32" s="5"/>
      <c r="X32" s="5">
        <f>W31-W24</f>
        <v>21684</v>
      </c>
      <c r="Y32" s="5"/>
      <c r="Z32" s="5">
        <f>Y31-Y24</f>
        <v>24999</v>
      </c>
      <c r="AA32" s="5"/>
      <c r="AB32" s="5">
        <f>AA31-AA24</f>
        <v>32924</v>
      </c>
      <c r="AC32" s="5"/>
      <c r="AD32" s="5">
        <f>AC31-AC24</f>
        <v>11821</v>
      </c>
      <c r="AE32" s="5"/>
      <c r="AF32" s="5">
        <f>AE31-AE24</f>
        <v>37681</v>
      </c>
      <c r="AG32" s="5">
        <f>SUM(D32:AF32)</f>
        <v>326989</v>
      </c>
      <c r="AH32" s="5">
        <f>-'Billing Impact'!G80</f>
        <v>387343</v>
      </c>
    </row>
    <row r="33" spans="1:34" x14ac:dyDescent="0.2">
      <c r="A33" s="1">
        <f t="shared" si="0"/>
        <v>33</v>
      </c>
    </row>
    <row r="34" spans="1:34" x14ac:dyDescent="0.2">
      <c r="A34" s="1">
        <f t="shared" si="0"/>
        <v>34</v>
      </c>
      <c r="B34" t="s">
        <v>13</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row>
    <row r="35" spans="1:34" x14ac:dyDescent="0.2">
      <c r="A35" s="1">
        <f t="shared" si="0"/>
        <v>35</v>
      </c>
      <c r="B35" t="s">
        <v>69</v>
      </c>
      <c r="C35" s="5">
        <v>1316971</v>
      </c>
      <c r="D35" s="5"/>
      <c r="E35" s="5">
        <v>7245458</v>
      </c>
      <c r="F35" s="5"/>
      <c r="G35" s="5">
        <v>2497617</v>
      </c>
      <c r="H35" s="5"/>
      <c r="I35" s="5">
        <v>2547641</v>
      </c>
      <c r="J35" s="5"/>
      <c r="K35" s="5">
        <v>2602265</v>
      </c>
      <c r="L35" s="5"/>
      <c r="M35" s="5">
        <f>4499680+968089</f>
        <v>5467769</v>
      </c>
      <c r="N35" s="5"/>
      <c r="O35" s="5">
        <v>1413727</v>
      </c>
      <c r="P35" s="5"/>
      <c r="Q35" s="5">
        <v>2690136</v>
      </c>
      <c r="R35" s="5"/>
      <c r="S35" s="5">
        <v>5107164</v>
      </c>
      <c r="T35" s="5"/>
      <c r="U35" s="5">
        <v>1435351</v>
      </c>
      <c r="V35" s="5"/>
      <c r="W35" s="5">
        <v>3998510</v>
      </c>
      <c r="X35" s="5"/>
      <c r="Y35" s="5">
        <v>9640428</v>
      </c>
      <c r="Z35" s="5"/>
      <c r="AA35" s="5">
        <f>5960163-65070</f>
        <v>5895093</v>
      </c>
      <c r="AB35" s="5"/>
      <c r="AC35" s="5">
        <v>2575697</v>
      </c>
      <c r="AD35" s="5"/>
      <c r="AE35" s="5">
        <v>2787286</v>
      </c>
      <c r="AF35" s="5"/>
    </row>
    <row r="36" spans="1:34" x14ac:dyDescent="0.2">
      <c r="A36" s="1">
        <f t="shared" si="0"/>
        <v>36</v>
      </c>
      <c r="B36" t="s">
        <v>70</v>
      </c>
      <c r="C36" s="5">
        <v>132751</v>
      </c>
      <c r="D36" s="5"/>
      <c r="E36" s="5">
        <v>730343</v>
      </c>
      <c r="F36" s="5"/>
      <c r="G36" s="5">
        <v>251762</v>
      </c>
      <c r="H36" s="5"/>
      <c r="I36" s="5">
        <v>256803</v>
      </c>
      <c r="J36" s="5"/>
      <c r="K36" s="5">
        <v>262307</v>
      </c>
      <c r="L36" s="5"/>
      <c r="M36" s="5">
        <f>99684+440124</f>
        <v>539808</v>
      </c>
      <c r="N36" s="5"/>
      <c r="O36" s="5">
        <v>142507</v>
      </c>
      <c r="P36" s="5"/>
      <c r="Q36" s="5">
        <v>271167</v>
      </c>
      <c r="R36" s="5"/>
      <c r="S36" s="5">
        <v>514804</v>
      </c>
      <c r="T36" s="5"/>
      <c r="U36" s="5">
        <v>144685</v>
      </c>
      <c r="V36" s="5"/>
      <c r="W36" s="5">
        <v>403052</v>
      </c>
      <c r="X36" s="5"/>
      <c r="Y36" s="5">
        <v>980089</v>
      </c>
      <c r="Z36" s="5"/>
      <c r="AA36" s="5">
        <f>-6559+600784</f>
        <v>594225</v>
      </c>
      <c r="AB36" s="5"/>
      <c r="AC36" s="5">
        <v>259631</v>
      </c>
      <c r="AD36" s="5"/>
      <c r="AE36" s="5">
        <v>270005</v>
      </c>
      <c r="AF36" s="5"/>
    </row>
    <row r="37" spans="1:34" x14ac:dyDescent="0.2">
      <c r="A37" s="1">
        <f t="shared" si="0"/>
        <v>37</v>
      </c>
      <c r="B37" t="s">
        <v>140</v>
      </c>
      <c r="C37" s="5">
        <f>C35-C36</f>
        <v>1184220</v>
      </c>
      <c r="D37" s="5"/>
      <c r="E37" s="5">
        <f>E35-E36</f>
        <v>6515115</v>
      </c>
      <c r="F37" s="5"/>
      <c r="G37" s="5">
        <f>G35-G36</f>
        <v>2245855</v>
      </c>
      <c r="H37" s="5"/>
      <c r="I37" s="5">
        <f>I35-I36</f>
        <v>2290838</v>
      </c>
      <c r="J37" s="5"/>
      <c r="K37" s="5">
        <f>K35-K36</f>
        <v>2339958</v>
      </c>
      <c r="L37" s="5"/>
      <c r="M37" s="5">
        <f>M35-M36</f>
        <v>4927961</v>
      </c>
      <c r="N37" s="5"/>
      <c r="O37" s="5">
        <f>O35-O36</f>
        <v>1271220</v>
      </c>
      <c r="P37" s="5"/>
      <c r="Q37" s="5">
        <f>Q35-Q36</f>
        <v>2418969</v>
      </c>
      <c r="R37" s="5"/>
      <c r="S37" s="5">
        <f>S35-S36</f>
        <v>4592360</v>
      </c>
      <c r="T37" s="5"/>
      <c r="U37" s="5">
        <f>U35-U36</f>
        <v>1290666</v>
      </c>
      <c r="V37" s="5"/>
      <c r="W37" s="5">
        <f>W35-W36</f>
        <v>3595458</v>
      </c>
      <c r="X37" s="5"/>
      <c r="Y37" s="5">
        <f>Y35-Y36</f>
        <v>8660339</v>
      </c>
      <c r="Z37" s="5"/>
      <c r="AA37" s="5">
        <f>AA35-AA36</f>
        <v>5300868</v>
      </c>
      <c r="AB37" s="5"/>
      <c r="AC37" s="5">
        <f>AC35-AC36</f>
        <v>2316066</v>
      </c>
      <c r="AD37" s="5"/>
      <c r="AE37" s="5">
        <f>AE35-AE36</f>
        <v>2517281</v>
      </c>
      <c r="AF37" s="5"/>
    </row>
    <row r="38" spans="1:34" x14ac:dyDescent="0.2">
      <c r="A38" s="1">
        <f t="shared" si="0"/>
        <v>38</v>
      </c>
      <c r="B38" t="s">
        <v>160</v>
      </c>
      <c r="C38" s="5">
        <f>'FAC Recalc'!D65</f>
        <v>1106</v>
      </c>
      <c r="D38" s="5"/>
      <c r="E38" s="5">
        <f>'FAC Recalc'!F65</f>
        <v>6400</v>
      </c>
      <c r="F38" s="5"/>
      <c r="G38" s="5">
        <f>'FAC Recalc'!H65</f>
        <v>2076</v>
      </c>
      <c r="H38" s="5"/>
      <c r="I38" s="5">
        <f>'FAC Recalc'!J65</f>
        <v>2181</v>
      </c>
      <c r="J38" s="5"/>
      <c r="K38" s="5">
        <f>'FAC Recalc'!L65</f>
        <v>2334</v>
      </c>
      <c r="L38" s="5"/>
      <c r="M38" s="5">
        <f>'FAC Recalc'!N65</f>
        <v>5050</v>
      </c>
      <c r="N38" s="5"/>
      <c r="O38" s="5">
        <f>'FAC Recalc'!P65</f>
        <v>1212</v>
      </c>
      <c r="P38" s="5"/>
      <c r="Q38" s="5">
        <f>'FAC Recalc'!R65</f>
        <v>2263</v>
      </c>
      <c r="R38" s="5"/>
      <c r="S38" s="5">
        <f>'FAC Recalc'!T65</f>
        <v>4318</v>
      </c>
      <c r="T38" s="5"/>
      <c r="U38" s="5">
        <f>'FAC Recalc'!V65</f>
        <v>1226</v>
      </c>
      <c r="V38" s="5"/>
      <c r="W38" s="5">
        <f>'FAC Recalc'!X65</f>
        <v>3553</v>
      </c>
      <c r="X38" s="5"/>
      <c r="Y38" s="5">
        <f>'FAC Recalc'!Z65</f>
        <v>10411</v>
      </c>
      <c r="Z38" s="5"/>
      <c r="AA38" s="5">
        <f>'FAC Recalc'!AB65</f>
        <v>5211</v>
      </c>
      <c r="AB38" s="5"/>
      <c r="AC38" s="5">
        <f>'FAC Recalc'!AD65</f>
        <v>2367</v>
      </c>
      <c r="AD38" s="5"/>
      <c r="AE38" s="5">
        <f>'FAC Recalc'!AF65</f>
        <v>2188</v>
      </c>
      <c r="AF38" s="5"/>
    </row>
    <row r="39" spans="1:34" x14ac:dyDescent="0.2">
      <c r="A39" s="1">
        <f t="shared" si="0"/>
        <v>39</v>
      </c>
      <c r="B39" t="s">
        <v>161</v>
      </c>
      <c r="C39" s="5">
        <f>'Demand-Energy Alloc - After'!D35</f>
        <v>9385</v>
      </c>
      <c r="D39" s="5"/>
      <c r="E39" s="5">
        <f>'Demand-Energy Alloc - After'!E35</f>
        <v>43408</v>
      </c>
      <c r="F39" s="5"/>
      <c r="G39" s="5">
        <f>'Demand-Energy Alloc - After'!F35</f>
        <v>17954</v>
      </c>
      <c r="H39" s="5"/>
      <c r="I39" s="5">
        <f>'Demand-Energy Alloc - After'!G35</f>
        <v>17535</v>
      </c>
      <c r="J39" s="5"/>
      <c r="K39" s="5">
        <f>'Demand-Energy Alloc - After'!H35</f>
        <v>14752</v>
      </c>
      <c r="L39" s="5"/>
      <c r="M39" s="5">
        <f>'Demand-Energy Alloc - After'!I35</f>
        <v>16323</v>
      </c>
      <c r="N39" s="5"/>
      <c r="O39" s="5">
        <f>'Demand-Energy Alloc - After'!J35</f>
        <v>8897</v>
      </c>
      <c r="P39" s="5"/>
      <c r="Q39" s="5">
        <f>'Demand-Energy Alloc - After'!K35</f>
        <v>18160</v>
      </c>
      <c r="R39" s="5"/>
      <c r="S39" s="5">
        <f>'Demand-Energy Alloc - After'!L35</f>
        <v>34923</v>
      </c>
      <c r="T39" s="5"/>
      <c r="U39" s="5">
        <f>'Demand-Energy Alloc - After'!M35</f>
        <v>9871</v>
      </c>
      <c r="V39" s="5"/>
      <c r="W39" s="5">
        <f>'Demand-Energy Alloc - After'!N35</f>
        <v>23771</v>
      </c>
      <c r="X39" s="5"/>
      <c r="Y39" s="5">
        <f>'Demand-Energy Alloc - After'!O35</f>
        <v>33739</v>
      </c>
      <c r="Z39" s="5"/>
      <c r="AA39" s="5">
        <f>'Demand-Energy Alloc - After'!P35</f>
        <v>35782</v>
      </c>
      <c r="AB39" s="5"/>
      <c r="AC39" s="5">
        <f>'Demand-Energy Alloc - After'!Q35</f>
        <v>12228</v>
      </c>
      <c r="AD39" s="5"/>
      <c r="AE39" s="5">
        <f>'Demand-Energy Alloc - After'!R35</f>
        <v>16149</v>
      </c>
      <c r="AF39" s="5"/>
    </row>
    <row r="40" spans="1:34" x14ac:dyDescent="0.2">
      <c r="A40" s="1">
        <f t="shared" si="0"/>
        <v>40</v>
      </c>
      <c r="B40" t="s">
        <v>162</v>
      </c>
      <c r="C40" s="5">
        <f>'Demand-Energy Alloc - After'!D36</f>
        <v>24078</v>
      </c>
      <c r="D40" s="5"/>
      <c r="E40" s="5">
        <f>'Demand-Energy Alloc - After'!E36</f>
        <v>109298</v>
      </c>
      <c r="F40" s="5"/>
      <c r="G40" s="5">
        <f>'Demand-Energy Alloc - After'!F36</f>
        <v>46329</v>
      </c>
      <c r="H40" s="5"/>
      <c r="I40" s="5">
        <f>'Demand-Energy Alloc - After'!G36</f>
        <v>48609</v>
      </c>
      <c r="J40" s="5"/>
      <c r="K40" s="5">
        <f>'Demand-Energy Alloc - After'!H36</f>
        <v>45425</v>
      </c>
      <c r="L40" s="5"/>
      <c r="M40" s="5">
        <f>'Demand-Energy Alloc - After'!I36</f>
        <v>47575</v>
      </c>
      <c r="N40" s="5"/>
      <c r="O40" s="5">
        <f>'Demand-Energy Alloc - After'!J36</f>
        <v>23995</v>
      </c>
      <c r="P40" s="5"/>
      <c r="Q40" s="5">
        <f>'Demand-Energy Alloc - After'!K36</f>
        <v>43422</v>
      </c>
      <c r="R40" s="5"/>
      <c r="S40" s="5">
        <f>'Demand-Energy Alloc - After'!L36</f>
        <v>89364</v>
      </c>
      <c r="T40" s="5"/>
      <c r="U40" s="5">
        <f>'Demand-Energy Alloc - After'!M36</f>
        <v>27355</v>
      </c>
      <c r="V40" s="5"/>
      <c r="W40" s="5">
        <f>'Demand-Energy Alloc - After'!N36</f>
        <v>62148</v>
      </c>
      <c r="X40" s="5"/>
      <c r="Y40" s="5">
        <f>'Demand-Energy Alloc - After'!O36</f>
        <v>105459</v>
      </c>
      <c r="Z40" s="5"/>
      <c r="AA40" s="5">
        <f>'Demand-Energy Alloc - After'!P36</f>
        <v>102257</v>
      </c>
      <c r="AB40" s="5"/>
      <c r="AC40" s="5">
        <f>'Demand-Energy Alloc - After'!Q36</f>
        <v>34461</v>
      </c>
      <c r="AD40" s="5"/>
      <c r="AE40" s="5">
        <f>'Demand-Energy Alloc - After'!R36</f>
        <v>46108</v>
      </c>
      <c r="AF40" s="5"/>
    </row>
    <row r="41" spans="1:34" x14ac:dyDescent="0.2">
      <c r="A41" s="1">
        <f t="shared" si="0"/>
        <v>41</v>
      </c>
      <c r="B41" t="s">
        <v>163</v>
      </c>
      <c r="C41" s="5">
        <f>SUM(C37:C40)</f>
        <v>1218789</v>
      </c>
      <c r="D41" s="5"/>
      <c r="E41" s="5">
        <f t="shared" ref="E41" si="51">SUM(E37:E40)</f>
        <v>6674221</v>
      </c>
      <c r="F41" s="5"/>
      <c r="G41" s="5">
        <f t="shared" ref="G41" si="52">SUM(G37:G40)</f>
        <v>2312214</v>
      </c>
      <c r="H41" s="5"/>
      <c r="I41" s="5">
        <f t="shared" ref="I41" si="53">SUM(I37:I40)</f>
        <v>2359163</v>
      </c>
      <c r="J41" s="5"/>
      <c r="K41" s="5">
        <f t="shared" ref="K41" si="54">SUM(K37:K40)</f>
        <v>2402469</v>
      </c>
      <c r="L41" s="5"/>
      <c r="M41" s="5">
        <f t="shared" ref="M41" si="55">SUM(M37:M40)</f>
        <v>4996909</v>
      </c>
      <c r="N41" s="5"/>
      <c r="O41" s="5">
        <f t="shared" ref="O41" si="56">SUM(O37:O40)</f>
        <v>1305324</v>
      </c>
      <c r="P41" s="5"/>
      <c r="Q41" s="5">
        <f t="shared" ref="Q41" si="57">SUM(Q37:Q40)</f>
        <v>2482814</v>
      </c>
      <c r="R41" s="5"/>
      <c r="S41" s="5">
        <f t="shared" ref="S41" si="58">SUM(S37:S40)</f>
        <v>4720965</v>
      </c>
      <c r="T41" s="5"/>
      <c r="U41" s="5">
        <f t="shared" ref="U41" si="59">SUM(U37:U40)</f>
        <v>1329118</v>
      </c>
      <c r="V41" s="5"/>
      <c r="W41" s="5">
        <f t="shared" ref="W41" si="60">SUM(W37:W40)</f>
        <v>3684930</v>
      </c>
      <c r="X41" s="5"/>
      <c r="Y41" s="5">
        <f t="shared" ref="Y41" si="61">SUM(Y37:Y40)</f>
        <v>8809948</v>
      </c>
      <c r="Z41" s="5"/>
      <c r="AA41" s="5">
        <f t="shared" ref="AA41" si="62">SUM(AA37:AA40)</f>
        <v>5444118</v>
      </c>
      <c r="AB41" s="5"/>
      <c r="AC41" s="5">
        <f t="shared" ref="AC41" si="63">SUM(AC37:AC40)</f>
        <v>2365122</v>
      </c>
      <c r="AD41" s="5"/>
      <c r="AE41" s="5">
        <f t="shared" ref="AE41" si="64">SUM(AE37:AE40)</f>
        <v>2581726</v>
      </c>
      <c r="AF41" s="5"/>
    </row>
    <row r="42" spans="1:34" x14ac:dyDescent="0.2">
      <c r="A42" s="1">
        <f t="shared" si="0"/>
        <v>42</v>
      </c>
      <c r="B42" t="s">
        <v>72</v>
      </c>
      <c r="C42" s="6">
        <f>0.1121+C3</f>
        <v>0.113315</v>
      </c>
      <c r="D42" s="10"/>
      <c r="E42" s="6">
        <f>C42</f>
        <v>0.113315</v>
      </c>
      <c r="F42" s="6"/>
      <c r="G42" s="6">
        <f>E42</f>
        <v>0.113315</v>
      </c>
      <c r="H42" s="6"/>
      <c r="I42" s="6">
        <f t="shared" ref="I42" si="65">G42</f>
        <v>0.113315</v>
      </c>
      <c r="J42" s="6"/>
      <c r="K42" s="6">
        <f t="shared" ref="K42" si="66">I42</f>
        <v>0.113315</v>
      </c>
      <c r="L42" s="6"/>
      <c r="M42" s="6">
        <f t="shared" ref="M42" si="67">K42</f>
        <v>0.113315</v>
      </c>
      <c r="N42" s="6"/>
      <c r="O42" s="6">
        <f t="shared" ref="O42" si="68">M42</f>
        <v>0.113315</v>
      </c>
      <c r="P42" s="6"/>
      <c r="Q42" s="6">
        <f t="shared" ref="Q42" si="69">O42</f>
        <v>0.113315</v>
      </c>
      <c r="R42" s="6"/>
      <c r="S42" s="6">
        <f t="shared" ref="S42" si="70">Q42</f>
        <v>0.113315</v>
      </c>
      <c r="T42" s="6"/>
      <c r="U42" s="6">
        <f t="shared" ref="U42" si="71">S42</f>
        <v>0.113315</v>
      </c>
      <c r="V42" s="6"/>
      <c r="W42" s="6">
        <f t="shared" ref="W42" si="72">U42</f>
        <v>0.113315</v>
      </c>
      <c r="X42" s="6"/>
      <c r="Y42" s="6">
        <f t="shared" ref="Y42" si="73">W42</f>
        <v>0.113315</v>
      </c>
      <c r="Z42" s="6"/>
      <c r="AA42" s="6">
        <f t="shared" ref="AA42" si="74">Y42</f>
        <v>0.113315</v>
      </c>
      <c r="AB42" s="6"/>
      <c r="AC42" s="6">
        <f t="shared" ref="AC42" si="75">AA42</f>
        <v>0.113315</v>
      </c>
      <c r="AD42" s="6"/>
      <c r="AE42" s="6">
        <f t="shared" ref="AE42" si="76">AC42</f>
        <v>0.113315</v>
      </c>
      <c r="AF42" s="6"/>
    </row>
    <row r="43" spans="1:34" x14ac:dyDescent="0.2">
      <c r="A43" s="1">
        <f t="shared" si="0"/>
        <v>43</v>
      </c>
      <c r="B43" t="s">
        <v>73</v>
      </c>
      <c r="C43" s="5">
        <f>ROUND(C41*C42,0)</f>
        <v>138107</v>
      </c>
      <c r="D43" s="5"/>
      <c r="E43" s="5">
        <f t="shared" ref="E43" si="77">ROUND(E41*E42,0)</f>
        <v>756289</v>
      </c>
      <c r="F43" s="5"/>
      <c r="G43" s="5">
        <f t="shared" ref="G43" si="78">ROUND(G41*G42,0)</f>
        <v>262009</v>
      </c>
      <c r="H43" s="5"/>
      <c r="I43" s="5">
        <f t="shared" ref="I43" si="79">ROUND(I41*I42,0)</f>
        <v>267329</v>
      </c>
      <c r="J43" s="5"/>
      <c r="K43" s="5">
        <f t="shared" ref="K43" si="80">ROUND(K41*K42,0)</f>
        <v>272236</v>
      </c>
      <c r="L43" s="5"/>
      <c r="M43" s="5">
        <f t="shared" ref="M43" si="81">ROUND(M41*M42,0)</f>
        <v>566225</v>
      </c>
      <c r="N43" s="5"/>
      <c r="O43" s="5">
        <f t="shared" ref="O43" si="82">ROUND(O41*O42,0)</f>
        <v>147913</v>
      </c>
      <c r="P43" s="5"/>
      <c r="Q43" s="5">
        <f t="shared" ref="Q43" si="83">ROUND(Q41*Q42,0)</f>
        <v>281340</v>
      </c>
      <c r="R43" s="5"/>
      <c r="S43" s="5">
        <f t="shared" ref="S43" si="84">ROUND(S41*S42,0)</f>
        <v>534956</v>
      </c>
      <c r="T43" s="5"/>
      <c r="U43" s="5">
        <f t="shared" ref="U43" si="85">ROUND(U41*U42,0)</f>
        <v>150609</v>
      </c>
      <c r="V43" s="5"/>
      <c r="W43" s="5">
        <f t="shared" ref="W43" si="86">ROUND(W41*W42,0)</f>
        <v>417558</v>
      </c>
      <c r="X43" s="5"/>
      <c r="Y43" s="5">
        <f t="shared" ref="Y43" si="87">ROUND(Y41*Y42,0)</f>
        <v>998299</v>
      </c>
      <c r="Z43" s="5"/>
      <c r="AA43" s="5">
        <f t="shared" ref="AA43" si="88">ROUND(AA41*AA42,0)</f>
        <v>616900</v>
      </c>
      <c r="AB43" s="5"/>
      <c r="AC43" s="5">
        <f t="shared" ref="AC43" si="89">ROUND(AC41*AC42,0)</f>
        <v>268004</v>
      </c>
      <c r="AD43" s="5"/>
      <c r="AE43" s="5">
        <f t="shared" ref="AE43" si="90">ROUND(AE41*AE42,0)</f>
        <v>292548</v>
      </c>
      <c r="AF43" s="5"/>
    </row>
    <row r="44" spans="1:34" x14ac:dyDescent="0.2">
      <c r="A44" s="1">
        <f t="shared" si="0"/>
        <v>44</v>
      </c>
      <c r="B44" t="s">
        <v>74</v>
      </c>
      <c r="C44" s="5"/>
      <c r="D44" s="5">
        <f>C43-C36</f>
        <v>5356</v>
      </c>
      <c r="E44" s="5"/>
      <c r="F44" s="5">
        <f>E43-E36</f>
        <v>25946</v>
      </c>
      <c r="G44" s="5"/>
      <c r="H44" s="5">
        <f>G43-G36</f>
        <v>10247</v>
      </c>
      <c r="I44" s="5"/>
      <c r="J44" s="5">
        <f>I43-I36</f>
        <v>10526</v>
      </c>
      <c r="K44" s="5"/>
      <c r="L44" s="5">
        <f>K43-K36</f>
        <v>9929</v>
      </c>
      <c r="M44" s="5"/>
      <c r="N44" s="5">
        <f>M43-M36</f>
        <v>26417</v>
      </c>
      <c r="O44" s="5"/>
      <c r="P44" s="5">
        <f>O43-O36</f>
        <v>5406</v>
      </c>
      <c r="Q44" s="5"/>
      <c r="R44" s="5">
        <f>Q43-Q36</f>
        <v>10173</v>
      </c>
      <c r="S44" s="5"/>
      <c r="T44" s="5">
        <f>S43-S36</f>
        <v>20152</v>
      </c>
      <c r="U44" s="5"/>
      <c r="V44" s="5">
        <f>U43-U36</f>
        <v>5924</v>
      </c>
      <c r="W44" s="5"/>
      <c r="X44" s="5">
        <f>W43-W36</f>
        <v>14506</v>
      </c>
      <c r="Y44" s="5"/>
      <c r="Z44" s="5">
        <f>Y43-Y36</f>
        <v>18210</v>
      </c>
      <c r="AA44" s="5"/>
      <c r="AB44" s="5">
        <f>AA43-AA36</f>
        <v>22675</v>
      </c>
      <c r="AC44" s="5"/>
      <c r="AD44" s="5">
        <f>AC43-AC36</f>
        <v>8373</v>
      </c>
      <c r="AE44" s="5"/>
      <c r="AF44" s="5">
        <f>AE43-AE36</f>
        <v>22543</v>
      </c>
      <c r="AG44" s="5">
        <f>SUM(D44:AF44)</f>
        <v>216383</v>
      </c>
      <c r="AH44" s="5">
        <f>-'Billing Impact'!G83</f>
        <v>232302</v>
      </c>
    </row>
    <row r="45" spans="1:34" x14ac:dyDescent="0.2">
      <c r="A45" s="1">
        <f t="shared" si="0"/>
        <v>45</v>
      </c>
    </row>
    <row r="46" spans="1:34" x14ac:dyDescent="0.2">
      <c r="A46" s="1">
        <f t="shared" si="0"/>
        <v>46</v>
      </c>
      <c r="B46" t="s">
        <v>14</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4" x14ac:dyDescent="0.2">
      <c r="A47" s="1">
        <f t="shared" si="0"/>
        <v>47</v>
      </c>
      <c r="B47" t="s">
        <v>69</v>
      </c>
      <c r="C47" s="5">
        <v>1332909</v>
      </c>
      <c r="D47" s="5"/>
      <c r="E47" s="5">
        <v>7145626</v>
      </c>
      <c r="F47" s="5"/>
      <c r="G47" s="5">
        <v>2491631</v>
      </c>
      <c r="H47" s="5"/>
      <c r="I47" s="5">
        <v>2564835</v>
      </c>
      <c r="J47" s="5"/>
      <c r="K47" s="5">
        <v>2632013</v>
      </c>
      <c r="L47" s="5"/>
      <c r="M47" s="5">
        <f>4885589+965371</f>
        <v>5850960</v>
      </c>
      <c r="N47" s="5"/>
      <c r="O47" s="5">
        <v>1421783</v>
      </c>
      <c r="P47" s="5"/>
      <c r="Q47" s="5">
        <v>2632154</v>
      </c>
      <c r="R47" s="5"/>
      <c r="S47" s="5">
        <v>5055934</v>
      </c>
      <c r="T47" s="5"/>
      <c r="U47" s="5">
        <v>1428557</v>
      </c>
      <c r="V47" s="5"/>
      <c r="W47" s="5">
        <v>3935891</v>
      </c>
      <c r="X47" s="5"/>
      <c r="Y47" s="5">
        <v>9730261</v>
      </c>
      <c r="Z47" s="5"/>
      <c r="AA47" s="5">
        <f>5898346-60937</f>
        <v>5837409</v>
      </c>
      <c r="AB47" s="5"/>
      <c r="AC47" s="5">
        <v>2554625</v>
      </c>
      <c r="AD47" s="5"/>
      <c r="AE47" s="5">
        <v>2767976</v>
      </c>
      <c r="AF47" s="5"/>
    </row>
    <row r="48" spans="1:34" x14ac:dyDescent="0.2">
      <c r="A48" s="1">
        <f t="shared" si="0"/>
        <v>48</v>
      </c>
      <c r="B48" t="s">
        <v>70</v>
      </c>
      <c r="C48" s="5">
        <v>145568</v>
      </c>
      <c r="D48" s="5"/>
      <c r="E48" s="5">
        <v>780378</v>
      </c>
      <c r="F48" s="5"/>
      <c r="G48" s="5">
        <v>272112</v>
      </c>
      <c r="H48" s="5"/>
      <c r="I48" s="5">
        <v>280107</v>
      </c>
      <c r="J48" s="5"/>
      <c r="K48" s="5">
        <v>287444</v>
      </c>
      <c r="L48" s="5"/>
      <c r="M48" s="5">
        <f>107704+506885</f>
        <v>614589</v>
      </c>
      <c r="N48" s="5"/>
      <c r="O48" s="5">
        <v>155277</v>
      </c>
      <c r="P48" s="5"/>
      <c r="Q48" s="5">
        <v>287460</v>
      </c>
      <c r="R48" s="5"/>
      <c r="S48" s="5">
        <v>552163</v>
      </c>
      <c r="T48" s="5"/>
      <c r="U48" s="5">
        <v>156015</v>
      </c>
      <c r="V48" s="5"/>
      <c r="W48" s="5">
        <v>429842</v>
      </c>
      <c r="X48" s="5"/>
      <c r="Y48" s="5">
        <v>1071677</v>
      </c>
      <c r="Z48" s="5"/>
      <c r="AA48" s="5">
        <f>-6655+644164</f>
        <v>637509</v>
      </c>
      <c r="AB48" s="5"/>
      <c r="AC48" s="5">
        <v>278991</v>
      </c>
      <c r="AD48" s="5"/>
      <c r="AE48" s="5">
        <v>290591</v>
      </c>
      <c r="AF48" s="5"/>
    </row>
    <row r="49" spans="1:34" x14ac:dyDescent="0.2">
      <c r="A49" s="1">
        <f t="shared" si="0"/>
        <v>49</v>
      </c>
      <c r="B49" t="s">
        <v>140</v>
      </c>
      <c r="C49" s="5">
        <f>C47-C48</f>
        <v>1187341</v>
      </c>
      <c r="D49" s="5"/>
      <c r="E49" s="5">
        <f>E47-E48</f>
        <v>6365248</v>
      </c>
      <c r="F49" s="5"/>
      <c r="G49" s="5">
        <f>G47-G48</f>
        <v>2219519</v>
      </c>
      <c r="H49" s="5"/>
      <c r="I49" s="5">
        <f>I47-I48</f>
        <v>2284728</v>
      </c>
      <c r="J49" s="5"/>
      <c r="K49" s="5">
        <f>K47-K48</f>
        <v>2344569</v>
      </c>
      <c r="L49" s="5"/>
      <c r="M49" s="5">
        <f>M47-M48</f>
        <v>5236371</v>
      </c>
      <c r="N49" s="5"/>
      <c r="O49" s="5">
        <f>O47-O48</f>
        <v>1266506</v>
      </c>
      <c r="P49" s="5"/>
      <c r="Q49" s="5">
        <f>Q47-Q48</f>
        <v>2344694</v>
      </c>
      <c r="R49" s="5"/>
      <c r="S49" s="5">
        <f>S47-S48</f>
        <v>4503771</v>
      </c>
      <c r="T49" s="5"/>
      <c r="U49" s="5">
        <f>U47-U48</f>
        <v>1272542</v>
      </c>
      <c r="V49" s="5"/>
      <c r="W49" s="5">
        <f>W47-W48</f>
        <v>3506049</v>
      </c>
      <c r="X49" s="5"/>
      <c r="Y49" s="5">
        <f>Y47-Y48</f>
        <v>8658584</v>
      </c>
      <c r="Z49" s="5"/>
      <c r="AA49" s="5">
        <f>AA47-AA48</f>
        <v>5199900</v>
      </c>
      <c r="AB49" s="5"/>
      <c r="AC49" s="5">
        <f>AC47-AC48</f>
        <v>2275634</v>
      </c>
      <c r="AD49" s="5"/>
      <c r="AE49" s="5">
        <f>AE47-AE48</f>
        <v>2477385</v>
      </c>
      <c r="AF49" s="5"/>
    </row>
    <row r="50" spans="1:34" x14ac:dyDescent="0.2">
      <c r="A50" s="1">
        <f t="shared" si="0"/>
        <v>50</v>
      </c>
      <c r="B50" t="s">
        <v>160</v>
      </c>
      <c r="C50" s="5">
        <f>'FAC Recalc'!D73</f>
        <v>2978</v>
      </c>
      <c r="D50" s="5"/>
      <c r="E50" s="5">
        <f>'FAC Recalc'!F73</f>
        <v>17101</v>
      </c>
      <c r="F50" s="5"/>
      <c r="G50" s="5">
        <f>'FAC Recalc'!H73</f>
        <v>5618</v>
      </c>
      <c r="H50" s="5"/>
      <c r="I50" s="5">
        <f>'FAC Recalc'!J73</f>
        <v>5748</v>
      </c>
      <c r="J50" s="5"/>
      <c r="K50" s="5">
        <f>'FAC Recalc'!L73</f>
        <v>6238</v>
      </c>
      <c r="L50" s="5"/>
      <c r="M50" s="5">
        <f>'FAC Recalc'!N73</f>
        <v>14376</v>
      </c>
      <c r="N50" s="5"/>
      <c r="O50" s="5">
        <f>'FAC Recalc'!P73</f>
        <v>3319</v>
      </c>
      <c r="P50" s="5"/>
      <c r="Q50" s="5">
        <f>'FAC Recalc'!R73</f>
        <v>6023</v>
      </c>
      <c r="R50" s="5"/>
      <c r="S50" s="5">
        <f>'FAC Recalc'!T73</f>
        <v>11374</v>
      </c>
      <c r="T50" s="5"/>
      <c r="U50" s="5">
        <f>'FAC Recalc'!V73</f>
        <v>3289</v>
      </c>
      <c r="V50" s="5"/>
      <c r="W50" s="5">
        <f>'FAC Recalc'!X73</f>
        <v>9385</v>
      </c>
      <c r="X50" s="5"/>
      <c r="Y50" s="5">
        <f>'FAC Recalc'!Z73</f>
        <v>28645</v>
      </c>
      <c r="Z50" s="5"/>
      <c r="AA50" s="5">
        <f>'FAC Recalc'!AB73</f>
        <v>13890</v>
      </c>
      <c r="AB50" s="5"/>
      <c r="AC50" s="5">
        <f>'FAC Recalc'!AD73</f>
        <v>6336</v>
      </c>
      <c r="AD50" s="5"/>
      <c r="AE50" s="5">
        <f>'FAC Recalc'!AF73</f>
        <v>5753</v>
      </c>
      <c r="AF50" s="5"/>
    </row>
    <row r="51" spans="1:34" x14ac:dyDescent="0.2">
      <c r="A51" s="1">
        <f t="shared" si="0"/>
        <v>51</v>
      </c>
      <c r="B51" t="s">
        <v>161</v>
      </c>
      <c r="C51" s="5">
        <f>'Demand-Energy Alloc - After'!D44</f>
        <v>9724</v>
      </c>
      <c r="D51" s="5"/>
      <c r="E51" s="5">
        <f>'Demand-Energy Alloc - After'!E44</f>
        <v>41515</v>
      </c>
      <c r="F51" s="5"/>
      <c r="G51" s="5">
        <f>'Demand-Energy Alloc - After'!F44</f>
        <v>17458</v>
      </c>
      <c r="H51" s="5"/>
      <c r="I51" s="5">
        <f>'Demand-Energy Alloc - After'!G44</f>
        <v>18788</v>
      </c>
      <c r="J51" s="5"/>
      <c r="K51" s="5">
        <f>'Demand-Energy Alloc - After'!H44</f>
        <v>15740</v>
      </c>
      <c r="L51" s="5"/>
      <c r="M51" s="5">
        <f>'Demand-Energy Alloc - After'!I44</f>
        <v>17039</v>
      </c>
      <c r="N51" s="5"/>
      <c r="O51" s="5">
        <f>'Demand-Energy Alloc - After'!J44</f>
        <v>8617</v>
      </c>
      <c r="P51" s="5"/>
      <c r="Q51" s="5">
        <f>'Demand-Energy Alloc - After'!K44</f>
        <v>16836</v>
      </c>
      <c r="R51" s="5"/>
      <c r="S51" s="5">
        <f>'Demand-Energy Alloc - After'!L44</f>
        <v>35171</v>
      </c>
      <c r="T51" s="5"/>
      <c r="U51" s="5">
        <f>'Demand-Energy Alloc - After'!M44</f>
        <v>9742</v>
      </c>
      <c r="V51" s="5"/>
      <c r="W51" s="5">
        <f>'Demand-Energy Alloc - After'!N44</f>
        <v>23558</v>
      </c>
      <c r="X51" s="5"/>
      <c r="Y51" s="5">
        <f>'Demand-Energy Alloc - After'!O44</f>
        <v>32849</v>
      </c>
      <c r="Z51" s="5"/>
      <c r="AA51" s="5">
        <f>'Demand-Energy Alloc - After'!P44</f>
        <v>35167</v>
      </c>
      <c r="AB51" s="5"/>
      <c r="AC51" s="5">
        <f>'Demand-Energy Alloc - After'!Q44</f>
        <v>11651</v>
      </c>
      <c r="AD51" s="5"/>
      <c r="AE51" s="5">
        <f>'Demand-Energy Alloc - After'!R44</f>
        <v>17371</v>
      </c>
      <c r="AF51" s="5"/>
    </row>
    <row r="52" spans="1:34" x14ac:dyDescent="0.2">
      <c r="A52" s="1">
        <f t="shared" si="0"/>
        <v>52</v>
      </c>
      <c r="B52" t="s">
        <v>162</v>
      </c>
      <c r="C52" s="5">
        <f>'Demand-Energy Alloc - After'!D45</f>
        <v>28607</v>
      </c>
      <c r="D52" s="5"/>
      <c r="E52" s="5">
        <f>'Demand-Energy Alloc - After'!E45</f>
        <v>128762</v>
      </c>
      <c r="F52" s="5"/>
      <c r="G52" s="5">
        <f>'Demand-Energy Alloc - After'!F45</f>
        <v>55332</v>
      </c>
      <c r="H52" s="5"/>
      <c r="I52" s="5">
        <f>'Demand-Energy Alloc - After'!G45</f>
        <v>56597</v>
      </c>
      <c r="J52" s="5"/>
      <c r="K52" s="5">
        <f>'Demand-Energy Alloc - After'!H45</f>
        <v>53656</v>
      </c>
      <c r="L52" s="5"/>
      <c r="M52" s="5">
        <f>'Demand-Energy Alloc - After'!I45</f>
        <v>56737</v>
      </c>
      <c r="N52" s="5"/>
      <c r="O52" s="5">
        <f>'Demand-Energy Alloc - After'!J45</f>
        <v>28855</v>
      </c>
      <c r="P52" s="5"/>
      <c r="Q52" s="5">
        <f>'Demand-Energy Alloc - After'!K45</f>
        <v>50445</v>
      </c>
      <c r="R52" s="5"/>
      <c r="S52" s="5">
        <f>'Demand-Energy Alloc - After'!L45</f>
        <v>103604</v>
      </c>
      <c r="T52" s="5"/>
      <c r="U52" s="5">
        <f>'Demand-Energy Alloc - After'!M45</f>
        <v>32369</v>
      </c>
      <c r="V52" s="5"/>
      <c r="W52" s="5">
        <f>'Demand-Energy Alloc - After'!N45</f>
        <v>71603</v>
      </c>
      <c r="X52" s="5"/>
      <c r="Y52" s="5">
        <f>'Demand-Energy Alloc - After'!O45</f>
        <v>124751</v>
      </c>
      <c r="Z52" s="5"/>
      <c r="AA52" s="5">
        <f>'Demand-Energy Alloc - After'!P45</f>
        <v>120437</v>
      </c>
      <c r="AB52" s="5"/>
      <c r="AC52" s="5">
        <f>'Demand-Energy Alloc - After'!Q45</f>
        <v>40358</v>
      </c>
      <c r="AD52" s="5"/>
      <c r="AE52" s="5">
        <f>'Demand-Energy Alloc - After'!R45</f>
        <v>53472</v>
      </c>
      <c r="AF52" s="5"/>
    </row>
    <row r="53" spans="1:34" x14ac:dyDescent="0.2">
      <c r="A53" s="1">
        <f t="shared" si="0"/>
        <v>53</v>
      </c>
      <c r="B53" t="s">
        <v>163</v>
      </c>
      <c r="C53" s="5">
        <f>SUM(C49:C52)</f>
        <v>1228650</v>
      </c>
      <c r="D53" s="5"/>
      <c r="E53" s="5">
        <f t="shared" ref="E53" si="91">SUM(E49:E52)</f>
        <v>6552626</v>
      </c>
      <c r="F53" s="5"/>
      <c r="G53" s="5">
        <f t="shared" ref="G53" si="92">SUM(G49:G52)</f>
        <v>2297927</v>
      </c>
      <c r="H53" s="5"/>
      <c r="I53" s="5">
        <f t="shared" ref="I53" si="93">SUM(I49:I52)</f>
        <v>2365861</v>
      </c>
      <c r="J53" s="5"/>
      <c r="K53" s="5">
        <f t="shared" ref="K53" si="94">SUM(K49:K52)</f>
        <v>2420203</v>
      </c>
      <c r="L53" s="5"/>
      <c r="M53" s="5">
        <f t="shared" ref="M53" si="95">SUM(M49:M52)</f>
        <v>5324523</v>
      </c>
      <c r="N53" s="5"/>
      <c r="O53" s="5">
        <f t="shared" ref="O53" si="96">SUM(O49:O52)</f>
        <v>1307297</v>
      </c>
      <c r="P53" s="5"/>
      <c r="Q53" s="5">
        <f t="shared" ref="Q53" si="97">SUM(Q49:Q52)</f>
        <v>2417998</v>
      </c>
      <c r="R53" s="5"/>
      <c r="S53" s="5">
        <f t="shared" ref="S53" si="98">SUM(S49:S52)</f>
        <v>4653920</v>
      </c>
      <c r="T53" s="5"/>
      <c r="U53" s="5">
        <f t="shared" ref="U53" si="99">SUM(U49:U52)</f>
        <v>1317942</v>
      </c>
      <c r="V53" s="5"/>
      <c r="W53" s="5">
        <f t="shared" ref="W53" si="100">SUM(W49:W52)</f>
        <v>3610595</v>
      </c>
      <c r="X53" s="5"/>
      <c r="Y53" s="5">
        <f t="shared" ref="Y53" si="101">SUM(Y49:Y52)</f>
        <v>8844829</v>
      </c>
      <c r="Z53" s="5"/>
      <c r="AA53" s="5">
        <f t="shared" ref="AA53" si="102">SUM(AA49:AA52)</f>
        <v>5369394</v>
      </c>
      <c r="AB53" s="5"/>
      <c r="AC53" s="5">
        <f t="shared" ref="AC53" si="103">SUM(AC49:AC52)</f>
        <v>2333979</v>
      </c>
      <c r="AD53" s="5"/>
      <c r="AE53" s="5">
        <f t="shared" ref="AE53" si="104">SUM(AE49:AE52)</f>
        <v>2553981</v>
      </c>
      <c r="AF53" s="5"/>
    </row>
    <row r="54" spans="1:34" x14ac:dyDescent="0.2">
      <c r="A54" s="1">
        <f t="shared" si="0"/>
        <v>54</v>
      </c>
      <c r="B54" t="s">
        <v>72</v>
      </c>
      <c r="C54" s="6">
        <f>0.1226+C3</f>
        <v>0.12381499999999999</v>
      </c>
      <c r="D54" s="10"/>
      <c r="E54" s="6">
        <f>C54</f>
        <v>0.12381499999999999</v>
      </c>
      <c r="F54" s="6"/>
      <c r="G54" s="6">
        <f>E54</f>
        <v>0.12381499999999999</v>
      </c>
      <c r="H54" s="6"/>
      <c r="I54" s="6">
        <f t="shared" ref="I54" si="105">G54</f>
        <v>0.12381499999999999</v>
      </c>
      <c r="J54" s="6"/>
      <c r="K54" s="6">
        <f t="shared" ref="K54" si="106">I54</f>
        <v>0.12381499999999999</v>
      </c>
      <c r="L54" s="6"/>
      <c r="M54" s="6">
        <f t="shared" ref="M54" si="107">K54</f>
        <v>0.12381499999999999</v>
      </c>
      <c r="N54" s="6"/>
      <c r="O54" s="6">
        <f t="shared" ref="O54" si="108">M54</f>
        <v>0.12381499999999999</v>
      </c>
      <c r="P54" s="6"/>
      <c r="Q54" s="6">
        <f t="shared" ref="Q54" si="109">O54</f>
        <v>0.12381499999999999</v>
      </c>
      <c r="R54" s="6"/>
      <c r="S54" s="6">
        <f t="shared" ref="S54" si="110">Q54</f>
        <v>0.12381499999999999</v>
      </c>
      <c r="T54" s="6"/>
      <c r="U54" s="6">
        <f t="shared" ref="U54" si="111">S54</f>
        <v>0.12381499999999999</v>
      </c>
      <c r="V54" s="6"/>
      <c r="W54" s="6">
        <f t="shared" ref="W54" si="112">U54</f>
        <v>0.12381499999999999</v>
      </c>
      <c r="X54" s="6"/>
      <c r="Y54" s="6">
        <f t="shared" ref="Y54" si="113">W54</f>
        <v>0.12381499999999999</v>
      </c>
      <c r="Z54" s="6"/>
      <c r="AA54" s="6">
        <f t="shared" ref="AA54" si="114">Y54</f>
        <v>0.12381499999999999</v>
      </c>
      <c r="AB54" s="6"/>
      <c r="AC54" s="6">
        <f t="shared" ref="AC54" si="115">AA54</f>
        <v>0.12381499999999999</v>
      </c>
      <c r="AD54" s="6"/>
      <c r="AE54" s="6">
        <f t="shared" ref="AE54" si="116">AC54</f>
        <v>0.12381499999999999</v>
      </c>
      <c r="AF54" s="6"/>
    </row>
    <row r="55" spans="1:34" x14ac:dyDescent="0.2">
      <c r="A55" s="1">
        <f t="shared" si="0"/>
        <v>55</v>
      </c>
      <c r="B55" t="s">
        <v>73</v>
      </c>
      <c r="C55" s="5">
        <f>ROUND(C53*C54,0)</f>
        <v>152125</v>
      </c>
      <c r="D55" s="5"/>
      <c r="E55" s="5">
        <f t="shared" ref="E55" si="117">ROUND(E53*E54,0)</f>
        <v>811313</v>
      </c>
      <c r="F55" s="5"/>
      <c r="G55" s="5">
        <f t="shared" ref="G55" si="118">ROUND(G53*G54,0)</f>
        <v>284518</v>
      </c>
      <c r="H55" s="5"/>
      <c r="I55" s="5">
        <f t="shared" ref="I55" si="119">ROUND(I53*I54,0)</f>
        <v>292929</v>
      </c>
      <c r="J55" s="5"/>
      <c r="K55" s="5">
        <f t="shared" ref="K55" si="120">ROUND(K53*K54,0)</f>
        <v>299657</v>
      </c>
      <c r="L55" s="5"/>
      <c r="M55" s="5">
        <f t="shared" ref="M55" si="121">ROUND(M53*M54,0)</f>
        <v>659256</v>
      </c>
      <c r="N55" s="5"/>
      <c r="O55" s="5">
        <f t="shared" ref="O55" si="122">ROUND(O53*O54,0)</f>
        <v>161863</v>
      </c>
      <c r="P55" s="5"/>
      <c r="Q55" s="5">
        <f t="shared" ref="Q55" si="123">ROUND(Q53*Q54,0)</f>
        <v>299384</v>
      </c>
      <c r="R55" s="5"/>
      <c r="S55" s="5">
        <f t="shared" ref="S55" si="124">ROUND(S53*S54,0)</f>
        <v>576225</v>
      </c>
      <c r="T55" s="5"/>
      <c r="U55" s="5">
        <f t="shared" ref="U55" si="125">ROUND(U53*U54,0)</f>
        <v>163181</v>
      </c>
      <c r="V55" s="5"/>
      <c r="W55" s="5">
        <f t="shared" ref="W55" si="126">ROUND(W53*W54,0)</f>
        <v>447046</v>
      </c>
      <c r="X55" s="5"/>
      <c r="Y55" s="5">
        <f t="shared" ref="Y55" si="127">ROUND(Y53*Y54,0)</f>
        <v>1095123</v>
      </c>
      <c r="Z55" s="5"/>
      <c r="AA55" s="5">
        <f t="shared" ref="AA55" si="128">ROUND(AA53*AA54,0)</f>
        <v>664812</v>
      </c>
      <c r="AB55" s="5"/>
      <c r="AC55" s="5">
        <f t="shared" ref="AC55" si="129">ROUND(AC53*AC54,0)</f>
        <v>288982</v>
      </c>
      <c r="AD55" s="5"/>
      <c r="AE55" s="5">
        <f t="shared" ref="AE55" si="130">ROUND(AE53*AE54,0)</f>
        <v>316221</v>
      </c>
      <c r="AF55" s="5"/>
    </row>
    <row r="56" spans="1:34" x14ac:dyDescent="0.2">
      <c r="A56" s="1">
        <f t="shared" si="0"/>
        <v>56</v>
      </c>
      <c r="B56" t="s">
        <v>74</v>
      </c>
      <c r="C56" s="5"/>
      <c r="D56" s="5">
        <f>C55-C48</f>
        <v>6557</v>
      </c>
      <c r="E56" s="5"/>
      <c r="F56" s="5">
        <f>E55-E48</f>
        <v>30935</v>
      </c>
      <c r="G56" s="5"/>
      <c r="H56" s="5">
        <f>G55-G48</f>
        <v>12406</v>
      </c>
      <c r="I56" s="5"/>
      <c r="J56" s="5">
        <f>I55-I48</f>
        <v>12822</v>
      </c>
      <c r="K56" s="5"/>
      <c r="L56" s="5">
        <f>K55-K48</f>
        <v>12213</v>
      </c>
      <c r="M56" s="5"/>
      <c r="N56" s="5">
        <f>M55-M48</f>
        <v>44667</v>
      </c>
      <c r="O56" s="5"/>
      <c r="P56" s="5">
        <f>O55-O48</f>
        <v>6586</v>
      </c>
      <c r="Q56" s="5"/>
      <c r="R56" s="5">
        <f>Q55-Q48</f>
        <v>11924</v>
      </c>
      <c r="S56" s="5"/>
      <c r="T56" s="5">
        <f>S55-S48</f>
        <v>24062</v>
      </c>
      <c r="U56" s="5"/>
      <c r="V56" s="5">
        <f>U55-U48</f>
        <v>7166</v>
      </c>
      <c r="W56" s="5"/>
      <c r="X56" s="5">
        <f>W55-W48</f>
        <v>17204</v>
      </c>
      <c r="Y56" s="5"/>
      <c r="Z56" s="5">
        <f>Y55-Y48</f>
        <v>23446</v>
      </c>
      <c r="AA56" s="5"/>
      <c r="AB56" s="5">
        <f>AA55-AA48</f>
        <v>27303</v>
      </c>
      <c r="AC56" s="5"/>
      <c r="AD56" s="5">
        <f>AC55-AC48</f>
        <v>9991</v>
      </c>
      <c r="AE56" s="5"/>
      <c r="AF56" s="5">
        <f>AE55-AE48</f>
        <v>25630</v>
      </c>
      <c r="AG56" s="5">
        <f>SUM(D56:AF56)</f>
        <v>272912</v>
      </c>
      <c r="AH56" s="5">
        <f>-'Billing Impact'!G86</f>
        <v>258655</v>
      </c>
    </row>
    <row r="57" spans="1:34" x14ac:dyDescent="0.2">
      <c r="A57" s="1">
        <f t="shared" si="0"/>
        <v>57</v>
      </c>
    </row>
    <row r="58" spans="1:34" x14ac:dyDescent="0.2">
      <c r="A58" s="1">
        <f t="shared" si="0"/>
        <v>58</v>
      </c>
      <c r="B58" t="s">
        <v>15</v>
      </c>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spans="1:34" x14ac:dyDescent="0.2">
      <c r="A59" s="1">
        <f t="shared" si="0"/>
        <v>59</v>
      </c>
      <c r="B59" t="s">
        <v>69</v>
      </c>
      <c r="C59" s="5">
        <v>976161</v>
      </c>
      <c r="D59" s="5"/>
      <c r="E59" s="5">
        <v>5888917</v>
      </c>
      <c r="F59" s="5"/>
      <c r="G59" s="5">
        <v>1938214</v>
      </c>
      <c r="H59" s="5"/>
      <c r="I59" s="5">
        <v>1961952</v>
      </c>
      <c r="J59" s="5"/>
      <c r="K59" s="5">
        <v>2235716</v>
      </c>
      <c r="L59" s="5"/>
      <c r="M59" s="5">
        <f>4427693+929969</f>
        <v>5357662</v>
      </c>
      <c r="N59" s="5"/>
      <c r="O59" s="5">
        <v>1140648</v>
      </c>
      <c r="P59" s="5"/>
      <c r="Q59" s="5">
        <v>2036238</v>
      </c>
      <c r="R59" s="5"/>
      <c r="S59" s="5">
        <v>3904343</v>
      </c>
      <c r="T59" s="5"/>
      <c r="U59" s="5">
        <v>1125512</v>
      </c>
      <c r="V59" s="5"/>
      <c r="W59" s="5">
        <v>3300374</v>
      </c>
      <c r="X59" s="5"/>
      <c r="Y59" s="5">
        <v>9357810</v>
      </c>
      <c r="Z59" s="5"/>
      <c r="AA59" s="5">
        <f>5186525-24593</f>
        <v>5161932</v>
      </c>
      <c r="AB59" s="5"/>
      <c r="AC59" s="5">
        <v>2261319</v>
      </c>
      <c r="AD59" s="5"/>
      <c r="AE59" s="5">
        <v>2324979</v>
      </c>
      <c r="AF59" s="5"/>
    </row>
    <row r="60" spans="1:34" x14ac:dyDescent="0.2">
      <c r="A60" s="1">
        <f t="shared" si="0"/>
        <v>60</v>
      </c>
      <c r="B60" t="s">
        <v>70</v>
      </c>
      <c r="C60" s="5">
        <v>132679</v>
      </c>
      <c r="D60" s="5"/>
      <c r="E60" s="5">
        <v>800417</v>
      </c>
      <c r="F60" s="5"/>
      <c r="G60" s="5">
        <v>263441</v>
      </c>
      <c r="H60" s="5"/>
      <c r="I60" s="5">
        <v>266669</v>
      </c>
      <c r="J60" s="5"/>
      <c r="K60" s="5">
        <v>303878</v>
      </c>
      <c r="L60" s="5"/>
      <c r="M60" s="5">
        <f>129233+570301</f>
        <v>699534</v>
      </c>
      <c r="N60" s="5"/>
      <c r="O60" s="5">
        <v>155035</v>
      </c>
      <c r="P60" s="5"/>
      <c r="Q60" s="5">
        <v>276768</v>
      </c>
      <c r="R60" s="5"/>
      <c r="S60" s="5">
        <v>530675</v>
      </c>
      <c r="T60" s="5"/>
      <c r="U60" s="5">
        <v>152979</v>
      </c>
      <c r="V60" s="5"/>
      <c r="W60" s="5">
        <v>448586</v>
      </c>
      <c r="X60" s="5"/>
      <c r="Y60" s="5">
        <v>1283149</v>
      </c>
      <c r="Z60" s="5"/>
      <c r="AA60" s="5">
        <f>-3343+704952</f>
        <v>701609</v>
      </c>
      <c r="AB60" s="5"/>
      <c r="AC60" s="5">
        <v>307357</v>
      </c>
      <c r="AD60" s="5"/>
      <c r="AE60" s="5">
        <v>299765</v>
      </c>
      <c r="AF60" s="5"/>
    </row>
    <row r="61" spans="1:34" x14ac:dyDescent="0.2">
      <c r="A61" s="1">
        <f t="shared" si="0"/>
        <v>61</v>
      </c>
      <c r="B61" t="s">
        <v>140</v>
      </c>
      <c r="C61" s="5">
        <f>C59-C60</f>
        <v>843482</v>
      </c>
      <c r="D61" s="5"/>
      <c r="E61" s="5">
        <f>E59-E60</f>
        <v>5088500</v>
      </c>
      <c r="F61" s="5"/>
      <c r="G61" s="5">
        <f>G59-G60</f>
        <v>1674773</v>
      </c>
      <c r="H61" s="5"/>
      <c r="I61" s="5">
        <f>I59-I60</f>
        <v>1695283</v>
      </c>
      <c r="J61" s="5"/>
      <c r="K61" s="5">
        <f>K59-K60</f>
        <v>1931838</v>
      </c>
      <c r="L61" s="5"/>
      <c r="M61" s="5">
        <f>M59-M60</f>
        <v>4658128</v>
      </c>
      <c r="N61" s="5"/>
      <c r="O61" s="5">
        <f>O59-O60</f>
        <v>985613</v>
      </c>
      <c r="P61" s="5"/>
      <c r="Q61" s="5">
        <f>Q59-Q60</f>
        <v>1759470</v>
      </c>
      <c r="R61" s="5"/>
      <c r="S61" s="5">
        <f>S59-S60</f>
        <v>3373668</v>
      </c>
      <c r="T61" s="5"/>
      <c r="U61" s="5">
        <f>U59-U60</f>
        <v>972533</v>
      </c>
      <c r="V61" s="5"/>
      <c r="W61" s="5">
        <f>W59-W60</f>
        <v>2851788</v>
      </c>
      <c r="X61" s="5"/>
      <c r="Y61" s="5">
        <f>Y59-Y60</f>
        <v>8074661</v>
      </c>
      <c r="Z61" s="5"/>
      <c r="AA61" s="5">
        <f>AA59-AA60</f>
        <v>4460323</v>
      </c>
      <c r="AB61" s="5"/>
      <c r="AC61" s="5">
        <f>AC59-AC60</f>
        <v>1953962</v>
      </c>
      <c r="AD61" s="5"/>
      <c r="AE61" s="5">
        <f>AE59-AE60</f>
        <v>2025214</v>
      </c>
      <c r="AF61" s="5"/>
    </row>
    <row r="62" spans="1:34" x14ac:dyDescent="0.2">
      <c r="A62" s="1">
        <f t="shared" si="0"/>
        <v>62</v>
      </c>
      <c r="B62" t="s">
        <v>160</v>
      </c>
      <c r="C62" s="5">
        <f>'FAC Recalc'!D81</f>
        <v>2758</v>
      </c>
      <c r="D62" s="5"/>
      <c r="E62" s="5">
        <f>'FAC Recalc'!F81</f>
        <v>17264</v>
      </c>
      <c r="F62" s="5"/>
      <c r="G62" s="5">
        <f>'FAC Recalc'!H81</f>
        <v>5340</v>
      </c>
      <c r="H62" s="5"/>
      <c r="I62" s="5">
        <f>'FAC Recalc'!J81</f>
        <v>5522</v>
      </c>
      <c r="J62" s="5"/>
      <c r="K62" s="5">
        <f>'FAC Recalc'!L81</f>
        <v>6506</v>
      </c>
      <c r="L62" s="5"/>
      <c r="M62" s="5">
        <f>'FAC Recalc'!N81</f>
        <v>15226</v>
      </c>
      <c r="N62" s="5"/>
      <c r="O62" s="5">
        <f>'FAC Recalc'!P81</f>
        <v>3211</v>
      </c>
      <c r="P62" s="5"/>
      <c r="Q62" s="5">
        <f>'FAC Recalc'!R81</f>
        <v>5736</v>
      </c>
      <c r="R62" s="5"/>
      <c r="S62" s="5">
        <f>'FAC Recalc'!T81</f>
        <v>10944</v>
      </c>
      <c r="T62" s="5"/>
      <c r="U62" s="5">
        <f>'FAC Recalc'!V81</f>
        <v>3160</v>
      </c>
      <c r="V62" s="5"/>
      <c r="W62" s="5">
        <f>'FAC Recalc'!X81</f>
        <v>9927</v>
      </c>
      <c r="X62" s="5"/>
      <c r="Y62" s="5">
        <f>'FAC Recalc'!Z81</f>
        <v>32797</v>
      </c>
      <c r="Z62" s="5"/>
      <c r="AA62" s="5">
        <f>'FAC Recalc'!AB81</f>
        <v>15250</v>
      </c>
      <c r="AB62" s="5"/>
      <c r="AC62" s="5">
        <f>'FAC Recalc'!AD81</f>
        <v>6754</v>
      </c>
      <c r="AD62" s="5"/>
      <c r="AE62" s="5">
        <f>'FAC Recalc'!AF81</f>
        <v>5832</v>
      </c>
      <c r="AF62" s="5"/>
    </row>
    <row r="63" spans="1:34" x14ac:dyDescent="0.2">
      <c r="A63" s="1">
        <f t="shared" si="0"/>
        <v>63</v>
      </c>
      <c r="B63" t="s">
        <v>161</v>
      </c>
      <c r="C63" s="5">
        <f>'Demand-Energy Alloc - After'!D53</f>
        <v>8467</v>
      </c>
      <c r="D63" s="5"/>
      <c r="E63" s="5">
        <f>'Demand-Energy Alloc - After'!E53</f>
        <v>41910</v>
      </c>
      <c r="F63" s="5"/>
      <c r="G63" s="5">
        <f>'Demand-Energy Alloc - After'!F53</f>
        <v>17975</v>
      </c>
      <c r="H63" s="5"/>
      <c r="I63" s="5">
        <f>'Demand-Energy Alloc - After'!G53</f>
        <v>17692</v>
      </c>
      <c r="J63" s="5"/>
      <c r="K63" s="5">
        <f>'Demand-Energy Alloc - After'!H53</f>
        <v>16526</v>
      </c>
      <c r="L63" s="5"/>
      <c r="M63" s="5">
        <f>'Demand-Energy Alloc - After'!I53</f>
        <v>18551</v>
      </c>
      <c r="N63" s="5"/>
      <c r="O63" s="5">
        <f>'Demand-Energy Alloc - After'!J53</f>
        <v>8980</v>
      </c>
      <c r="P63" s="5"/>
      <c r="Q63" s="5">
        <f>'Demand-Energy Alloc - After'!K53</f>
        <v>16477</v>
      </c>
      <c r="R63" s="5"/>
      <c r="S63" s="5">
        <f>'Demand-Energy Alloc - After'!L53</f>
        <v>33551</v>
      </c>
      <c r="T63" s="5"/>
      <c r="U63" s="5">
        <f>'Demand-Energy Alloc - After'!M53</f>
        <v>10227</v>
      </c>
      <c r="V63" s="5"/>
      <c r="W63" s="5">
        <f>'Demand-Energy Alloc - After'!N53</f>
        <v>21864</v>
      </c>
      <c r="X63" s="5"/>
      <c r="Y63" s="5">
        <f>'Demand-Energy Alloc - After'!O53</f>
        <v>42234</v>
      </c>
      <c r="Z63" s="5"/>
      <c r="AA63" s="5">
        <f>'Demand-Energy Alloc - After'!P53</f>
        <v>37388</v>
      </c>
      <c r="AB63" s="5"/>
      <c r="AC63" s="5">
        <f>'Demand-Energy Alloc - After'!Q53</f>
        <v>12870</v>
      </c>
      <c r="AD63" s="5"/>
      <c r="AE63" s="5">
        <f>'Demand-Energy Alloc - After'!R53</f>
        <v>16830</v>
      </c>
      <c r="AF63" s="5"/>
    </row>
    <row r="64" spans="1:34" x14ac:dyDescent="0.2">
      <c r="A64" s="1">
        <f t="shared" si="0"/>
        <v>64</v>
      </c>
      <c r="B64" t="s">
        <v>162</v>
      </c>
      <c r="C64" s="5">
        <f>'Demand-Energy Alloc - After'!D54</f>
        <v>29558</v>
      </c>
      <c r="D64" s="5"/>
      <c r="E64" s="5">
        <f>'Demand-Energy Alloc - After'!E54</f>
        <v>139840</v>
      </c>
      <c r="F64" s="5"/>
      <c r="G64" s="5">
        <f>'Demand-Energy Alloc - After'!F54</f>
        <v>59258</v>
      </c>
      <c r="H64" s="5"/>
      <c r="I64" s="5">
        <f>'Demand-Energy Alloc - After'!G54</f>
        <v>61325</v>
      </c>
      <c r="J64" s="5"/>
      <c r="K64" s="5">
        <f>'Demand-Energy Alloc - After'!H54</f>
        <v>61869</v>
      </c>
      <c r="L64" s="5"/>
      <c r="M64" s="5">
        <f>'Demand-Energy Alloc - After'!I54</f>
        <v>60546</v>
      </c>
      <c r="N64" s="5"/>
      <c r="O64" s="5">
        <f>'Demand-Energy Alloc - After'!J54</f>
        <v>30657</v>
      </c>
      <c r="P64" s="5"/>
      <c r="Q64" s="5">
        <f>'Demand-Energy Alloc - After'!K54</f>
        <v>52394</v>
      </c>
      <c r="R64" s="5"/>
      <c r="S64" s="5">
        <f>'Demand-Energy Alloc - After'!L54</f>
        <v>109656</v>
      </c>
      <c r="T64" s="5"/>
      <c r="U64" s="5">
        <f>'Demand-Energy Alloc - After'!M54</f>
        <v>35075</v>
      </c>
      <c r="V64" s="5"/>
      <c r="W64" s="5">
        <f>'Demand-Energy Alloc - After'!N54</f>
        <v>80960</v>
      </c>
      <c r="X64" s="5"/>
      <c r="Y64" s="5">
        <f>'Demand-Energy Alloc - After'!O54</f>
        <v>144790</v>
      </c>
      <c r="Z64" s="5"/>
      <c r="AA64" s="5">
        <f>'Demand-Energy Alloc - After'!P54</f>
        <v>146255</v>
      </c>
      <c r="AB64" s="5"/>
      <c r="AC64" s="5">
        <f>'Demand-Energy Alloc - After'!Q54</f>
        <v>44810</v>
      </c>
      <c r="AD64" s="5"/>
      <c r="AE64" s="5">
        <f>'Demand-Energy Alloc - After'!R54</f>
        <v>60569</v>
      </c>
      <c r="AF64" s="5"/>
    </row>
    <row r="65" spans="1:34" x14ac:dyDescent="0.2">
      <c r="A65" s="1">
        <f t="shared" si="0"/>
        <v>65</v>
      </c>
      <c r="B65" t="s">
        <v>163</v>
      </c>
      <c r="C65" s="5">
        <f>SUM(C61:C64)</f>
        <v>884265</v>
      </c>
      <c r="D65" s="5"/>
      <c r="E65" s="5">
        <f t="shared" ref="E65" si="131">SUM(E61:E64)</f>
        <v>5287514</v>
      </c>
      <c r="F65" s="5"/>
      <c r="G65" s="5">
        <f t="shared" ref="G65" si="132">SUM(G61:G64)</f>
        <v>1757346</v>
      </c>
      <c r="H65" s="5"/>
      <c r="I65" s="5">
        <f t="shared" ref="I65" si="133">SUM(I61:I64)</f>
        <v>1779822</v>
      </c>
      <c r="J65" s="5"/>
      <c r="K65" s="5">
        <f t="shared" ref="K65" si="134">SUM(K61:K64)</f>
        <v>2016739</v>
      </c>
      <c r="L65" s="5"/>
      <c r="M65" s="5">
        <f t="shared" ref="M65" si="135">SUM(M61:M64)</f>
        <v>4752451</v>
      </c>
      <c r="N65" s="5"/>
      <c r="O65" s="5">
        <f t="shared" ref="O65" si="136">SUM(O61:O64)</f>
        <v>1028461</v>
      </c>
      <c r="P65" s="5"/>
      <c r="Q65" s="5">
        <f t="shared" ref="Q65" si="137">SUM(Q61:Q64)</f>
        <v>1834077</v>
      </c>
      <c r="R65" s="5"/>
      <c r="S65" s="5">
        <f t="shared" ref="S65" si="138">SUM(S61:S64)</f>
        <v>3527819</v>
      </c>
      <c r="T65" s="5"/>
      <c r="U65" s="5">
        <f t="shared" ref="U65" si="139">SUM(U61:U64)</f>
        <v>1020995</v>
      </c>
      <c r="V65" s="5"/>
      <c r="W65" s="5">
        <f t="shared" ref="W65" si="140">SUM(W61:W64)</f>
        <v>2964539</v>
      </c>
      <c r="X65" s="5"/>
      <c r="Y65" s="5">
        <f t="shared" ref="Y65" si="141">SUM(Y61:Y64)</f>
        <v>8294482</v>
      </c>
      <c r="Z65" s="5"/>
      <c r="AA65" s="5">
        <f t="shared" ref="AA65" si="142">SUM(AA61:AA64)</f>
        <v>4659216</v>
      </c>
      <c r="AB65" s="5"/>
      <c r="AC65" s="5">
        <f t="shared" ref="AC65" si="143">SUM(AC61:AC64)</f>
        <v>2018396</v>
      </c>
      <c r="AD65" s="5"/>
      <c r="AE65" s="5">
        <f t="shared" ref="AE65" si="144">SUM(AE61:AE64)</f>
        <v>2108445</v>
      </c>
      <c r="AF65" s="5"/>
    </row>
    <row r="66" spans="1:34" x14ac:dyDescent="0.2">
      <c r="A66" s="1">
        <f t="shared" si="0"/>
        <v>66</v>
      </c>
      <c r="B66" t="s">
        <v>72</v>
      </c>
      <c r="C66" s="6">
        <f>0.1573+C3</f>
        <v>0.15851499999999999</v>
      </c>
      <c r="D66" s="10"/>
      <c r="E66" s="6">
        <f>C66</f>
        <v>0.15851499999999999</v>
      </c>
      <c r="F66" s="6"/>
      <c r="G66" s="6">
        <f>E66</f>
        <v>0.15851499999999999</v>
      </c>
      <c r="H66" s="6"/>
      <c r="I66" s="6">
        <f t="shared" ref="I66" si="145">G66</f>
        <v>0.15851499999999999</v>
      </c>
      <c r="J66" s="6"/>
      <c r="K66" s="6">
        <f t="shared" ref="K66" si="146">I66</f>
        <v>0.15851499999999999</v>
      </c>
      <c r="L66" s="6"/>
      <c r="M66" s="6">
        <f t="shared" ref="M66" si="147">K66</f>
        <v>0.15851499999999999</v>
      </c>
      <c r="N66" s="6"/>
      <c r="O66" s="6">
        <f t="shared" ref="O66" si="148">M66</f>
        <v>0.15851499999999999</v>
      </c>
      <c r="P66" s="6"/>
      <c r="Q66" s="6">
        <f t="shared" ref="Q66" si="149">O66</f>
        <v>0.15851499999999999</v>
      </c>
      <c r="R66" s="6"/>
      <c r="S66" s="6">
        <f t="shared" ref="S66" si="150">Q66</f>
        <v>0.15851499999999999</v>
      </c>
      <c r="T66" s="6"/>
      <c r="U66" s="6">
        <f t="shared" ref="U66" si="151">S66</f>
        <v>0.15851499999999999</v>
      </c>
      <c r="V66" s="6"/>
      <c r="W66" s="6">
        <f t="shared" ref="W66" si="152">U66</f>
        <v>0.15851499999999999</v>
      </c>
      <c r="X66" s="6"/>
      <c r="Y66" s="6">
        <f t="shared" ref="Y66" si="153">W66</f>
        <v>0.15851499999999999</v>
      </c>
      <c r="Z66" s="6"/>
      <c r="AA66" s="6">
        <f t="shared" ref="AA66" si="154">Y66</f>
        <v>0.15851499999999999</v>
      </c>
      <c r="AB66" s="6"/>
      <c r="AC66" s="6">
        <f t="shared" ref="AC66" si="155">AA66</f>
        <v>0.15851499999999999</v>
      </c>
      <c r="AD66" s="6"/>
      <c r="AE66" s="6">
        <f t="shared" ref="AE66" si="156">AC66</f>
        <v>0.15851499999999999</v>
      </c>
      <c r="AF66" s="6"/>
    </row>
    <row r="67" spans="1:34" x14ac:dyDescent="0.2">
      <c r="A67" s="1">
        <f t="shared" si="0"/>
        <v>67</v>
      </c>
      <c r="B67" t="s">
        <v>73</v>
      </c>
      <c r="C67" s="5">
        <f>ROUND(C65*C66,0)</f>
        <v>140169</v>
      </c>
      <c r="D67" s="5"/>
      <c r="E67" s="5">
        <f>ROUND(E65*E66,0)</f>
        <v>838150</v>
      </c>
      <c r="F67" s="5"/>
      <c r="G67" s="5">
        <f>ROUND(G65*G66,0)</f>
        <v>278566</v>
      </c>
      <c r="H67" s="5"/>
      <c r="I67" s="5">
        <f t="shared" ref="I67" si="157">ROUND(I65*I66,0)</f>
        <v>282128</v>
      </c>
      <c r="J67" s="5"/>
      <c r="K67" s="5">
        <f t="shared" ref="K67" si="158">ROUND(K65*K66,0)</f>
        <v>319683</v>
      </c>
      <c r="L67" s="5"/>
      <c r="M67" s="5">
        <f t="shared" ref="M67" si="159">ROUND(M65*M66,0)</f>
        <v>753335</v>
      </c>
      <c r="N67" s="5"/>
      <c r="O67" s="5">
        <f t="shared" ref="O67" si="160">ROUND(O65*O66,0)</f>
        <v>163026</v>
      </c>
      <c r="P67" s="5"/>
      <c r="Q67" s="5">
        <f t="shared" ref="Q67" si="161">ROUND(Q65*Q66,0)</f>
        <v>290729</v>
      </c>
      <c r="R67" s="5"/>
      <c r="S67" s="5">
        <f t="shared" ref="S67" si="162">ROUND(S65*S66,0)</f>
        <v>559212</v>
      </c>
      <c r="T67" s="5"/>
      <c r="U67" s="5">
        <f t="shared" ref="U67" si="163">ROUND(U65*U66,0)</f>
        <v>161843</v>
      </c>
      <c r="V67" s="5"/>
      <c r="W67" s="5">
        <f t="shared" ref="W67" si="164">ROUND(W65*W66,0)</f>
        <v>469924</v>
      </c>
      <c r="X67" s="5"/>
      <c r="Y67" s="5">
        <f t="shared" ref="Y67" si="165">ROUND(Y65*Y66,0)</f>
        <v>1314800</v>
      </c>
      <c r="Z67" s="5"/>
      <c r="AA67" s="5">
        <f t="shared" ref="AA67" si="166">ROUND(AA65*AA66,0)</f>
        <v>738556</v>
      </c>
      <c r="AB67" s="5"/>
      <c r="AC67" s="5">
        <f t="shared" ref="AC67" si="167">ROUND(AC65*AC66,0)</f>
        <v>319946</v>
      </c>
      <c r="AD67" s="5"/>
      <c r="AE67" s="5">
        <f t="shared" ref="AE67" si="168">ROUND(AE65*AE66,0)</f>
        <v>334220</v>
      </c>
      <c r="AF67" s="5"/>
    </row>
    <row r="68" spans="1:34" x14ac:dyDescent="0.2">
      <c r="A68" s="1">
        <f t="shared" si="0"/>
        <v>68</v>
      </c>
      <c r="B68" t="s">
        <v>74</v>
      </c>
      <c r="C68" s="5"/>
      <c r="D68" s="5">
        <f>C67-C60</f>
        <v>7490</v>
      </c>
      <c r="E68" s="5"/>
      <c r="F68" s="5">
        <f>E67-E60</f>
        <v>37733</v>
      </c>
      <c r="G68" s="5"/>
      <c r="H68" s="5">
        <f>G67-G60</f>
        <v>15125</v>
      </c>
      <c r="I68" s="5"/>
      <c r="J68" s="5">
        <f>I67-I60</f>
        <v>15459</v>
      </c>
      <c r="K68" s="5"/>
      <c r="L68" s="5">
        <f>K67-K60</f>
        <v>15805</v>
      </c>
      <c r="M68" s="5"/>
      <c r="N68" s="5">
        <f>M67-M60</f>
        <v>53801</v>
      </c>
      <c r="O68" s="5"/>
      <c r="P68" s="5">
        <f>O67-O60</f>
        <v>7991</v>
      </c>
      <c r="Q68" s="5"/>
      <c r="R68" s="5">
        <f>Q67-Q60</f>
        <v>13961</v>
      </c>
      <c r="S68" s="5"/>
      <c r="T68" s="5">
        <f>S67-S60</f>
        <v>28537</v>
      </c>
      <c r="U68" s="5"/>
      <c r="V68" s="5">
        <f>U67-U60</f>
        <v>8864</v>
      </c>
      <c r="W68" s="5"/>
      <c r="X68" s="5">
        <f>W67-W60</f>
        <v>21338</v>
      </c>
      <c r="Y68" s="5"/>
      <c r="Z68" s="5">
        <f>Y67-Y60</f>
        <v>31651</v>
      </c>
      <c r="AA68" s="5"/>
      <c r="AB68" s="5">
        <f>AA67-AA60</f>
        <v>36947</v>
      </c>
      <c r="AC68" s="5"/>
      <c r="AD68" s="5">
        <f>AC67-AC60</f>
        <v>12589</v>
      </c>
      <c r="AE68" s="5"/>
      <c r="AF68" s="5">
        <f>AE67-AE60</f>
        <v>34455</v>
      </c>
      <c r="AG68" s="5">
        <f>SUM(D68:AF68)</f>
        <v>341746</v>
      </c>
      <c r="AH68" s="5">
        <f>-'Billing Impact'!G89</f>
        <v>339549</v>
      </c>
    </row>
    <row r="69" spans="1:34" x14ac:dyDescent="0.2">
      <c r="A69" s="1">
        <f t="shared" si="0"/>
        <v>69</v>
      </c>
    </row>
    <row r="70" spans="1:34" x14ac:dyDescent="0.2">
      <c r="A70" s="1">
        <f t="shared" si="0"/>
        <v>70</v>
      </c>
      <c r="B70" t="s">
        <v>16</v>
      </c>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1:34" x14ac:dyDescent="0.2">
      <c r="A71" s="1">
        <f t="shared" si="0"/>
        <v>71</v>
      </c>
      <c r="B71" t="s">
        <v>69</v>
      </c>
      <c r="C71" s="5">
        <v>1038939</v>
      </c>
      <c r="D71" s="5"/>
      <c r="E71" s="5">
        <v>6411563</v>
      </c>
      <c r="F71" s="5"/>
      <c r="G71" s="5">
        <v>2055030</v>
      </c>
      <c r="H71" s="5"/>
      <c r="I71" s="5">
        <v>2106915</v>
      </c>
      <c r="J71" s="5"/>
      <c r="K71" s="5">
        <v>2489418</v>
      </c>
      <c r="L71" s="5"/>
      <c r="M71" s="5">
        <f>4612453+897892</f>
        <v>5510345</v>
      </c>
      <c r="N71" s="5"/>
      <c r="O71" s="5">
        <v>1205219</v>
      </c>
      <c r="P71" s="5"/>
      <c r="Q71" s="5">
        <v>2188108</v>
      </c>
      <c r="R71" s="5"/>
      <c r="S71" s="5">
        <v>4115937</v>
      </c>
      <c r="T71" s="5"/>
      <c r="U71" s="5">
        <v>1174605</v>
      </c>
      <c r="V71" s="5"/>
      <c r="W71" s="5">
        <v>3685724</v>
      </c>
      <c r="X71" s="5"/>
      <c r="Y71" s="5">
        <v>10134589</v>
      </c>
      <c r="Z71" s="5"/>
      <c r="AA71" s="5">
        <f>6036464-45756</f>
        <v>5990708</v>
      </c>
      <c r="AB71" s="5"/>
      <c r="AC71" s="5">
        <v>2452872</v>
      </c>
      <c r="AD71" s="5"/>
      <c r="AE71" s="5">
        <v>2563496</v>
      </c>
      <c r="AF71" s="5"/>
    </row>
    <row r="72" spans="1:34" x14ac:dyDescent="0.2">
      <c r="A72" s="1">
        <f t="shared" si="0"/>
        <v>72</v>
      </c>
      <c r="B72" t="s">
        <v>70</v>
      </c>
      <c r="C72" s="5">
        <v>135646</v>
      </c>
      <c r="D72" s="5"/>
      <c r="E72" s="5">
        <v>855614</v>
      </c>
      <c r="F72" s="5"/>
      <c r="G72" s="5">
        <v>274243</v>
      </c>
      <c r="H72" s="5"/>
      <c r="I72" s="5">
        <v>281165</v>
      </c>
      <c r="J72" s="5"/>
      <c r="K72" s="5">
        <v>332209</v>
      </c>
      <c r="L72" s="5"/>
      <c r="M72" s="5">
        <f>122603+579960</f>
        <v>702563</v>
      </c>
      <c r="N72" s="5"/>
      <c r="O72" s="5">
        <v>160836</v>
      </c>
      <c r="P72" s="5"/>
      <c r="Q72" s="5">
        <v>292001</v>
      </c>
      <c r="R72" s="5"/>
      <c r="S72" s="5">
        <v>549271</v>
      </c>
      <c r="T72" s="5"/>
      <c r="U72" s="5">
        <v>156750</v>
      </c>
      <c r="V72" s="5"/>
      <c r="W72" s="5">
        <v>491856</v>
      </c>
      <c r="X72" s="5"/>
      <c r="Y72" s="5">
        <v>1363482</v>
      </c>
      <c r="Z72" s="5"/>
      <c r="AA72" s="5">
        <f>-6106+805560</f>
        <v>799454</v>
      </c>
      <c r="AB72" s="5"/>
      <c r="AC72" s="5">
        <v>327334</v>
      </c>
      <c r="AD72" s="5"/>
      <c r="AE72" s="5">
        <v>321873</v>
      </c>
      <c r="AF72" s="5"/>
    </row>
    <row r="73" spans="1:34" x14ac:dyDescent="0.2">
      <c r="A73" s="1">
        <f t="shared" si="0"/>
        <v>73</v>
      </c>
      <c r="B73" t="s">
        <v>140</v>
      </c>
      <c r="C73" s="5">
        <f>C71-C72</f>
        <v>903293</v>
      </c>
      <c r="D73" s="5"/>
      <c r="E73" s="5">
        <f>E71-E72</f>
        <v>5555949</v>
      </c>
      <c r="F73" s="5"/>
      <c r="G73" s="5">
        <f>G71-G72</f>
        <v>1780787</v>
      </c>
      <c r="H73" s="5"/>
      <c r="I73" s="5">
        <f>I71-I72</f>
        <v>1825750</v>
      </c>
      <c r="J73" s="5"/>
      <c r="K73" s="5">
        <f>K71-K72</f>
        <v>2157209</v>
      </c>
      <c r="L73" s="5"/>
      <c r="M73" s="5">
        <f>M71-M72</f>
        <v>4807782</v>
      </c>
      <c r="N73" s="5"/>
      <c r="O73" s="5">
        <f>O71-O72</f>
        <v>1044383</v>
      </c>
      <c r="P73" s="5"/>
      <c r="Q73" s="5">
        <f>Q71-Q72</f>
        <v>1896107</v>
      </c>
      <c r="R73" s="5"/>
      <c r="S73" s="5">
        <f>S71-S72</f>
        <v>3566666</v>
      </c>
      <c r="T73" s="5"/>
      <c r="U73" s="5">
        <f>U71-U72</f>
        <v>1017855</v>
      </c>
      <c r="V73" s="5"/>
      <c r="W73" s="5">
        <f>W71-W72</f>
        <v>3193868</v>
      </c>
      <c r="X73" s="5"/>
      <c r="Y73" s="5">
        <f>Y71-Y72</f>
        <v>8771107</v>
      </c>
      <c r="Z73" s="5"/>
      <c r="AA73" s="5">
        <f>AA71-AA72</f>
        <v>5191254</v>
      </c>
      <c r="AB73" s="5"/>
      <c r="AC73" s="5">
        <f>AC71-AC72</f>
        <v>2125538</v>
      </c>
      <c r="AD73" s="5"/>
      <c r="AE73" s="5">
        <f>AE71-AE72</f>
        <v>2241623</v>
      </c>
      <c r="AF73" s="5"/>
    </row>
    <row r="74" spans="1:34" x14ac:dyDescent="0.2">
      <c r="A74" s="1">
        <f t="shared" si="0"/>
        <v>74</v>
      </c>
      <c r="B74" t="s">
        <v>160</v>
      </c>
      <c r="C74" s="5">
        <f>'FAC Recalc'!D89</f>
        <v>5842</v>
      </c>
      <c r="D74" s="5"/>
      <c r="E74" s="5">
        <f>'FAC Recalc'!F89</f>
        <v>38190</v>
      </c>
      <c r="F74" s="5"/>
      <c r="G74" s="5">
        <f>'FAC Recalc'!H89</f>
        <v>11564</v>
      </c>
      <c r="H74" s="5"/>
      <c r="I74" s="5">
        <f>'FAC Recalc'!J89</f>
        <v>12055</v>
      </c>
      <c r="J74" s="5"/>
      <c r="K74" s="5">
        <f>'FAC Recalc'!L89</f>
        <v>14689</v>
      </c>
      <c r="L74" s="5"/>
      <c r="M74" s="5">
        <f>'FAC Recalc'!N89</f>
        <v>32947</v>
      </c>
      <c r="N74" s="5"/>
      <c r="O74" s="5">
        <f>'FAC Recalc'!P89</f>
        <v>6859</v>
      </c>
      <c r="P74" s="5"/>
      <c r="Q74" s="5">
        <f>'FAC Recalc'!R89</f>
        <v>12680</v>
      </c>
      <c r="R74" s="5"/>
      <c r="S74" s="5">
        <f>'FAC Recalc'!T89</f>
        <v>23656</v>
      </c>
      <c r="T74" s="5"/>
      <c r="U74" s="5">
        <f>'FAC Recalc'!V89</f>
        <v>6669</v>
      </c>
      <c r="V74" s="5"/>
      <c r="W74" s="5">
        <f>'FAC Recalc'!X89</f>
        <v>22229</v>
      </c>
      <c r="X74" s="5"/>
      <c r="Y74" s="5">
        <f>'FAC Recalc'!Z89</f>
        <v>72268</v>
      </c>
      <c r="Z74" s="5"/>
      <c r="AA74" s="5">
        <f>'FAC Recalc'!AB89</f>
        <v>34890</v>
      </c>
      <c r="AB74" s="5"/>
      <c r="AC74" s="5">
        <f>'FAC Recalc'!AD89</f>
        <v>14877</v>
      </c>
      <c r="AD74" s="5"/>
      <c r="AE74" s="5">
        <f>'FAC Recalc'!AF89</f>
        <v>13024</v>
      </c>
      <c r="AF74" s="5"/>
    </row>
    <row r="75" spans="1:34" x14ac:dyDescent="0.2">
      <c r="A75" s="1">
        <f t="shared" si="0"/>
        <v>75</v>
      </c>
      <c r="B75" t="s">
        <v>161</v>
      </c>
      <c r="C75" s="5">
        <f>'Demand-Energy Alloc - After'!D62</f>
        <v>8572</v>
      </c>
      <c r="D75" s="5"/>
      <c r="E75" s="5">
        <f>'Demand-Energy Alloc - After'!E62</f>
        <v>41794</v>
      </c>
      <c r="F75" s="5"/>
      <c r="G75" s="5">
        <f>'Demand-Energy Alloc - After'!F62</f>
        <v>16592</v>
      </c>
      <c r="H75" s="5"/>
      <c r="I75" s="5">
        <f>'Demand-Energy Alloc - After'!G62</f>
        <v>16843</v>
      </c>
      <c r="J75" s="5"/>
      <c r="K75" s="5">
        <f>'Demand-Energy Alloc - After'!H62</f>
        <v>17074</v>
      </c>
      <c r="L75" s="5"/>
      <c r="M75" s="5">
        <f>'Demand-Energy Alloc - After'!I62</f>
        <v>15866</v>
      </c>
      <c r="N75" s="5"/>
      <c r="O75" s="5">
        <f>'Demand-Energy Alloc - After'!J62</f>
        <v>8746</v>
      </c>
      <c r="P75" s="5"/>
      <c r="Q75" s="5">
        <f>'Demand-Energy Alloc - After'!K62</f>
        <v>15171</v>
      </c>
      <c r="R75" s="5"/>
      <c r="S75" s="5">
        <f>'Demand-Energy Alloc - After'!L62</f>
        <v>30702</v>
      </c>
      <c r="T75" s="5"/>
      <c r="U75" s="5">
        <f>'Demand-Energy Alloc - After'!M62</f>
        <v>9557</v>
      </c>
      <c r="V75" s="5"/>
      <c r="W75" s="5">
        <f>'Demand-Energy Alloc - After'!N62</f>
        <v>24057</v>
      </c>
      <c r="X75" s="5"/>
      <c r="Y75" s="5">
        <f>'Demand-Energy Alloc - After'!O62</f>
        <v>43100</v>
      </c>
      <c r="Z75" s="5"/>
      <c r="AA75" s="5">
        <f>'Demand-Energy Alloc - After'!P62</f>
        <v>44685</v>
      </c>
      <c r="AB75" s="5"/>
      <c r="AC75" s="5">
        <f>'Demand-Energy Alloc - After'!Q62</f>
        <v>13055</v>
      </c>
      <c r="AD75" s="5"/>
      <c r="AE75" s="5">
        <f>'Demand-Energy Alloc - After'!R62</f>
        <v>16561</v>
      </c>
      <c r="AF75" s="5"/>
    </row>
    <row r="76" spans="1:34" x14ac:dyDescent="0.2">
      <c r="A76" s="1">
        <f t="shared" si="0"/>
        <v>76</v>
      </c>
      <c r="B76" t="s">
        <v>162</v>
      </c>
      <c r="C76" s="5">
        <f>'Demand-Energy Alloc - After'!D63</f>
        <v>25711</v>
      </c>
      <c r="D76" s="5"/>
      <c r="E76" s="5">
        <f>'Demand-Energy Alloc - After'!E63</f>
        <v>128565</v>
      </c>
      <c r="F76" s="5"/>
      <c r="G76" s="5">
        <f>'Demand-Energy Alloc - After'!F63</f>
        <v>52761</v>
      </c>
      <c r="H76" s="5"/>
      <c r="I76" s="5">
        <f>'Demand-Energy Alloc - After'!G63</f>
        <v>54997</v>
      </c>
      <c r="J76" s="5"/>
      <c r="K76" s="5">
        <f>'Demand-Energy Alloc - After'!H63</f>
        <v>57612</v>
      </c>
      <c r="L76" s="5"/>
      <c r="M76" s="5">
        <f>'Demand-Energy Alloc - After'!I63</f>
        <v>53755</v>
      </c>
      <c r="N76" s="5"/>
      <c r="O76" s="5">
        <f>'Demand-Energy Alloc - After'!J63</f>
        <v>26791</v>
      </c>
      <c r="P76" s="5"/>
      <c r="Q76" s="5">
        <f>'Demand-Energy Alloc - After'!K63</f>
        <v>47511</v>
      </c>
      <c r="R76" s="5"/>
      <c r="S76" s="5">
        <f>'Demand-Energy Alloc - After'!L63</f>
        <v>97053</v>
      </c>
      <c r="T76" s="5"/>
      <c r="U76" s="5">
        <f>'Demand-Energy Alloc - After'!M63</f>
        <v>30432</v>
      </c>
      <c r="V76" s="5"/>
      <c r="W76" s="5">
        <f>'Demand-Energy Alloc - After'!N63</f>
        <v>76117</v>
      </c>
      <c r="X76" s="5"/>
      <c r="Y76" s="5">
        <f>'Demand-Energy Alloc - After'!O63</f>
        <v>133426</v>
      </c>
      <c r="Z76" s="5"/>
      <c r="AA76" s="5">
        <f>'Demand-Energy Alloc - After'!P63</f>
        <v>139119</v>
      </c>
      <c r="AB76" s="5"/>
      <c r="AC76" s="5">
        <f>'Demand-Energy Alloc - After'!Q63</f>
        <v>41289</v>
      </c>
      <c r="AD76" s="5"/>
      <c r="AE76" s="5">
        <f>'Demand-Energy Alloc - After'!R63</f>
        <v>55689</v>
      </c>
      <c r="AF76" s="5"/>
    </row>
    <row r="77" spans="1:34" x14ac:dyDescent="0.2">
      <c r="A77" s="1">
        <f t="shared" si="0"/>
        <v>77</v>
      </c>
      <c r="B77" t="s">
        <v>163</v>
      </c>
      <c r="C77" s="5">
        <f>SUM(C73:C76)</f>
        <v>943418</v>
      </c>
      <c r="D77" s="5"/>
      <c r="E77" s="5">
        <f t="shared" ref="E77" si="169">SUM(E73:E76)</f>
        <v>5764498</v>
      </c>
      <c r="F77" s="5"/>
      <c r="G77" s="5">
        <f t="shared" ref="G77" si="170">SUM(G73:G76)</f>
        <v>1861704</v>
      </c>
      <c r="H77" s="5"/>
      <c r="I77" s="5">
        <f t="shared" ref="I77" si="171">SUM(I73:I76)</f>
        <v>1909645</v>
      </c>
      <c r="J77" s="5"/>
      <c r="K77" s="5">
        <f t="shared" ref="K77" si="172">SUM(K73:K76)</f>
        <v>2246584</v>
      </c>
      <c r="L77" s="5"/>
      <c r="M77" s="5">
        <f t="shared" ref="M77" si="173">SUM(M73:M76)</f>
        <v>4910350</v>
      </c>
      <c r="N77" s="5"/>
      <c r="O77" s="5">
        <f t="shared" ref="O77" si="174">SUM(O73:O76)</f>
        <v>1086779</v>
      </c>
      <c r="P77" s="5"/>
      <c r="Q77" s="5">
        <f t="shared" ref="Q77" si="175">SUM(Q73:Q76)</f>
        <v>1971469</v>
      </c>
      <c r="R77" s="5"/>
      <c r="S77" s="5">
        <f t="shared" ref="S77" si="176">SUM(S73:S76)</f>
        <v>3718077</v>
      </c>
      <c r="T77" s="5"/>
      <c r="U77" s="5">
        <f t="shared" ref="U77" si="177">SUM(U73:U76)</f>
        <v>1064513</v>
      </c>
      <c r="V77" s="5"/>
      <c r="W77" s="5">
        <f t="shared" ref="W77" si="178">SUM(W73:W76)</f>
        <v>3316271</v>
      </c>
      <c r="X77" s="5"/>
      <c r="Y77" s="5">
        <f t="shared" ref="Y77" si="179">SUM(Y73:Y76)</f>
        <v>9019901</v>
      </c>
      <c r="Z77" s="5"/>
      <c r="AA77" s="5">
        <f t="shared" ref="AA77" si="180">SUM(AA73:AA76)</f>
        <v>5409948</v>
      </c>
      <c r="AB77" s="5"/>
      <c r="AC77" s="5">
        <f t="shared" ref="AC77" si="181">SUM(AC73:AC76)</f>
        <v>2194759</v>
      </c>
      <c r="AD77" s="5"/>
      <c r="AE77" s="5">
        <f t="shared" ref="AE77" si="182">SUM(AE73:AE76)</f>
        <v>2326897</v>
      </c>
      <c r="AF77" s="5"/>
    </row>
    <row r="78" spans="1:34" x14ac:dyDescent="0.2">
      <c r="A78" s="1">
        <f t="shared" si="0"/>
        <v>78</v>
      </c>
      <c r="B78" t="s">
        <v>72</v>
      </c>
      <c r="C78" s="6">
        <f>0.154+C3</f>
        <v>0.15521499999999999</v>
      </c>
      <c r="D78" s="10"/>
      <c r="E78" s="6">
        <f>C78</f>
        <v>0.15521499999999999</v>
      </c>
      <c r="F78" s="6"/>
      <c r="G78" s="6">
        <f>E78</f>
        <v>0.15521499999999999</v>
      </c>
      <c r="H78" s="6"/>
      <c r="I78" s="6">
        <f t="shared" ref="I78" si="183">G78</f>
        <v>0.15521499999999999</v>
      </c>
      <c r="J78" s="6"/>
      <c r="K78" s="6">
        <f t="shared" ref="K78" si="184">I78</f>
        <v>0.15521499999999999</v>
      </c>
      <c r="L78" s="6"/>
      <c r="M78" s="6">
        <f t="shared" ref="M78" si="185">K78</f>
        <v>0.15521499999999999</v>
      </c>
      <c r="N78" s="6"/>
      <c r="O78" s="6">
        <f t="shared" ref="O78" si="186">M78</f>
        <v>0.15521499999999999</v>
      </c>
      <c r="P78" s="6"/>
      <c r="Q78" s="6">
        <f t="shared" ref="Q78" si="187">O78</f>
        <v>0.15521499999999999</v>
      </c>
      <c r="R78" s="6"/>
      <c r="S78" s="6">
        <f t="shared" ref="S78" si="188">Q78</f>
        <v>0.15521499999999999</v>
      </c>
      <c r="T78" s="6"/>
      <c r="U78" s="6">
        <f t="shared" ref="U78" si="189">S78</f>
        <v>0.15521499999999999</v>
      </c>
      <c r="V78" s="6"/>
      <c r="W78" s="6">
        <f t="shared" ref="W78" si="190">U78</f>
        <v>0.15521499999999999</v>
      </c>
      <c r="X78" s="6"/>
      <c r="Y78" s="6">
        <f t="shared" ref="Y78" si="191">W78</f>
        <v>0.15521499999999999</v>
      </c>
      <c r="Z78" s="6"/>
      <c r="AA78" s="6">
        <f t="shared" ref="AA78" si="192">Y78</f>
        <v>0.15521499999999999</v>
      </c>
      <c r="AB78" s="6"/>
      <c r="AC78" s="6">
        <f t="shared" ref="AC78" si="193">AA78</f>
        <v>0.15521499999999999</v>
      </c>
      <c r="AD78" s="6"/>
      <c r="AE78" s="6">
        <f t="shared" ref="AE78" si="194">AC78</f>
        <v>0.15521499999999999</v>
      </c>
      <c r="AF78" s="6"/>
    </row>
    <row r="79" spans="1:34" x14ac:dyDescent="0.2">
      <c r="A79" s="1">
        <f t="shared" si="0"/>
        <v>79</v>
      </c>
      <c r="B79" t="s">
        <v>73</v>
      </c>
      <c r="C79" s="5">
        <f>ROUND(C77*C78,0)</f>
        <v>146433</v>
      </c>
      <c r="D79" s="5"/>
      <c r="E79" s="5">
        <f t="shared" ref="E79" si="195">ROUND(E77*E78,0)</f>
        <v>894737</v>
      </c>
      <c r="F79" s="5"/>
      <c r="G79" s="5">
        <f t="shared" ref="G79" si="196">ROUND(G77*G78,0)</f>
        <v>288964</v>
      </c>
      <c r="H79" s="5"/>
      <c r="I79" s="5">
        <f t="shared" ref="I79" si="197">ROUND(I77*I78,0)</f>
        <v>296406</v>
      </c>
      <c r="J79" s="5"/>
      <c r="K79" s="5">
        <f t="shared" ref="K79" si="198">ROUND(K77*K78,0)</f>
        <v>348704</v>
      </c>
      <c r="L79" s="5"/>
      <c r="M79" s="5">
        <f t="shared" ref="M79" si="199">ROUND(M77*M78,0)</f>
        <v>762160</v>
      </c>
      <c r="N79" s="5"/>
      <c r="O79" s="5">
        <f t="shared" ref="O79" si="200">ROUND(O77*O78,0)</f>
        <v>168684</v>
      </c>
      <c r="P79" s="5"/>
      <c r="Q79" s="5">
        <f t="shared" ref="Q79" si="201">ROUND(Q77*Q78,0)</f>
        <v>306002</v>
      </c>
      <c r="R79" s="5"/>
      <c r="S79" s="5">
        <f t="shared" ref="S79" si="202">ROUND(S77*S78,0)</f>
        <v>577101</v>
      </c>
      <c r="T79" s="5"/>
      <c r="U79" s="5">
        <f t="shared" ref="U79" si="203">ROUND(U77*U78,0)</f>
        <v>165228</v>
      </c>
      <c r="V79" s="5"/>
      <c r="W79" s="5">
        <f t="shared" ref="W79" si="204">ROUND(W77*W78,0)</f>
        <v>514735</v>
      </c>
      <c r="X79" s="5"/>
      <c r="Y79" s="5">
        <f t="shared" ref="Y79" si="205">ROUND(Y77*Y78,0)</f>
        <v>1400024</v>
      </c>
      <c r="Z79" s="5"/>
      <c r="AA79" s="5">
        <f t="shared" ref="AA79" si="206">ROUND(AA77*AA78,0)</f>
        <v>839705</v>
      </c>
      <c r="AB79" s="5"/>
      <c r="AC79" s="5">
        <f t="shared" ref="AC79" si="207">ROUND(AC77*AC78,0)</f>
        <v>340660</v>
      </c>
      <c r="AD79" s="5"/>
      <c r="AE79" s="5">
        <f t="shared" ref="AE79" si="208">ROUND(AE77*AE78,0)</f>
        <v>361169</v>
      </c>
      <c r="AF79" s="5"/>
    </row>
    <row r="80" spans="1:34" x14ac:dyDescent="0.2">
      <c r="A80" s="1">
        <f t="shared" si="0"/>
        <v>80</v>
      </c>
      <c r="B80" t="s">
        <v>74</v>
      </c>
      <c r="C80" s="5"/>
      <c r="D80" s="5">
        <f>C79-C72</f>
        <v>10787</v>
      </c>
      <c r="E80" s="5"/>
      <c r="F80" s="5">
        <f>E79-E72</f>
        <v>39123</v>
      </c>
      <c r="G80" s="5"/>
      <c r="H80" s="5">
        <f>G79-G72</f>
        <v>14721</v>
      </c>
      <c r="I80" s="5"/>
      <c r="J80" s="5">
        <f>I79-I72</f>
        <v>15241</v>
      </c>
      <c r="K80" s="5"/>
      <c r="L80" s="5">
        <f>K79-K72</f>
        <v>16495</v>
      </c>
      <c r="M80" s="5"/>
      <c r="N80" s="5">
        <f>M79-M72</f>
        <v>59597</v>
      </c>
      <c r="O80" s="5"/>
      <c r="P80" s="5">
        <f>O79-O72</f>
        <v>7848</v>
      </c>
      <c r="Q80" s="5"/>
      <c r="R80" s="5">
        <f>Q79-Q72</f>
        <v>14001</v>
      </c>
      <c r="S80" s="5"/>
      <c r="T80" s="5">
        <f>S79-S72</f>
        <v>27830</v>
      </c>
      <c r="U80" s="5"/>
      <c r="V80" s="5">
        <f>U79-U72</f>
        <v>8478</v>
      </c>
      <c r="W80" s="5"/>
      <c r="X80" s="5">
        <f>W79-W72</f>
        <v>22879</v>
      </c>
      <c r="Y80" s="5"/>
      <c r="Z80" s="5">
        <f>Y79-Y72</f>
        <v>36542</v>
      </c>
      <c r="AA80" s="5"/>
      <c r="AB80" s="5">
        <f>AA79-AA72</f>
        <v>40251</v>
      </c>
      <c r="AC80" s="5"/>
      <c r="AD80" s="5">
        <f>AC79-AC72</f>
        <v>13326</v>
      </c>
      <c r="AE80" s="5"/>
      <c r="AF80" s="5">
        <f>AE79-AE72</f>
        <v>39296</v>
      </c>
      <c r="AG80" s="5">
        <f>SUM(D80:AF80)</f>
        <v>366415</v>
      </c>
      <c r="AH80" s="5">
        <f>-'Billing Impact'!G92</f>
        <v>343487</v>
      </c>
    </row>
    <row r="81" spans="1:34" x14ac:dyDescent="0.2">
      <c r="A81" s="1">
        <f t="shared" si="0"/>
        <v>81</v>
      </c>
    </row>
    <row r="82" spans="1:34" x14ac:dyDescent="0.2">
      <c r="A82" s="1">
        <f t="shared" si="0"/>
        <v>82</v>
      </c>
      <c r="B82" t="s">
        <v>17</v>
      </c>
    </row>
    <row r="83" spans="1:34" x14ac:dyDescent="0.2">
      <c r="A83" s="1">
        <f t="shared" si="0"/>
        <v>83</v>
      </c>
      <c r="B83" t="s">
        <v>69</v>
      </c>
      <c r="C83" s="5">
        <v>1197203</v>
      </c>
      <c r="D83" s="5"/>
      <c r="E83" s="5">
        <v>7540857</v>
      </c>
      <c r="F83" s="5"/>
      <c r="G83" s="5">
        <v>2423444</v>
      </c>
      <c r="H83" s="5"/>
      <c r="I83" s="5">
        <v>2299714</v>
      </c>
      <c r="J83" s="5"/>
      <c r="K83" s="5">
        <v>2943050</v>
      </c>
      <c r="L83" s="5"/>
      <c r="M83" s="5">
        <f>4805157+945873</f>
        <v>5751030</v>
      </c>
      <c r="N83" s="5"/>
      <c r="O83" s="5">
        <v>1412925</v>
      </c>
      <c r="P83" s="5"/>
      <c r="Q83" s="5">
        <v>2549923</v>
      </c>
      <c r="R83" s="5"/>
      <c r="S83" s="5">
        <v>4637164</v>
      </c>
      <c r="T83" s="5"/>
      <c r="U83" s="5">
        <v>1334951</v>
      </c>
      <c r="V83" s="5"/>
      <c r="W83" s="5">
        <v>4312227</v>
      </c>
      <c r="X83" s="5"/>
      <c r="Y83" s="5">
        <v>11297367</v>
      </c>
      <c r="Z83" s="5"/>
      <c r="AA83" s="5">
        <f>7165693-64447</f>
        <v>7101246</v>
      </c>
      <c r="AB83" s="5"/>
      <c r="AC83" s="5">
        <v>2796140</v>
      </c>
      <c r="AD83" s="5"/>
      <c r="AE83" s="5">
        <v>2952714</v>
      </c>
      <c r="AF83" s="5"/>
    </row>
    <row r="84" spans="1:34" x14ac:dyDescent="0.2">
      <c r="A84" s="1">
        <f t="shared" si="0"/>
        <v>84</v>
      </c>
      <c r="B84" t="s">
        <v>70</v>
      </c>
      <c r="C84" s="5">
        <v>198368</v>
      </c>
      <c r="D84" s="5"/>
      <c r="E84" s="5">
        <v>1249472</v>
      </c>
      <c r="F84" s="5"/>
      <c r="G84" s="5">
        <v>401548</v>
      </c>
      <c r="H84" s="5"/>
      <c r="I84" s="5">
        <v>381046</v>
      </c>
      <c r="J84" s="5"/>
      <c r="K84" s="5">
        <v>489190</v>
      </c>
      <c r="L84" s="5"/>
      <c r="M84" s="5">
        <f>160177+768070</f>
        <v>928247</v>
      </c>
      <c r="N84" s="5"/>
      <c r="O84" s="5">
        <v>234112</v>
      </c>
      <c r="P84" s="5"/>
      <c r="Q84" s="5">
        <v>422505</v>
      </c>
      <c r="R84" s="5"/>
      <c r="S84" s="5">
        <v>768348</v>
      </c>
      <c r="T84" s="5"/>
      <c r="U84" s="5">
        <v>221193</v>
      </c>
      <c r="V84" s="5"/>
      <c r="W84" s="5">
        <v>714506</v>
      </c>
      <c r="X84" s="5"/>
      <c r="Y84" s="5">
        <v>1881029</v>
      </c>
      <c r="Z84" s="5"/>
      <c r="AA84" s="5">
        <f>-10678+1187305</f>
        <v>1176627</v>
      </c>
      <c r="AB84" s="5"/>
      <c r="AC84" s="5">
        <v>463302</v>
      </c>
      <c r="AD84" s="5"/>
      <c r="AE84" s="5">
        <v>467831</v>
      </c>
      <c r="AF84" s="5"/>
    </row>
    <row r="85" spans="1:34" x14ac:dyDescent="0.2">
      <c r="A85" s="1">
        <f t="shared" si="0"/>
        <v>85</v>
      </c>
      <c r="B85" t="s">
        <v>140</v>
      </c>
      <c r="C85" s="5">
        <f>C83-C84</f>
        <v>998835</v>
      </c>
      <c r="D85" s="5"/>
      <c r="E85" s="5">
        <f>E83-E84</f>
        <v>6291385</v>
      </c>
      <c r="F85" s="5"/>
      <c r="G85" s="5">
        <f>G83-G84</f>
        <v>2021896</v>
      </c>
      <c r="H85" s="5"/>
      <c r="I85" s="5">
        <f>I83-I84</f>
        <v>1918668</v>
      </c>
      <c r="J85" s="5"/>
      <c r="K85" s="5">
        <f>K83-K84</f>
        <v>2453860</v>
      </c>
      <c r="L85" s="5"/>
      <c r="M85" s="5">
        <f>M83-M84</f>
        <v>4822783</v>
      </c>
      <c r="N85" s="5"/>
      <c r="O85" s="5">
        <f>O83-O84</f>
        <v>1178813</v>
      </c>
      <c r="P85" s="5"/>
      <c r="Q85" s="5">
        <f>Q83-Q84</f>
        <v>2127418</v>
      </c>
      <c r="R85" s="5"/>
      <c r="S85" s="5">
        <f>S83-S84</f>
        <v>3868816</v>
      </c>
      <c r="T85" s="5"/>
      <c r="U85" s="5">
        <f>U83-U84</f>
        <v>1113758</v>
      </c>
      <c r="V85" s="5"/>
      <c r="W85" s="5">
        <f>W83-W84</f>
        <v>3597721</v>
      </c>
      <c r="X85" s="5"/>
      <c r="Y85" s="5">
        <f>Y83-Y84</f>
        <v>9416338</v>
      </c>
      <c r="Z85" s="5"/>
      <c r="AA85" s="5">
        <f>AA83-AA84</f>
        <v>5924619</v>
      </c>
      <c r="AB85" s="5"/>
      <c r="AC85" s="5">
        <f>AC83-AC84</f>
        <v>2332838</v>
      </c>
      <c r="AD85" s="5"/>
      <c r="AE85" s="5">
        <f>AE83-AE84</f>
        <v>2484883</v>
      </c>
      <c r="AF85" s="5"/>
    </row>
    <row r="86" spans="1:34" x14ac:dyDescent="0.2">
      <c r="A86" s="1">
        <f t="shared" si="0"/>
        <v>86</v>
      </c>
      <c r="B86" t="s">
        <v>160</v>
      </c>
      <c r="C86" s="5">
        <f>'FAC Recalc'!D97</f>
        <v>5690</v>
      </c>
      <c r="D86" s="5"/>
      <c r="E86" s="5">
        <f>'FAC Recalc'!F97</f>
        <v>37509</v>
      </c>
      <c r="F86" s="5"/>
      <c r="G86" s="5">
        <f>'FAC Recalc'!H97</f>
        <v>11343</v>
      </c>
      <c r="H86" s="5"/>
      <c r="I86" s="5">
        <f>'FAC Recalc'!J97</f>
        <v>11234</v>
      </c>
      <c r="J86" s="5"/>
      <c r="K86" s="5">
        <f>'FAC Recalc'!L97</f>
        <v>14339</v>
      </c>
      <c r="L86" s="5"/>
      <c r="M86" s="5">
        <f>'FAC Recalc'!N97</f>
        <v>29111</v>
      </c>
      <c r="N86" s="5"/>
      <c r="O86" s="5">
        <f>'FAC Recalc'!P97</f>
        <v>6674</v>
      </c>
      <c r="P86" s="5"/>
      <c r="Q86" s="5">
        <f>'FAC Recalc'!R97</f>
        <v>12093</v>
      </c>
      <c r="R86" s="5"/>
      <c r="S86" s="5">
        <f>'FAC Recalc'!T97</f>
        <v>22383</v>
      </c>
      <c r="T86" s="5"/>
      <c r="U86" s="5">
        <f>'FAC Recalc'!V97</f>
        <v>6352</v>
      </c>
      <c r="V86" s="5"/>
      <c r="W86" s="5">
        <f>'FAC Recalc'!X97</f>
        <v>21305</v>
      </c>
      <c r="X86" s="5"/>
      <c r="Y86" s="5">
        <f>'FAC Recalc'!Z97</f>
        <v>65824</v>
      </c>
      <c r="Z86" s="5"/>
      <c r="AA86" s="5">
        <f>'FAC Recalc'!AB97</f>
        <v>34347</v>
      </c>
      <c r="AB86" s="5"/>
      <c r="AC86" s="5">
        <f>'FAC Recalc'!AD97</f>
        <v>14012</v>
      </c>
      <c r="AD86" s="5"/>
      <c r="AE86" s="5">
        <f>'FAC Recalc'!AF97</f>
        <v>12707</v>
      </c>
      <c r="AF86" s="5"/>
    </row>
    <row r="87" spans="1:34" x14ac:dyDescent="0.2">
      <c r="A87" s="1">
        <f t="shared" si="0"/>
        <v>87</v>
      </c>
      <c r="B87" t="s">
        <v>161</v>
      </c>
      <c r="C87" s="5">
        <f>'Demand-Energy Alloc - After'!D72</f>
        <v>7853</v>
      </c>
      <c r="D87" s="5"/>
      <c r="E87" s="5">
        <f>'Demand-Energy Alloc - After'!E72</f>
        <v>41808</v>
      </c>
      <c r="F87" s="5"/>
      <c r="G87" s="5">
        <f>'Demand-Energy Alloc - After'!F72</f>
        <v>16550</v>
      </c>
      <c r="H87" s="5"/>
      <c r="I87" s="5">
        <f>'Demand-Energy Alloc - After'!G72</f>
        <v>13956</v>
      </c>
      <c r="J87" s="5"/>
      <c r="K87" s="5">
        <f>'Demand-Energy Alloc - After'!H72</f>
        <v>18142</v>
      </c>
      <c r="L87" s="5"/>
      <c r="M87" s="5">
        <f>'Demand-Energy Alloc - After'!I72</f>
        <v>16047</v>
      </c>
      <c r="N87" s="5"/>
      <c r="O87" s="5">
        <f>'Demand-Energy Alloc - After'!J72</f>
        <v>8726</v>
      </c>
      <c r="P87" s="5"/>
      <c r="Q87" s="5">
        <f>'Demand-Energy Alloc - After'!K72</f>
        <v>15911</v>
      </c>
      <c r="R87" s="5"/>
      <c r="S87" s="5">
        <f>'Demand-Energy Alloc - After'!L72</f>
        <v>28100</v>
      </c>
      <c r="T87" s="5"/>
      <c r="U87" s="5">
        <f>'Demand-Energy Alloc - After'!M72</f>
        <v>8862</v>
      </c>
      <c r="V87" s="5"/>
      <c r="W87" s="5">
        <f>'Demand-Energy Alloc - After'!N72</f>
        <v>25422</v>
      </c>
      <c r="X87" s="5"/>
      <c r="Y87" s="5">
        <f>'Demand-Energy Alloc - After'!O72</f>
        <v>42444</v>
      </c>
      <c r="Z87" s="5"/>
      <c r="AA87" s="5">
        <f>'Demand-Energy Alloc - After'!P72</f>
        <v>45052</v>
      </c>
      <c r="AB87" s="5"/>
      <c r="AC87" s="5">
        <f>'Demand-Energy Alloc - After'!Q72</f>
        <v>12971</v>
      </c>
      <c r="AD87" s="5"/>
      <c r="AE87" s="5">
        <f>'Demand-Energy Alloc - After'!R72</f>
        <v>17580</v>
      </c>
      <c r="AF87" s="5"/>
    </row>
    <row r="88" spans="1:34" x14ac:dyDescent="0.2">
      <c r="A88" s="1">
        <f t="shared" si="0"/>
        <v>88</v>
      </c>
      <c r="B88" t="s">
        <v>162</v>
      </c>
      <c r="C88" s="5">
        <f>'Demand-Energy Alloc - After'!D73</f>
        <v>22183</v>
      </c>
      <c r="D88" s="5"/>
      <c r="E88" s="5">
        <f>'Demand-Energy Alloc - After'!E73</f>
        <v>112313</v>
      </c>
      <c r="F88" s="5"/>
      <c r="G88" s="5">
        <f>'Demand-Energy Alloc - After'!F73</f>
        <v>45688</v>
      </c>
      <c r="H88" s="5"/>
      <c r="I88" s="5">
        <f>'Demand-Energy Alloc - After'!G73</f>
        <v>45235</v>
      </c>
      <c r="J88" s="5"/>
      <c r="K88" s="5">
        <f>'Demand-Energy Alloc - After'!H73</f>
        <v>50127</v>
      </c>
      <c r="L88" s="5"/>
      <c r="M88" s="5">
        <f>'Demand-Energy Alloc - After'!I73</f>
        <v>45027</v>
      </c>
      <c r="N88" s="5"/>
      <c r="O88" s="5">
        <f>'Demand-Energy Alloc - After'!J73</f>
        <v>23165</v>
      </c>
      <c r="P88" s="5"/>
      <c r="Q88" s="5">
        <f>'Demand-Energy Alloc - After'!K73</f>
        <v>41099</v>
      </c>
      <c r="R88" s="5"/>
      <c r="S88" s="5">
        <f>'Demand-Energy Alloc - After'!L73</f>
        <v>81640</v>
      </c>
      <c r="T88" s="5"/>
      <c r="U88" s="5">
        <f>'Demand-Energy Alloc - After'!M73</f>
        <v>25573</v>
      </c>
      <c r="V88" s="5"/>
      <c r="W88" s="5">
        <f>'Demand-Energy Alloc - After'!N73</f>
        <v>66795</v>
      </c>
      <c r="X88" s="5"/>
      <c r="Y88" s="5">
        <f>'Demand-Energy Alloc - After'!O73</f>
        <v>119868</v>
      </c>
      <c r="Z88" s="5"/>
      <c r="AA88" s="5">
        <f>'Demand-Energy Alloc - After'!P73</f>
        <v>122607</v>
      </c>
      <c r="AB88" s="5"/>
      <c r="AC88" s="5">
        <f>'Demand-Energy Alloc - After'!Q73</f>
        <v>36037</v>
      </c>
      <c r="AD88" s="5"/>
      <c r="AE88" s="5">
        <f>'Demand-Energy Alloc - After'!R73</f>
        <v>48248</v>
      </c>
      <c r="AF88" s="5"/>
    </row>
    <row r="89" spans="1:34" x14ac:dyDescent="0.2">
      <c r="A89" s="1">
        <f t="shared" si="0"/>
        <v>89</v>
      </c>
      <c r="B89" t="s">
        <v>163</v>
      </c>
      <c r="C89" s="5">
        <f>SUM(C85:C88)</f>
        <v>1034561</v>
      </c>
      <c r="D89" s="5"/>
      <c r="E89" s="5">
        <f t="shared" ref="E89" si="209">SUM(E85:E88)</f>
        <v>6483015</v>
      </c>
      <c r="F89" s="5"/>
      <c r="G89" s="5">
        <f t="shared" ref="G89" si="210">SUM(G85:G88)</f>
        <v>2095477</v>
      </c>
      <c r="H89" s="5"/>
      <c r="I89" s="5">
        <f t="shared" ref="I89" si="211">SUM(I85:I88)</f>
        <v>1989093</v>
      </c>
      <c r="J89" s="5"/>
      <c r="K89" s="5">
        <f t="shared" ref="K89" si="212">SUM(K85:K88)</f>
        <v>2536468</v>
      </c>
      <c r="L89" s="5"/>
      <c r="M89" s="5">
        <f t="shared" ref="M89" si="213">SUM(M85:M88)</f>
        <v>4912968</v>
      </c>
      <c r="N89" s="5"/>
      <c r="O89" s="5">
        <f t="shared" ref="O89" si="214">SUM(O85:O88)</f>
        <v>1217378</v>
      </c>
      <c r="P89" s="5"/>
      <c r="Q89" s="5">
        <f t="shared" ref="Q89" si="215">SUM(Q85:Q88)</f>
        <v>2196521</v>
      </c>
      <c r="R89" s="5"/>
      <c r="S89" s="5">
        <f t="shared" ref="S89" si="216">SUM(S85:S88)</f>
        <v>4000939</v>
      </c>
      <c r="T89" s="5"/>
      <c r="U89" s="5">
        <f t="shared" ref="U89" si="217">SUM(U85:U88)</f>
        <v>1154545</v>
      </c>
      <c r="V89" s="5"/>
      <c r="W89" s="5">
        <f t="shared" ref="W89" si="218">SUM(W85:W88)</f>
        <v>3711243</v>
      </c>
      <c r="X89" s="5"/>
      <c r="Y89" s="5">
        <f t="shared" ref="Y89" si="219">SUM(Y85:Y88)</f>
        <v>9644474</v>
      </c>
      <c r="Z89" s="5"/>
      <c r="AA89" s="5">
        <f t="shared" ref="AA89" si="220">SUM(AA85:AA88)</f>
        <v>6126625</v>
      </c>
      <c r="AB89" s="5"/>
      <c r="AC89" s="5">
        <f t="shared" ref="AC89" si="221">SUM(AC85:AC88)</f>
        <v>2395858</v>
      </c>
      <c r="AD89" s="5"/>
      <c r="AE89" s="5">
        <f t="shared" ref="AE89" si="222">SUM(AE85:AE88)</f>
        <v>2563418</v>
      </c>
      <c r="AF89" s="5"/>
    </row>
    <row r="90" spans="1:34" x14ac:dyDescent="0.2">
      <c r="A90" s="1">
        <f t="shared" si="0"/>
        <v>90</v>
      </c>
      <c r="B90" t="s">
        <v>72</v>
      </c>
      <c r="C90" s="6">
        <f>0.1986+C3</f>
        <v>0.19981499999999999</v>
      </c>
      <c r="D90" s="10"/>
      <c r="E90" s="6">
        <f>C90</f>
        <v>0.19981499999999999</v>
      </c>
      <c r="F90" s="6"/>
      <c r="G90" s="6">
        <f>E90</f>
        <v>0.19981499999999999</v>
      </c>
      <c r="H90" s="6"/>
      <c r="I90" s="6">
        <f t="shared" ref="I90" si="223">G90</f>
        <v>0.19981499999999999</v>
      </c>
      <c r="J90" s="6"/>
      <c r="K90" s="6">
        <f t="shared" ref="K90" si="224">I90</f>
        <v>0.19981499999999999</v>
      </c>
      <c r="L90" s="6"/>
      <c r="M90" s="6">
        <f t="shared" ref="M90" si="225">K90</f>
        <v>0.19981499999999999</v>
      </c>
      <c r="N90" s="6"/>
      <c r="O90" s="6">
        <f t="shared" ref="O90" si="226">M90</f>
        <v>0.19981499999999999</v>
      </c>
      <c r="P90" s="6"/>
      <c r="Q90" s="6">
        <f t="shared" ref="Q90" si="227">O90</f>
        <v>0.19981499999999999</v>
      </c>
      <c r="R90" s="6"/>
      <c r="S90" s="6">
        <f t="shared" ref="S90" si="228">Q90</f>
        <v>0.19981499999999999</v>
      </c>
      <c r="T90" s="6"/>
      <c r="U90" s="6">
        <f t="shared" ref="U90" si="229">S90</f>
        <v>0.19981499999999999</v>
      </c>
      <c r="V90" s="6"/>
      <c r="W90" s="6">
        <f t="shared" ref="W90" si="230">U90</f>
        <v>0.19981499999999999</v>
      </c>
      <c r="X90" s="6"/>
      <c r="Y90" s="6">
        <f t="shared" ref="Y90" si="231">W90</f>
        <v>0.19981499999999999</v>
      </c>
      <c r="Z90" s="6"/>
      <c r="AA90" s="6">
        <f t="shared" ref="AA90" si="232">Y90</f>
        <v>0.19981499999999999</v>
      </c>
      <c r="AB90" s="6"/>
      <c r="AC90" s="6">
        <f t="shared" ref="AC90" si="233">AA90</f>
        <v>0.19981499999999999</v>
      </c>
      <c r="AD90" s="6"/>
      <c r="AE90" s="6">
        <f t="shared" ref="AE90" si="234">AC90</f>
        <v>0.19981499999999999</v>
      </c>
      <c r="AF90" s="6"/>
    </row>
    <row r="91" spans="1:34" x14ac:dyDescent="0.2">
      <c r="A91" s="1">
        <f t="shared" si="0"/>
        <v>91</v>
      </c>
      <c r="B91" t="s">
        <v>73</v>
      </c>
      <c r="C91" s="5">
        <f>ROUND(C89*C90,0)</f>
        <v>206721</v>
      </c>
      <c r="D91" s="5"/>
      <c r="E91" s="5">
        <f t="shared" ref="E91" si="235">ROUND(E89*E90,0)</f>
        <v>1295404</v>
      </c>
      <c r="F91" s="5"/>
      <c r="G91" s="5">
        <f t="shared" ref="G91" si="236">ROUND(G89*G90,0)</f>
        <v>418708</v>
      </c>
      <c r="H91" s="5"/>
      <c r="I91" s="5">
        <f t="shared" ref="I91" si="237">ROUND(I89*I90,0)</f>
        <v>397451</v>
      </c>
      <c r="J91" s="5"/>
      <c r="K91" s="5">
        <f t="shared" ref="K91" si="238">ROUND(K89*K90,0)</f>
        <v>506824</v>
      </c>
      <c r="L91" s="5"/>
      <c r="M91" s="5">
        <f t="shared" ref="M91" si="239">ROUND(M89*M90,0)</f>
        <v>981685</v>
      </c>
      <c r="N91" s="5"/>
      <c r="O91" s="5">
        <f t="shared" ref="O91" si="240">ROUND(O89*O90,0)</f>
        <v>243250</v>
      </c>
      <c r="P91" s="5"/>
      <c r="Q91" s="5">
        <f t="shared" ref="Q91" si="241">ROUND(Q89*Q90,0)</f>
        <v>438898</v>
      </c>
      <c r="R91" s="5"/>
      <c r="S91" s="5">
        <f t="shared" ref="S91" si="242">ROUND(S89*S90,0)</f>
        <v>799448</v>
      </c>
      <c r="T91" s="5"/>
      <c r="U91" s="5">
        <f t="shared" ref="U91" si="243">ROUND(U89*U90,0)</f>
        <v>230695</v>
      </c>
      <c r="V91" s="5"/>
      <c r="W91" s="5">
        <f t="shared" ref="W91" si="244">ROUND(W89*W90,0)</f>
        <v>741562</v>
      </c>
      <c r="X91" s="5"/>
      <c r="Y91" s="5">
        <f t="shared" ref="Y91" si="245">ROUND(Y89*Y90,0)</f>
        <v>1927111</v>
      </c>
      <c r="Z91" s="5"/>
      <c r="AA91" s="5">
        <f t="shared" ref="AA91" si="246">ROUND(AA89*AA90,0)</f>
        <v>1224192</v>
      </c>
      <c r="AB91" s="5"/>
      <c r="AC91" s="5">
        <f t="shared" ref="AC91" si="247">ROUND(AC89*AC90,0)</f>
        <v>478728</v>
      </c>
      <c r="AD91" s="5"/>
      <c r="AE91" s="5">
        <f t="shared" ref="AE91" si="248">ROUND(AE89*AE90,0)</f>
        <v>512209</v>
      </c>
      <c r="AF91" s="5"/>
    </row>
    <row r="92" spans="1:34" x14ac:dyDescent="0.2">
      <c r="A92" s="1">
        <f t="shared" si="0"/>
        <v>92</v>
      </c>
      <c r="B92" t="s">
        <v>74</v>
      </c>
      <c r="C92" s="5"/>
      <c r="D92" s="5">
        <f>C91-C84</f>
        <v>8353</v>
      </c>
      <c r="E92" s="5"/>
      <c r="F92" s="5">
        <f>E91-E84</f>
        <v>45932</v>
      </c>
      <c r="G92" s="5"/>
      <c r="H92" s="5">
        <f>G91-G84</f>
        <v>17160</v>
      </c>
      <c r="I92" s="5"/>
      <c r="J92" s="5">
        <f>I91-I84</f>
        <v>16405</v>
      </c>
      <c r="K92" s="5"/>
      <c r="L92" s="5">
        <f>K91-K84</f>
        <v>17634</v>
      </c>
      <c r="M92" s="5"/>
      <c r="N92" s="5">
        <f>M91-M84</f>
        <v>53438</v>
      </c>
      <c r="O92" s="5"/>
      <c r="P92" s="5">
        <f>O91-O84</f>
        <v>9138</v>
      </c>
      <c r="Q92" s="5"/>
      <c r="R92" s="5">
        <f>Q91-Q84</f>
        <v>16393</v>
      </c>
      <c r="S92" s="5"/>
      <c r="T92" s="5">
        <f>S91-S84</f>
        <v>31100</v>
      </c>
      <c r="U92" s="5"/>
      <c r="V92" s="5">
        <f>U91-U84</f>
        <v>9502</v>
      </c>
      <c r="W92" s="5"/>
      <c r="X92" s="5">
        <f>W91-W84</f>
        <v>27056</v>
      </c>
      <c r="Y92" s="5"/>
      <c r="Z92" s="5">
        <f>Y91-Y84</f>
        <v>46082</v>
      </c>
      <c r="AA92" s="5"/>
      <c r="AB92" s="5">
        <f>AA91-AA84</f>
        <v>47565</v>
      </c>
      <c r="AC92" s="5"/>
      <c r="AD92" s="5">
        <f>AC91-AC84</f>
        <v>15426</v>
      </c>
      <c r="AE92" s="5"/>
      <c r="AF92" s="5">
        <f>AE91-AE84</f>
        <v>44378</v>
      </c>
      <c r="AG92" s="5">
        <f>SUM(D92:AF92)</f>
        <v>405562</v>
      </c>
      <c r="AH92" s="5">
        <f>-'Billing Impact'!G95</f>
        <v>433152</v>
      </c>
    </row>
    <row r="93" spans="1:34" x14ac:dyDescent="0.2">
      <c r="A93" s="1">
        <f t="shared" si="0"/>
        <v>93</v>
      </c>
    </row>
    <row r="94" spans="1:34" x14ac:dyDescent="0.2">
      <c r="A94" s="1">
        <f t="shared" si="0"/>
        <v>94</v>
      </c>
      <c r="B94" t="s">
        <v>18</v>
      </c>
    </row>
    <row r="95" spans="1:34" x14ac:dyDescent="0.2">
      <c r="A95" s="1">
        <f t="shared" ref="A95:A189" si="249">A94+1</f>
        <v>95</v>
      </c>
      <c r="B95" t="s">
        <v>69</v>
      </c>
      <c r="C95" s="5">
        <v>1374164</v>
      </c>
      <c r="D95" s="5"/>
      <c r="E95" s="5">
        <v>8229716</v>
      </c>
      <c r="F95" s="5"/>
      <c r="G95" s="5">
        <v>2738018</v>
      </c>
      <c r="H95" s="5"/>
      <c r="I95" s="5">
        <v>2670196</v>
      </c>
      <c r="J95" s="5"/>
      <c r="K95" s="5">
        <v>3262694</v>
      </c>
      <c r="L95" s="5"/>
      <c r="M95" s="5">
        <f>5108614+943612</f>
        <v>6052226</v>
      </c>
      <c r="N95" s="5"/>
      <c r="O95" s="5">
        <v>1565053</v>
      </c>
      <c r="P95" s="5"/>
      <c r="Q95" s="5">
        <v>2855307</v>
      </c>
      <c r="R95" s="5"/>
      <c r="S95" s="5">
        <v>5329546</v>
      </c>
      <c r="T95" s="5"/>
      <c r="U95" s="5">
        <v>1555199</v>
      </c>
      <c r="V95" s="5"/>
      <c r="W95" s="5">
        <v>4736056</v>
      </c>
      <c r="X95" s="5"/>
      <c r="Y95" s="5">
        <v>11855723</v>
      </c>
      <c r="Z95" s="5"/>
      <c r="AA95" s="5">
        <f>7879732-44236</f>
        <v>7835496</v>
      </c>
      <c r="AB95" s="5"/>
      <c r="AC95" s="5">
        <v>2935836</v>
      </c>
      <c r="AD95" s="5"/>
      <c r="AE95" s="5">
        <v>3360913</v>
      </c>
      <c r="AF95" s="5"/>
    </row>
    <row r="96" spans="1:34" x14ac:dyDescent="0.2">
      <c r="A96" s="1">
        <f t="shared" si="249"/>
        <v>96</v>
      </c>
      <c r="B96" t="s">
        <v>70</v>
      </c>
      <c r="C96" s="5">
        <v>210900</v>
      </c>
      <c r="D96" s="5"/>
      <c r="E96" s="5">
        <v>1255625</v>
      </c>
      <c r="F96" s="5"/>
      <c r="G96" s="5">
        <v>420217</v>
      </c>
      <c r="H96" s="5"/>
      <c r="I96" s="5">
        <v>409807</v>
      </c>
      <c r="J96" s="5"/>
      <c r="K96" s="5">
        <v>502221</v>
      </c>
      <c r="L96" s="5"/>
      <c r="M96" s="5">
        <f>148016+747797</f>
        <v>895813</v>
      </c>
      <c r="N96" s="5"/>
      <c r="O96" s="5">
        <v>240196</v>
      </c>
      <c r="P96" s="5"/>
      <c r="Q96" s="5">
        <v>438216</v>
      </c>
      <c r="R96" s="5"/>
      <c r="S96" s="5">
        <v>817952</v>
      </c>
      <c r="T96" s="5"/>
      <c r="U96" s="5">
        <v>238685</v>
      </c>
      <c r="V96" s="5"/>
      <c r="W96" s="5">
        <v>726866</v>
      </c>
      <c r="X96" s="5"/>
      <c r="Y96" s="5">
        <v>1828018</v>
      </c>
      <c r="Z96" s="5"/>
      <c r="AA96" s="5">
        <f>-6489+1209345</f>
        <v>1202856</v>
      </c>
      <c r="AB96" s="5"/>
      <c r="AC96" s="5">
        <v>450577</v>
      </c>
      <c r="AD96" s="5"/>
      <c r="AE96" s="5">
        <v>495170</v>
      </c>
      <c r="AF96" s="5"/>
    </row>
    <row r="97" spans="1:34" x14ac:dyDescent="0.2">
      <c r="A97" s="1">
        <f t="shared" si="249"/>
        <v>97</v>
      </c>
      <c r="B97" t="s">
        <v>140</v>
      </c>
      <c r="C97" s="5">
        <f>C95-C96</f>
        <v>1163264</v>
      </c>
      <c r="D97" s="5"/>
      <c r="E97" s="5">
        <f>E95-E96</f>
        <v>6974091</v>
      </c>
      <c r="F97" s="5"/>
      <c r="G97" s="5">
        <f>G95-G96</f>
        <v>2317801</v>
      </c>
      <c r="H97" s="5"/>
      <c r="I97" s="5">
        <f>I95-I96</f>
        <v>2260389</v>
      </c>
      <c r="J97" s="5"/>
      <c r="K97" s="5">
        <f>K95-K96</f>
        <v>2760473</v>
      </c>
      <c r="L97" s="5"/>
      <c r="M97" s="5">
        <f>M95-M96</f>
        <v>5156413</v>
      </c>
      <c r="N97" s="5"/>
      <c r="O97" s="5">
        <f>O95-O96</f>
        <v>1324857</v>
      </c>
      <c r="P97" s="5"/>
      <c r="Q97" s="5">
        <f>Q95-Q96</f>
        <v>2417091</v>
      </c>
      <c r="R97" s="5"/>
      <c r="S97" s="5">
        <f>S95-S96</f>
        <v>4511594</v>
      </c>
      <c r="T97" s="5"/>
      <c r="U97" s="5">
        <f>U95-U96</f>
        <v>1316514</v>
      </c>
      <c r="V97" s="5"/>
      <c r="W97" s="5">
        <f>W95-W96</f>
        <v>4009190</v>
      </c>
      <c r="X97" s="5"/>
      <c r="Y97" s="5">
        <f>Y95-Y96</f>
        <v>10027705</v>
      </c>
      <c r="Z97" s="5"/>
      <c r="AA97" s="5">
        <f>AA95-AA96</f>
        <v>6632640</v>
      </c>
      <c r="AB97" s="5"/>
      <c r="AC97" s="5">
        <f>AC95-AC96</f>
        <v>2485259</v>
      </c>
      <c r="AD97" s="5"/>
      <c r="AE97" s="5">
        <f>AE95-AE96</f>
        <v>2865743</v>
      </c>
      <c r="AF97" s="5"/>
    </row>
    <row r="98" spans="1:34" x14ac:dyDescent="0.2">
      <c r="A98" s="1">
        <f t="shared" si="249"/>
        <v>98</v>
      </c>
      <c r="B98" t="s">
        <v>160</v>
      </c>
      <c r="C98" s="5">
        <f>'FAC Recalc'!D105</f>
        <v>4025</v>
      </c>
      <c r="D98" s="5"/>
      <c r="E98" s="5">
        <f>'FAC Recalc'!F105</f>
        <v>24940</v>
      </c>
      <c r="F98" s="5"/>
      <c r="G98" s="5">
        <f>'FAC Recalc'!H105</f>
        <v>7960</v>
      </c>
      <c r="H98" s="5"/>
      <c r="I98" s="5">
        <f>'FAC Recalc'!J105</f>
        <v>7856</v>
      </c>
      <c r="J98" s="5"/>
      <c r="K98" s="5">
        <f>'FAC Recalc'!L105</f>
        <v>9787</v>
      </c>
      <c r="L98" s="5"/>
      <c r="M98" s="5">
        <f>'FAC Recalc'!N105</f>
        <v>18373</v>
      </c>
      <c r="N98" s="5"/>
      <c r="O98" s="5">
        <f>'FAC Recalc'!P105</f>
        <v>4676</v>
      </c>
      <c r="P98" s="5"/>
      <c r="Q98" s="5">
        <f>'FAC Recalc'!R105</f>
        <v>8441</v>
      </c>
      <c r="R98" s="5"/>
      <c r="S98" s="5">
        <f>'FAC Recalc'!T105</f>
        <v>15665</v>
      </c>
      <c r="T98" s="5"/>
      <c r="U98" s="5">
        <f>'FAC Recalc'!V105</f>
        <v>4526</v>
      </c>
      <c r="V98" s="5"/>
      <c r="W98" s="5">
        <f>'FAC Recalc'!X105</f>
        <v>14471</v>
      </c>
      <c r="X98" s="5"/>
      <c r="Y98" s="5">
        <f>'FAC Recalc'!Z105</f>
        <v>42559</v>
      </c>
      <c r="Z98" s="5"/>
      <c r="AA98" s="5">
        <f>'FAC Recalc'!AB105</f>
        <v>23639</v>
      </c>
      <c r="AB98" s="5"/>
      <c r="AC98" s="5">
        <f>'FAC Recalc'!AD105</f>
        <v>9120</v>
      </c>
      <c r="AD98" s="5"/>
      <c r="AE98" s="5">
        <f>'FAC Recalc'!AF105</f>
        <v>9079</v>
      </c>
      <c r="AF98" s="5"/>
    </row>
    <row r="99" spans="1:34" x14ac:dyDescent="0.2">
      <c r="A99" s="1">
        <f t="shared" si="249"/>
        <v>99</v>
      </c>
      <c r="B99" t="s">
        <v>161</v>
      </c>
      <c r="C99" s="5">
        <f>'Demand-Energy Alloc - After'!D81</f>
        <v>8177</v>
      </c>
      <c r="D99" s="5"/>
      <c r="E99" s="5">
        <f>'Demand-Energy Alloc - After'!E81</f>
        <v>41791</v>
      </c>
      <c r="F99" s="5"/>
      <c r="G99" s="5">
        <f>'Demand-Energy Alloc - After'!F81</f>
        <v>16564</v>
      </c>
      <c r="H99" s="5"/>
      <c r="I99" s="5">
        <f>'Demand-Energy Alloc - After'!G81</f>
        <v>15953</v>
      </c>
      <c r="J99" s="5"/>
      <c r="K99" s="5">
        <f>'Demand-Energy Alloc - After'!H81</f>
        <v>18041</v>
      </c>
      <c r="L99" s="5"/>
      <c r="M99" s="5">
        <f>'Demand-Energy Alloc - After'!I81</f>
        <v>15140</v>
      </c>
      <c r="N99" s="5"/>
      <c r="O99" s="5">
        <f>'Demand-Energy Alloc - After'!J81</f>
        <v>8073</v>
      </c>
      <c r="P99" s="5"/>
      <c r="Q99" s="5">
        <f>'Demand-Energy Alloc - After'!K81</f>
        <v>15890</v>
      </c>
      <c r="R99" s="5"/>
      <c r="S99" s="5">
        <f>'Demand-Energy Alloc - After'!L81</f>
        <v>30586</v>
      </c>
      <c r="T99" s="5"/>
      <c r="U99" s="5">
        <f>'Demand-Energy Alloc - After'!M81</f>
        <v>9612</v>
      </c>
      <c r="V99" s="5"/>
      <c r="W99" s="5">
        <f>'Demand-Energy Alloc - After'!N81</f>
        <v>24846</v>
      </c>
      <c r="X99" s="5"/>
      <c r="Y99" s="5">
        <f>'Demand-Energy Alloc - After'!O81</f>
        <v>40548</v>
      </c>
      <c r="Z99" s="5"/>
      <c r="AA99" s="5">
        <f>'Demand-Energy Alloc - After'!P81</f>
        <v>43229</v>
      </c>
      <c r="AB99" s="5"/>
      <c r="AC99" s="5">
        <f>'Demand-Energy Alloc - After'!Q81</f>
        <v>12357</v>
      </c>
      <c r="AD99" s="5"/>
      <c r="AE99" s="5">
        <f>'Demand-Energy Alloc - After'!R81</f>
        <v>17402</v>
      </c>
      <c r="AF99" s="5"/>
    </row>
    <row r="100" spans="1:34" x14ac:dyDescent="0.2">
      <c r="A100" s="1">
        <f t="shared" si="249"/>
        <v>100</v>
      </c>
      <c r="B100" t="s">
        <v>162</v>
      </c>
      <c r="C100" s="5">
        <f>'Demand-Energy Alloc - After'!D82</f>
        <v>24041</v>
      </c>
      <c r="D100" s="5"/>
      <c r="E100" s="5">
        <f>'Demand-Energy Alloc - After'!E82</f>
        <v>120654</v>
      </c>
      <c r="F100" s="5"/>
      <c r="G100" s="5">
        <f>'Demand-Energy Alloc - After'!F82</f>
        <v>48983</v>
      </c>
      <c r="H100" s="5"/>
      <c r="I100" s="5">
        <f>'Demand-Energy Alloc - After'!G82</f>
        <v>48338</v>
      </c>
      <c r="J100" s="5"/>
      <c r="K100" s="5">
        <f>'Demand-Energy Alloc - After'!H82</f>
        <v>54127</v>
      </c>
      <c r="L100" s="5"/>
      <c r="M100" s="5">
        <f>'Demand-Energy Alloc - After'!I82</f>
        <v>47467</v>
      </c>
      <c r="N100" s="5"/>
      <c r="O100" s="5">
        <f>'Demand-Energy Alloc - After'!J82</f>
        <v>25086</v>
      </c>
      <c r="P100" s="5"/>
      <c r="Q100" s="5">
        <f>'Demand-Energy Alloc - After'!K82</f>
        <v>45325</v>
      </c>
      <c r="R100" s="5"/>
      <c r="S100" s="5">
        <f>'Demand-Energy Alloc - After'!L82</f>
        <v>88733</v>
      </c>
      <c r="T100" s="5"/>
      <c r="U100" s="5">
        <f>'Demand-Energy Alloc - After'!M82</f>
        <v>27843</v>
      </c>
      <c r="V100" s="5"/>
      <c r="W100" s="5">
        <f>'Demand-Energy Alloc - After'!N82</f>
        <v>72143</v>
      </c>
      <c r="X100" s="5"/>
      <c r="Y100" s="5">
        <f>'Demand-Energy Alloc - After'!O82</f>
        <v>126854</v>
      </c>
      <c r="Z100" s="5"/>
      <c r="AA100" s="5">
        <f>'Demand-Energy Alloc - After'!P82</f>
        <v>131025</v>
      </c>
      <c r="AB100" s="5"/>
      <c r="AC100" s="5">
        <f>'Demand-Energy Alloc - After'!Q82</f>
        <v>37844</v>
      </c>
      <c r="AD100" s="5"/>
      <c r="AE100" s="5">
        <f>'Demand-Energy Alloc - After'!R82</f>
        <v>53082</v>
      </c>
      <c r="AF100" s="5"/>
    </row>
    <row r="101" spans="1:34" x14ac:dyDescent="0.2">
      <c r="A101" s="1">
        <f t="shared" si="249"/>
        <v>101</v>
      </c>
      <c r="B101" t="s">
        <v>163</v>
      </c>
      <c r="C101" s="5">
        <f>SUM(C97:C100)</f>
        <v>1199507</v>
      </c>
      <c r="D101" s="5"/>
      <c r="E101" s="5">
        <f t="shared" ref="E101" si="250">SUM(E97:E100)</f>
        <v>7161476</v>
      </c>
      <c r="F101" s="5"/>
      <c r="G101" s="5">
        <f t="shared" ref="G101" si="251">SUM(G97:G100)</f>
        <v>2391308</v>
      </c>
      <c r="H101" s="5"/>
      <c r="I101" s="5">
        <f t="shared" ref="I101" si="252">SUM(I97:I100)</f>
        <v>2332536</v>
      </c>
      <c r="J101" s="5"/>
      <c r="K101" s="5">
        <f t="shared" ref="K101" si="253">SUM(K97:K100)</f>
        <v>2842428</v>
      </c>
      <c r="L101" s="5"/>
      <c r="M101" s="5">
        <f t="shared" ref="M101" si="254">SUM(M97:M100)</f>
        <v>5237393</v>
      </c>
      <c r="N101" s="5"/>
      <c r="O101" s="5">
        <f t="shared" ref="O101" si="255">SUM(O97:O100)</f>
        <v>1362692</v>
      </c>
      <c r="P101" s="5"/>
      <c r="Q101" s="5">
        <f t="shared" ref="Q101" si="256">SUM(Q97:Q100)</f>
        <v>2486747</v>
      </c>
      <c r="R101" s="5"/>
      <c r="S101" s="5">
        <f t="shared" ref="S101" si="257">SUM(S97:S100)</f>
        <v>4646578</v>
      </c>
      <c r="T101" s="5"/>
      <c r="U101" s="5">
        <f t="shared" ref="U101" si="258">SUM(U97:U100)</f>
        <v>1358495</v>
      </c>
      <c r="V101" s="5"/>
      <c r="W101" s="5">
        <f t="shared" ref="W101" si="259">SUM(W97:W100)</f>
        <v>4120650</v>
      </c>
      <c r="X101" s="5"/>
      <c r="Y101" s="5">
        <f t="shared" ref="Y101" si="260">SUM(Y97:Y100)</f>
        <v>10237666</v>
      </c>
      <c r="Z101" s="5"/>
      <c r="AA101" s="5">
        <f t="shared" ref="AA101" si="261">SUM(AA97:AA100)</f>
        <v>6830533</v>
      </c>
      <c r="AB101" s="5"/>
      <c r="AC101" s="5">
        <f t="shared" ref="AC101" si="262">SUM(AC97:AC100)</f>
        <v>2544580</v>
      </c>
      <c r="AD101" s="5"/>
      <c r="AE101" s="5">
        <f t="shared" ref="AE101" si="263">SUM(AE97:AE100)</f>
        <v>2945306</v>
      </c>
      <c r="AF101" s="5"/>
    </row>
    <row r="102" spans="1:34" x14ac:dyDescent="0.2">
      <c r="A102" s="1">
        <f t="shared" si="249"/>
        <v>102</v>
      </c>
      <c r="B102" t="s">
        <v>72</v>
      </c>
      <c r="C102" s="6">
        <f>0.1813+C3</f>
        <v>0.18251499999999998</v>
      </c>
      <c r="D102" s="10"/>
      <c r="E102" s="6">
        <f>C102</f>
        <v>0.18251499999999998</v>
      </c>
      <c r="F102" s="6"/>
      <c r="G102" s="6">
        <f>E102</f>
        <v>0.18251499999999998</v>
      </c>
      <c r="H102" s="6"/>
      <c r="I102" s="6">
        <f t="shared" ref="I102" si="264">G102</f>
        <v>0.18251499999999998</v>
      </c>
      <c r="J102" s="6"/>
      <c r="K102" s="6">
        <f t="shared" ref="K102" si="265">I102</f>
        <v>0.18251499999999998</v>
      </c>
      <c r="L102" s="6"/>
      <c r="M102" s="6">
        <f t="shared" ref="M102" si="266">K102</f>
        <v>0.18251499999999998</v>
      </c>
      <c r="N102" s="6"/>
      <c r="O102" s="6">
        <f t="shared" ref="O102" si="267">M102</f>
        <v>0.18251499999999998</v>
      </c>
      <c r="P102" s="6"/>
      <c r="Q102" s="6">
        <f t="shared" ref="Q102" si="268">O102</f>
        <v>0.18251499999999998</v>
      </c>
      <c r="R102" s="6"/>
      <c r="S102" s="6">
        <f t="shared" ref="S102" si="269">Q102</f>
        <v>0.18251499999999998</v>
      </c>
      <c r="T102" s="6"/>
      <c r="U102" s="6">
        <f t="shared" ref="U102" si="270">S102</f>
        <v>0.18251499999999998</v>
      </c>
      <c r="V102" s="6"/>
      <c r="W102" s="6">
        <f t="shared" ref="W102" si="271">U102</f>
        <v>0.18251499999999998</v>
      </c>
      <c r="X102" s="6"/>
      <c r="Y102" s="6">
        <f t="shared" ref="Y102" si="272">W102</f>
        <v>0.18251499999999998</v>
      </c>
      <c r="Z102" s="6"/>
      <c r="AA102" s="6">
        <f t="shared" ref="AA102" si="273">Y102</f>
        <v>0.18251499999999998</v>
      </c>
      <c r="AB102" s="6"/>
      <c r="AC102" s="6">
        <f t="shared" ref="AC102" si="274">AA102</f>
        <v>0.18251499999999998</v>
      </c>
      <c r="AD102" s="6"/>
      <c r="AE102" s="6">
        <f t="shared" ref="AE102" si="275">AC102</f>
        <v>0.18251499999999998</v>
      </c>
      <c r="AF102" s="6"/>
    </row>
    <row r="103" spans="1:34" x14ac:dyDescent="0.2">
      <c r="A103" s="1">
        <f t="shared" si="249"/>
        <v>103</v>
      </c>
      <c r="B103" t="s">
        <v>73</v>
      </c>
      <c r="C103" s="5">
        <f>ROUND(C101*C102,0)</f>
        <v>218928</v>
      </c>
      <c r="D103" s="5"/>
      <c r="E103" s="5">
        <f t="shared" ref="E103" si="276">ROUND(E101*E102,0)</f>
        <v>1307077</v>
      </c>
      <c r="F103" s="5"/>
      <c r="G103" s="5">
        <f t="shared" ref="G103" si="277">ROUND(G101*G102,0)</f>
        <v>436450</v>
      </c>
      <c r="H103" s="5"/>
      <c r="I103" s="5">
        <f t="shared" ref="I103" si="278">ROUND(I101*I102,0)</f>
        <v>425723</v>
      </c>
      <c r="J103" s="5"/>
      <c r="K103" s="5">
        <f t="shared" ref="K103" si="279">ROUND(K101*K102,0)</f>
        <v>518786</v>
      </c>
      <c r="L103" s="5"/>
      <c r="M103" s="5">
        <f t="shared" ref="M103" si="280">ROUND(M101*M102,0)</f>
        <v>955903</v>
      </c>
      <c r="N103" s="5"/>
      <c r="O103" s="5">
        <f t="shared" ref="O103" si="281">ROUND(O101*O102,0)</f>
        <v>248712</v>
      </c>
      <c r="P103" s="5"/>
      <c r="Q103" s="5">
        <f t="shared" ref="Q103" si="282">ROUND(Q101*Q102,0)</f>
        <v>453869</v>
      </c>
      <c r="R103" s="5"/>
      <c r="S103" s="5">
        <f t="shared" ref="S103" si="283">ROUND(S101*S102,0)</f>
        <v>848070</v>
      </c>
      <c r="T103" s="5"/>
      <c r="U103" s="5">
        <f t="shared" ref="U103" si="284">ROUND(U101*U102,0)</f>
        <v>247946</v>
      </c>
      <c r="V103" s="5"/>
      <c r="W103" s="5">
        <f t="shared" ref="W103" si="285">ROUND(W101*W102,0)</f>
        <v>752080</v>
      </c>
      <c r="X103" s="5"/>
      <c r="Y103" s="5">
        <f t="shared" ref="Y103" si="286">ROUND(Y101*Y102,0)</f>
        <v>1868528</v>
      </c>
      <c r="Z103" s="5"/>
      <c r="AA103" s="5">
        <f t="shared" ref="AA103" si="287">ROUND(AA101*AA102,0)</f>
        <v>1246675</v>
      </c>
      <c r="AB103" s="5"/>
      <c r="AC103" s="5">
        <f t="shared" ref="AC103" si="288">ROUND(AC101*AC102,0)</f>
        <v>464424</v>
      </c>
      <c r="AD103" s="5"/>
      <c r="AE103" s="5">
        <f t="shared" ref="AE103" si="289">ROUND(AE101*AE102,0)</f>
        <v>537563</v>
      </c>
      <c r="AF103" s="5"/>
    </row>
    <row r="104" spans="1:34" x14ac:dyDescent="0.2">
      <c r="A104" s="1">
        <f t="shared" si="249"/>
        <v>104</v>
      </c>
      <c r="B104" t="s">
        <v>74</v>
      </c>
      <c r="C104" s="5"/>
      <c r="D104" s="5">
        <f>C103-C96</f>
        <v>8028</v>
      </c>
      <c r="E104" s="5"/>
      <c r="F104" s="5">
        <f>E103-E96</f>
        <v>51452</v>
      </c>
      <c r="G104" s="5"/>
      <c r="H104" s="5">
        <f>G103-G96</f>
        <v>16233</v>
      </c>
      <c r="I104" s="5"/>
      <c r="J104" s="5">
        <f>I103-I96</f>
        <v>15916</v>
      </c>
      <c r="K104" s="5"/>
      <c r="L104" s="5">
        <f>K103-K96</f>
        <v>16565</v>
      </c>
      <c r="M104" s="5"/>
      <c r="N104" s="5">
        <f>M103-M96</f>
        <v>60090</v>
      </c>
      <c r="O104" s="5"/>
      <c r="P104" s="5">
        <f>O103-O96</f>
        <v>8516</v>
      </c>
      <c r="Q104" s="5"/>
      <c r="R104" s="5">
        <f>Q103-Q96</f>
        <v>15653</v>
      </c>
      <c r="S104" s="5"/>
      <c r="T104" s="5">
        <f>S103-S96</f>
        <v>30118</v>
      </c>
      <c r="U104" s="5"/>
      <c r="V104" s="5">
        <f>U103-U96</f>
        <v>9261</v>
      </c>
      <c r="W104" s="5"/>
      <c r="X104" s="5">
        <f>W103-W96</f>
        <v>25214</v>
      </c>
      <c r="Y104" s="5"/>
      <c r="Z104" s="5">
        <f>Y103-Y96</f>
        <v>40510</v>
      </c>
      <c r="AA104" s="5"/>
      <c r="AB104" s="5">
        <f>AA103-AA96</f>
        <v>43819</v>
      </c>
      <c r="AC104" s="5"/>
      <c r="AD104" s="5">
        <f>AC103-AC96</f>
        <v>13847</v>
      </c>
      <c r="AE104" s="5"/>
      <c r="AF104" s="5">
        <f>AE103-AE96</f>
        <v>42393</v>
      </c>
      <c r="AG104" s="5">
        <f>SUM(D104:AF104)</f>
        <v>397615</v>
      </c>
      <c r="AH104" s="5">
        <f>-'Billing Impact'!G98</f>
        <v>394912</v>
      </c>
    </row>
    <row r="105" spans="1:34" x14ac:dyDescent="0.2">
      <c r="A105" s="1">
        <f t="shared" si="249"/>
        <v>105</v>
      </c>
    </row>
    <row r="106" spans="1:34" x14ac:dyDescent="0.2">
      <c r="A106" s="1">
        <f t="shared" si="249"/>
        <v>106</v>
      </c>
      <c r="B106" t="s">
        <v>19</v>
      </c>
    </row>
    <row r="107" spans="1:34" x14ac:dyDescent="0.2">
      <c r="A107" s="1">
        <f t="shared" si="249"/>
        <v>107</v>
      </c>
      <c r="B107" t="s">
        <v>69</v>
      </c>
      <c r="C107" s="5">
        <v>1252613</v>
      </c>
      <c r="D107" s="5"/>
      <c r="E107" s="5">
        <v>7666846</v>
      </c>
      <c r="F107" s="5"/>
      <c r="G107" s="5">
        <v>2500071</v>
      </c>
      <c r="H107" s="5"/>
      <c r="I107" s="5">
        <v>2510206</v>
      </c>
      <c r="J107" s="5"/>
      <c r="K107" s="5">
        <v>3063923</v>
      </c>
      <c r="L107" s="5"/>
      <c r="M107" s="5">
        <f>4922104+960950</f>
        <v>5883054</v>
      </c>
      <c r="N107" s="5"/>
      <c r="O107" s="5">
        <v>1464285</v>
      </c>
      <c r="P107" s="5"/>
      <c r="Q107" s="5">
        <v>2663263</v>
      </c>
      <c r="R107" s="5"/>
      <c r="S107" s="5">
        <v>4939546</v>
      </c>
      <c r="T107" s="5"/>
      <c r="U107" s="5">
        <v>1414306</v>
      </c>
      <c r="V107" s="5"/>
      <c r="W107" s="5">
        <v>4395088</v>
      </c>
      <c r="X107" s="5"/>
      <c r="Y107" s="5">
        <v>11570061</v>
      </c>
      <c r="Z107" s="5"/>
      <c r="AA107" s="5">
        <f>7324681-71051</f>
        <v>7253630</v>
      </c>
      <c r="AB107" s="5"/>
      <c r="AC107" s="5">
        <v>2860842</v>
      </c>
      <c r="AD107" s="5"/>
      <c r="AE107" s="5">
        <v>3030343</v>
      </c>
      <c r="AF107" s="5"/>
    </row>
    <row r="108" spans="1:34" x14ac:dyDescent="0.2">
      <c r="A108" s="1">
        <f t="shared" si="249"/>
        <v>108</v>
      </c>
      <c r="B108" t="s">
        <v>70</v>
      </c>
      <c r="C108" s="5">
        <v>188823</v>
      </c>
      <c r="D108" s="5"/>
      <c r="E108" s="5">
        <v>1155726</v>
      </c>
      <c r="F108" s="5"/>
      <c r="G108" s="5">
        <v>376869</v>
      </c>
      <c r="H108" s="5"/>
      <c r="I108" s="5">
        <v>378396</v>
      </c>
      <c r="J108" s="5"/>
      <c r="K108" s="5">
        <v>463319</v>
      </c>
      <c r="L108" s="5"/>
      <c r="M108" s="5">
        <f>147997+713611</f>
        <v>861608</v>
      </c>
      <c r="N108" s="5"/>
      <c r="O108" s="5">
        <v>220731</v>
      </c>
      <c r="P108" s="5"/>
      <c r="Q108" s="5">
        <v>401469</v>
      </c>
      <c r="R108" s="5"/>
      <c r="S108" s="5">
        <v>744604</v>
      </c>
      <c r="T108" s="5"/>
      <c r="U108" s="5">
        <v>213197</v>
      </c>
      <c r="V108" s="5"/>
      <c r="W108" s="5">
        <v>662529</v>
      </c>
      <c r="X108" s="5"/>
      <c r="Y108" s="5">
        <v>1752417</v>
      </c>
      <c r="Z108" s="5"/>
      <c r="AA108" s="5">
        <f>-10711+1104147</f>
        <v>1093436</v>
      </c>
      <c r="AB108" s="5"/>
      <c r="AC108" s="5">
        <v>431253</v>
      </c>
      <c r="AD108" s="5"/>
      <c r="AE108" s="5">
        <v>439598</v>
      </c>
      <c r="AF108" s="5"/>
    </row>
    <row r="109" spans="1:34" x14ac:dyDescent="0.2">
      <c r="A109" s="1">
        <f t="shared" si="249"/>
        <v>109</v>
      </c>
      <c r="B109" t="s">
        <v>140</v>
      </c>
      <c r="C109" s="5">
        <f>C107-C108</f>
        <v>1063790</v>
      </c>
      <c r="D109" s="5"/>
      <c r="E109" s="5">
        <f>E107-E108</f>
        <v>6511120</v>
      </c>
      <c r="F109" s="5"/>
      <c r="G109" s="5">
        <f>G107-G108</f>
        <v>2123202</v>
      </c>
      <c r="H109" s="5"/>
      <c r="I109" s="5">
        <f>I107-I108</f>
        <v>2131810</v>
      </c>
      <c r="J109" s="5"/>
      <c r="K109" s="5">
        <f>K107-K108</f>
        <v>2600604</v>
      </c>
      <c r="L109" s="5"/>
      <c r="M109" s="5">
        <f>M107-M108</f>
        <v>5021446</v>
      </c>
      <c r="N109" s="5"/>
      <c r="O109" s="5">
        <f>O107-O108</f>
        <v>1243554</v>
      </c>
      <c r="P109" s="5"/>
      <c r="Q109" s="5">
        <f>Q107-Q108</f>
        <v>2261794</v>
      </c>
      <c r="R109" s="5"/>
      <c r="S109" s="5">
        <f>S107-S108</f>
        <v>4194942</v>
      </c>
      <c r="T109" s="5"/>
      <c r="U109" s="5">
        <f>U107-U108</f>
        <v>1201109</v>
      </c>
      <c r="V109" s="5"/>
      <c r="W109" s="5">
        <f>W107-W108</f>
        <v>3732559</v>
      </c>
      <c r="X109" s="5"/>
      <c r="Y109" s="5">
        <f>Y107-Y108</f>
        <v>9817644</v>
      </c>
      <c r="Z109" s="5"/>
      <c r="AA109" s="5">
        <f>AA107-AA108</f>
        <v>6160194</v>
      </c>
      <c r="AB109" s="5"/>
      <c r="AC109" s="5">
        <f>AC107-AC108</f>
        <v>2429589</v>
      </c>
      <c r="AD109" s="5"/>
      <c r="AE109" s="5">
        <f>AE107-AE108</f>
        <v>2590745</v>
      </c>
      <c r="AF109" s="5"/>
    </row>
    <row r="110" spans="1:34" x14ac:dyDescent="0.2">
      <c r="A110" s="1">
        <f t="shared" si="249"/>
        <v>110</v>
      </c>
      <c r="B110" t="s">
        <v>160</v>
      </c>
      <c r="C110" s="5">
        <f>'FAC Recalc'!D113</f>
        <v>1791</v>
      </c>
      <c r="D110" s="5"/>
      <c r="E110" s="5">
        <f>'FAC Recalc'!F113</f>
        <v>11418</v>
      </c>
      <c r="F110" s="5"/>
      <c r="G110" s="5">
        <f>'FAC Recalc'!H113</f>
        <v>3532</v>
      </c>
      <c r="H110" s="5"/>
      <c r="I110" s="5">
        <f>'FAC Recalc'!J113</f>
        <v>3629</v>
      </c>
      <c r="J110" s="5"/>
      <c r="K110" s="5">
        <f>'FAC Recalc'!L113</f>
        <v>4518</v>
      </c>
      <c r="L110" s="5"/>
      <c r="M110" s="5">
        <f>'FAC Recalc'!N113</f>
        <v>8886</v>
      </c>
      <c r="N110" s="5"/>
      <c r="O110" s="5">
        <f>'FAC Recalc'!P113</f>
        <v>2090</v>
      </c>
      <c r="P110" s="5"/>
      <c r="Q110" s="5">
        <f>'FAC Recalc'!R113</f>
        <v>3849</v>
      </c>
      <c r="R110" s="5"/>
      <c r="S110" s="5">
        <f>'FAC Recalc'!T113</f>
        <v>7157</v>
      </c>
      <c r="T110" s="5"/>
      <c r="U110" s="5">
        <f>'FAC Recalc'!V113</f>
        <v>2006</v>
      </c>
      <c r="V110" s="5"/>
      <c r="W110" s="5">
        <f>'FAC Recalc'!X113</f>
        <v>6600</v>
      </c>
      <c r="X110" s="5"/>
      <c r="Y110" s="5">
        <f>'FAC Recalc'!Z113</f>
        <v>20234</v>
      </c>
      <c r="Z110" s="5"/>
      <c r="AA110" s="5">
        <f>'FAC Recalc'!AB113</f>
        <v>10641</v>
      </c>
      <c r="AB110" s="5"/>
      <c r="AC110" s="5">
        <f>'FAC Recalc'!AD113</f>
        <v>4359</v>
      </c>
      <c r="AD110" s="5"/>
      <c r="AE110" s="5">
        <f>'FAC Recalc'!AF113</f>
        <v>4036</v>
      </c>
      <c r="AF110" s="5"/>
    </row>
    <row r="111" spans="1:34" x14ac:dyDescent="0.2">
      <c r="A111" s="1">
        <f t="shared" si="249"/>
        <v>111</v>
      </c>
      <c r="B111" t="s">
        <v>161</v>
      </c>
      <c r="C111" s="5">
        <f>'Demand-Energy Alloc - After'!D90</f>
        <v>8027</v>
      </c>
      <c r="D111" s="5"/>
      <c r="E111" s="5">
        <f>'Demand-Energy Alloc - After'!E90</f>
        <v>41784</v>
      </c>
      <c r="F111" s="5"/>
      <c r="G111" s="5">
        <f>'Demand-Energy Alloc - After'!F90</f>
        <v>16449</v>
      </c>
      <c r="H111" s="5"/>
      <c r="I111" s="5">
        <f>'Demand-Energy Alloc - After'!G90</f>
        <v>15880</v>
      </c>
      <c r="J111" s="5"/>
      <c r="K111" s="5">
        <f>'Demand-Energy Alloc - After'!H90</f>
        <v>17884</v>
      </c>
      <c r="L111" s="5"/>
      <c r="M111" s="5">
        <f>'Demand-Energy Alloc - After'!I90</f>
        <v>16114</v>
      </c>
      <c r="N111" s="5"/>
      <c r="O111" s="5">
        <f>'Demand-Energy Alloc - After'!J90</f>
        <v>8722</v>
      </c>
      <c r="P111" s="5"/>
      <c r="Q111" s="5">
        <f>'Demand-Energy Alloc - After'!K90</f>
        <v>15737</v>
      </c>
      <c r="R111" s="5"/>
      <c r="S111" s="5">
        <f>'Demand-Energy Alloc - After'!L90</f>
        <v>29661</v>
      </c>
      <c r="T111" s="5"/>
      <c r="U111" s="5">
        <f>'Demand-Energy Alloc - After'!M90</f>
        <v>9410</v>
      </c>
      <c r="V111" s="5"/>
      <c r="W111" s="5">
        <f>'Demand-Energy Alloc - After'!N90</f>
        <v>24291</v>
      </c>
      <c r="X111" s="5"/>
      <c r="Y111" s="5">
        <f>'Demand-Energy Alloc - After'!O90</f>
        <v>42866</v>
      </c>
      <c r="Z111" s="5"/>
      <c r="AA111" s="5">
        <f>'Demand-Energy Alloc - After'!P90</f>
        <v>43467</v>
      </c>
      <c r="AB111" s="5"/>
      <c r="AC111" s="5">
        <f>'Demand-Energy Alloc - After'!Q90</f>
        <v>12587</v>
      </c>
      <c r="AD111" s="5"/>
      <c r="AE111" s="5">
        <f>'Demand-Energy Alloc - After'!R90</f>
        <v>16941</v>
      </c>
      <c r="AF111" s="5"/>
    </row>
    <row r="112" spans="1:34" x14ac:dyDescent="0.2">
      <c r="A112" s="1">
        <f t="shared" si="249"/>
        <v>112</v>
      </c>
      <c r="B112" t="s">
        <v>162</v>
      </c>
      <c r="C112" s="5">
        <f>'Demand-Energy Alloc - After'!D91</f>
        <v>22106</v>
      </c>
      <c r="D112" s="5"/>
      <c r="E112" s="5">
        <f>'Demand-Energy Alloc - After'!E91</f>
        <v>111255</v>
      </c>
      <c r="F112" s="5"/>
      <c r="G112" s="5">
        <f>'Demand-Energy Alloc - After'!F91</f>
        <v>45013</v>
      </c>
      <c r="H112" s="5"/>
      <c r="I112" s="5">
        <f>'Demand-Energy Alloc - After'!G91</f>
        <v>46239</v>
      </c>
      <c r="J112" s="5"/>
      <c r="K112" s="5">
        <f>'Demand-Energy Alloc - After'!H91</f>
        <v>50565</v>
      </c>
      <c r="L112" s="5"/>
      <c r="M112" s="5">
        <f>'Demand-Energy Alloc - After'!I91</f>
        <v>44900</v>
      </c>
      <c r="N112" s="5"/>
      <c r="O112" s="5">
        <f>'Demand-Energy Alloc - After'!J91</f>
        <v>22954</v>
      </c>
      <c r="P112" s="5"/>
      <c r="Q112" s="5">
        <f>'Demand-Energy Alloc - After'!K91</f>
        <v>40922</v>
      </c>
      <c r="R112" s="5"/>
      <c r="S112" s="5">
        <f>'Demand-Energy Alloc - After'!L91</f>
        <v>82636</v>
      </c>
      <c r="T112" s="5"/>
      <c r="U112" s="5">
        <f>'Demand-Energy Alloc - After'!M91</f>
        <v>25594</v>
      </c>
      <c r="V112" s="5"/>
      <c r="W112" s="5">
        <f>'Demand-Energy Alloc - After'!N91</f>
        <v>65667</v>
      </c>
      <c r="X112" s="5"/>
      <c r="Y112" s="5">
        <f>'Demand-Energy Alloc - After'!O91</f>
        <v>118005</v>
      </c>
      <c r="Z112" s="5"/>
      <c r="AA112" s="5">
        <f>'Demand-Energy Alloc - After'!P91</f>
        <v>120531</v>
      </c>
      <c r="AB112" s="5"/>
      <c r="AC112" s="5">
        <f>'Demand-Energy Alloc - After'!Q91</f>
        <v>35058</v>
      </c>
      <c r="AD112" s="5"/>
      <c r="AE112" s="5">
        <f>'Demand-Energy Alloc - After'!R91</f>
        <v>48454</v>
      </c>
      <c r="AF112" s="5"/>
    </row>
    <row r="113" spans="1:34" x14ac:dyDescent="0.2">
      <c r="A113" s="1">
        <f t="shared" si="249"/>
        <v>113</v>
      </c>
      <c r="B113" t="s">
        <v>163</v>
      </c>
      <c r="C113" s="5">
        <f>SUM(C109:C112)</f>
        <v>1095714</v>
      </c>
      <c r="D113" s="5"/>
      <c r="E113" s="5">
        <f t="shared" ref="E113" si="290">SUM(E109:E112)</f>
        <v>6675577</v>
      </c>
      <c r="F113" s="5"/>
      <c r="G113" s="5">
        <f t="shared" ref="G113" si="291">SUM(G109:G112)</f>
        <v>2188196</v>
      </c>
      <c r="H113" s="5"/>
      <c r="I113" s="5">
        <f t="shared" ref="I113" si="292">SUM(I109:I112)</f>
        <v>2197558</v>
      </c>
      <c r="J113" s="5"/>
      <c r="K113" s="5">
        <f t="shared" ref="K113" si="293">SUM(K109:K112)</f>
        <v>2673571</v>
      </c>
      <c r="L113" s="5"/>
      <c r="M113" s="5">
        <f t="shared" ref="M113" si="294">SUM(M109:M112)</f>
        <v>5091346</v>
      </c>
      <c r="N113" s="5"/>
      <c r="O113" s="5">
        <f t="shared" ref="O113" si="295">SUM(O109:O112)</f>
        <v>1277320</v>
      </c>
      <c r="P113" s="5"/>
      <c r="Q113" s="5">
        <f t="shared" ref="Q113" si="296">SUM(Q109:Q112)</f>
        <v>2322302</v>
      </c>
      <c r="R113" s="5"/>
      <c r="S113" s="5">
        <f t="shared" ref="S113" si="297">SUM(S109:S112)</f>
        <v>4314396</v>
      </c>
      <c r="T113" s="5"/>
      <c r="U113" s="5">
        <f t="shared" ref="U113" si="298">SUM(U109:U112)</f>
        <v>1238119</v>
      </c>
      <c r="V113" s="5"/>
      <c r="W113" s="5">
        <f t="shared" ref="W113" si="299">SUM(W109:W112)</f>
        <v>3829117</v>
      </c>
      <c r="X113" s="5"/>
      <c r="Y113" s="5">
        <f t="shared" ref="Y113" si="300">SUM(Y109:Y112)</f>
        <v>9998749</v>
      </c>
      <c r="Z113" s="5"/>
      <c r="AA113" s="5">
        <f t="shared" ref="AA113" si="301">SUM(AA109:AA112)</f>
        <v>6334833</v>
      </c>
      <c r="AB113" s="5"/>
      <c r="AC113" s="5">
        <f t="shared" ref="AC113" si="302">SUM(AC109:AC112)</f>
        <v>2481593</v>
      </c>
      <c r="AD113" s="5"/>
      <c r="AE113" s="5">
        <f t="shared" ref="AE113" si="303">SUM(AE109:AE112)</f>
        <v>2660176</v>
      </c>
      <c r="AF113" s="5"/>
    </row>
    <row r="114" spans="1:34" x14ac:dyDescent="0.2">
      <c r="A114" s="1">
        <f t="shared" si="249"/>
        <v>114</v>
      </c>
      <c r="B114" t="s">
        <v>72</v>
      </c>
      <c r="C114" s="6">
        <f>0.1775+C3</f>
        <v>0.17871499999999998</v>
      </c>
      <c r="D114" s="10"/>
      <c r="E114" s="6">
        <f>C114</f>
        <v>0.17871499999999998</v>
      </c>
      <c r="F114" s="6"/>
      <c r="G114" s="6">
        <f>E114</f>
        <v>0.17871499999999998</v>
      </c>
      <c r="H114" s="6"/>
      <c r="I114" s="6">
        <f t="shared" ref="I114" si="304">G114</f>
        <v>0.17871499999999998</v>
      </c>
      <c r="J114" s="6"/>
      <c r="K114" s="6">
        <f t="shared" ref="K114" si="305">I114</f>
        <v>0.17871499999999998</v>
      </c>
      <c r="L114" s="6"/>
      <c r="M114" s="6">
        <f t="shared" ref="M114" si="306">K114</f>
        <v>0.17871499999999998</v>
      </c>
      <c r="N114" s="6"/>
      <c r="O114" s="6">
        <f t="shared" ref="O114" si="307">M114</f>
        <v>0.17871499999999998</v>
      </c>
      <c r="P114" s="6"/>
      <c r="Q114" s="6">
        <f t="shared" ref="Q114" si="308">O114</f>
        <v>0.17871499999999998</v>
      </c>
      <c r="R114" s="6"/>
      <c r="S114" s="6">
        <f t="shared" ref="S114" si="309">Q114</f>
        <v>0.17871499999999998</v>
      </c>
      <c r="T114" s="6"/>
      <c r="U114" s="6">
        <f t="shared" ref="U114" si="310">S114</f>
        <v>0.17871499999999998</v>
      </c>
      <c r="V114" s="6"/>
      <c r="W114" s="6">
        <f t="shared" ref="W114" si="311">U114</f>
        <v>0.17871499999999998</v>
      </c>
      <c r="X114" s="6"/>
      <c r="Y114" s="6">
        <f t="shared" ref="Y114" si="312">W114</f>
        <v>0.17871499999999998</v>
      </c>
      <c r="Z114" s="6"/>
      <c r="AA114" s="6">
        <f t="shared" ref="AA114" si="313">Y114</f>
        <v>0.17871499999999998</v>
      </c>
      <c r="AB114" s="6"/>
      <c r="AC114" s="6">
        <f t="shared" ref="AC114" si="314">AA114</f>
        <v>0.17871499999999998</v>
      </c>
      <c r="AD114" s="6"/>
      <c r="AE114" s="6">
        <f t="shared" ref="AE114" si="315">AC114</f>
        <v>0.17871499999999998</v>
      </c>
      <c r="AF114" s="6"/>
    </row>
    <row r="115" spans="1:34" x14ac:dyDescent="0.2">
      <c r="A115" s="1">
        <f t="shared" si="249"/>
        <v>115</v>
      </c>
      <c r="B115" t="s">
        <v>73</v>
      </c>
      <c r="C115" s="5">
        <f>ROUND(C113*C114,0)</f>
        <v>195821</v>
      </c>
      <c r="D115" s="5"/>
      <c r="E115" s="5">
        <f t="shared" ref="E115" si="316">ROUND(E113*E114,0)</f>
        <v>1193026</v>
      </c>
      <c r="F115" s="5"/>
      <c r="G115" s="5">
        <f t="shared" ref="G115" si="317">ROUND(G113*G114,0)</f>
        <v>391063</v>
      </c>
      <c r="H115" s="5"/>
      <c r="I115" s="5">
        <f t="shared" ref="I115" si="318">ROUND(I113*I114,0)</f>
        <v>392737</v>
      </c>
      <c r="J115" s="5"/>
      <c r="K115" s="5">
        <f t="shared" ref="K115" si="319">ROUND(K113*K114,0)</f>
        <v>477807</v>
      </c>
      <c r="L115" s="5"/>
      <c r="M115" s="5">
        <f t="shared" ref="M115" si="320">ROUND(M113*M114,0)</f>
        <v>909900</v>
      </c>
      <c r="N115" s="5"/>
      <c r="O115" s="5">
        <f t="shared" ref="O115" si="321">ROUND(O113*O114,0)</f>
        <v>228276</v>
      </c>
      <c r="P115" s="5"/>
      <c r="Q115" s="5">
        <f t="shared" ref="Q115" si="322">ROUND(Q113*Q114,0)</f>
        <v>415030</v>
      </c>
      <c r="R115" s="5"/>
      <c r="S115" s="5">
        <f t="shared" ref="S115" si="323">ROUND(S113*S114,0)</f>
        <v>771047</v>
      </c>
      <c r="T115" s="5"/>
      <c r="U115" s="5">
        <f t="shared" ref="U115" si="324">ROUND(U113*U114,0)</f>
        <v>221270</v>
      </c>
      <c r="V115" s="5"/>
      <c r="W115" s="5">
        <f t="shared" ref="W115" si="325">ROUND(W113*W114,0)</f>
        <v>684321</v>
      </c>
      <c r="X115" s="5"/>
      <c r="Y115" s="5">
        <f t="shared" ref="Y115" si="326">ROUND(Y113*Y114,0)</f>
        <v>1786926</v>
      </c>
      <c r="Z115" s="5"/>
      <c r="AA115" s="5">
        <f t="shared" ref="AA115" si="327">ROUND(AA113*AA114,0)</f>
        <v>1132130</v>
      </c>
      <c r="AB115" s="5"/>
      <c r="AC115" s="5">
        <f t="shared" ref="AC115" si="328">ROUND(AC113*AC114,0)</f>
        <v>443498</v>
      </c>
      <c r="AD115" s="5"/>
      <c r="AE115" s="5">
        <f t="shared" ref="AE115" si="329">ROUND(AE113*AE114,0)</f>
        <v>475413</v>
      </c>
      <c r="AF115" s="5"/>
    </row>
    <row r="116" spans="1:34" x14ac:dyDescent="0.2">
      <c r="A116" s="1">
        <f t="shared" si="249"/>
        <v>116</v>
      </c>
      <c r="B116" t="s">
        <v>74</v>
      </c>
      <c r="C116" s="5"/>
      <c r="D116" s="5">
        <f>C115-C108</f>
        <v>6998</v>
      </c>
      <c r="E116" s="5"/>
      <c r="F116" s="5">
        <f>E115-E108</f>
        <v>37300</v>
      </c>
      <c r="G116" s="5"/>
      <c r="H116" s="5">
        <f>G115-G108</f>
        <v>14194</v>
      </c>
      <c r="I116" s="5"/>
      <c r="J116" s="5">
        <f>I115-I108</f>
        <v>14341</v>
      </c>
      <c r="K116" s="5"/>
      <c r="L116" s="5">
        <f>K115-K108</f>
        <v>14488</v>
      </c>
      <c r="M116" s="5"/>
      <c r="N116" s="5">
        <f>M115-M108</f>
        <v>48292</v>
      </c>
      <c r="O116" s="5"/>
      <c r="P116" s="5">
        <f>O115-O108</f>
        <v>7545</v>
      </c>
      <c r="Q116" s="5"/>
      <c r="R116" s="5">
        <f>Q115-Q108</f>
        <v>13561</v>
      </c>
      <c r="S116" s="5"/>
      <c r="T116" s="5">
        <f>S115-S108</f>
        <v>26443</v>
      </c>
      <c r="U116" s="5"/>
      <c r="V116" s="5">
        <f>U115-U108</f>
        <v>8073</v>
      </c>
      <c r="W116" s="5"/>
      <c r="X116" s="5">
        <f>W115-W108</f>
        <v>21792</v>
      </c>
      <c r="Y116" s="5"/>
      <c r="Z116" s="5">
        <f>Y115-Y108</f>
        <v>34509</v>
      </c>
      <c r="AA116" s="5"/>
      <c r="AB116" s="5">
        <f>AA115-AA108</f>
        <v>38694</v>
      </c>
      <c r="AC116" s="5"/>
      <c r="AD116" s="5">
        <f>AC115-AC108</f>
        <v>12245</v>
      </c>
      <c r="AE116" s="5"/>
      <c r="AF116" s="5">
        <f>AE115-AE108</f>
        <v>35815</v>
      </c>
      <c r="AG116" s="5">
        <f>SUM(D116:AF116)</f>
        <v>334290</v>
      </c>
      <c r="AH116" s="5">
        <f>-'Billing Impact'!G101</f>
        <v>396056</v>
      </c>
    </row>
    <row r="117" spans="1:34" x14ac:dyDescent="0.2">
      <c r="A117" s="1">
        <f t="shared" si="249"/>
        <v>117</v>
      </c>
    </row>
    <row r="118" spans="1:34" x14ac:dyDescent="0.2">
      <c r="A118" s="1">
        <f t="shared" si="249"/>
        <v>118</v>
      </c>
      <c r="B118" t="s">
        <v>20</v>
      </c>
    </row>
    <row r="119" spans="1:34" x14ac:dyDescent="0.2">
      <c r="A119" s="1">
        <f t="shared" si="249"/>
        <v>119</v>
      </c>
      <c r="B119" t="s">
        <v>69</v>
      </c>
      <c r="C119" s="5">
        <v>955476</v>
      </c>
      <c r="D119" s="5"/>
      <c r="E119" s="5">
        <v>6070114</v>
      </c>
      <c r="F119" s="5"/>
      <c r="G119" s="5">
        <v>1887983</v>
      </c>
      <c r="H119" s="5"/>
      <c r="I119" s="5">
        <v>1935990</v>
      </c>
      <c r="J119" s="5"/>
      <c r="K119" s="5">
        <v>2370741</v>
      </c>
      <c r="L119" s="5"/>
      <c r="M119" s="5">
        <f>3967650+736240</f>
        <v>4703890</v>
      </c>
      <c r="N119" s="5"/>
      <c r="O119" s="5">
        <v>1138763</v>
      </c>
      <c r="P119" s="5"/>
      <c r="Q119" s="5">
        <v>2068900</v>
      </c>
      <c r="R119" s="5"/>
      <c r="S119" s="5">
        <v>3833677</v>
      </c>
      <c r="T119" s="5"/>
      <c r="U119" s="5">
        <v>1077770</v>
      </c>
      <c r="V119" s="5"/>
      <c r="W119" s="5">
        <v>3528149</v>
      </c>
      <c r="X119" s="5"/>
      <c r="Y119" s="5">
        <v>9448221</v>
      </c>
      <c r="Z119" s="5"/>
      <c r="AA119" s="5">
        <f>5811757-42460</f>
        <v>5769297</v>
      </c>
      <c r="AB119" s="5"/>
      <c r="AC119" s="5">
        <v>2337037</v>
      </c>
      <c r="AD119" s="5"/>
      <c r="AE119" s="5">
        <v>2433298</v>
      </c>
      <c r="AF119" s="5"/>
    </row>
    <row r="120" spans="1:34" x14ac:dyDescent="0.2">
      <c r="A120" s="1">
        <f t="shared" si="249"/>
        <v>120</v>
      </c>
      <c r="B120" t="s">
        <v>70</v>
      </c>
      <c r="C120" s="5">
        <v>131008</v>
      </c>
      <c r="D120" s="5"/>
      <c r="E120" s="5">
        <v>832292</v>
      </c>
      <c r="F120" s="5"/>
      <c r="G120" s="5">
        <v>258867</v>
      </c>
      <c r="H120" s="5"/>
      <c r="I120" s="5">
        <v>265448</v>
      </c>
      <c r="J120" s="5"/>
      <c r="K120" s="5">
        <v>326337</v>
      </c>
      <c r="L120" s="5"/>
      <c r="M120" s="5">
        <f>103804+514681</f>
        <v>618485</v>
      </c>
      <c r="N120" s="5"/>
      <c r="O120" s="5">
        <v>156138</v>
      </c>
      <c r="P120" s="5"/>
      <c r="Q120" s="5">
        <v>283673</v>
      </c>
      <c r="R120" s="5"/>
      <c r="S120" s="5">
        <v>525645</v>
      </c>
      <c r="T120" s="5"/>
      <c r="U120" s="5">
        <v>147777</v>
      </c>
      <c r="V120" s="5"/>
      <c r="W120" s="5">
        <v>483754</v>
      </c>
      <c r="X120" s="5"/>
      <c r="Y120" s="5">
        <v>1303029</v>
      </c>
      <c r="Z120" s="5"/>
      <c r="AA120" s="5">
        <f>-5821+796868</f>
        <v>791047</v>
      </c>
      <c r="AB120" s="5"/>
      <c r="AC120" s="5">
        <v>320130</v>
      </c>
      <c r="AD120" s="5"/>
      <c r="AE120" s="5">
        <v>315946</v>
      </c>
      <c r="AF120" s="5"/>
    </row>
    <row r="121" spans="1:34" x14ac:dyDescent="0.2">
      <c r="A121" s="1">
        <f t="shared" si="249"/>
        <v>121</v>
      </c>
      <c r="B121" t="s">
        <v>140</v>
      </c>
      <c r="C121" s="5">
        <f>C119-C120</f>
        <v>824468</v>
      </c>
      <c r="D121" s="5"/>
      <c r="E121" s="5">
        <f>E119-E120</f>
        <v>5237822</v>
      </c>
      <c r="F121" s="5"/>
      <c r="G121" s="5">
        <f>G119-G120</f>
        <v>1629116</v>
      </c>
      <c r="H121" s="5"/>
      <c r="I121" s="5">
        <f>I119-I120</f>
        <v>1670542</v>
      </c>
      <c r="J121" s="5"/>
      <c r="K121" s="5">
        <f>K119-K120</f>
        <v>2044404</v>
      </c>
      <c r="L121" s="5"/>
      <c r="M121" s="5">
        <f>M119-M120</f>
        <v>4085405</v>
      </c>
      <c r="N121" s="5"/>
      <c r="O121" s="5">
        <f>O119-O120</f>
        <v>982625</v>
      </c>
      <c r="P121" s="5"/>
      <c r="Q121" s="5">
        <f>Q119-Q120</f>
        <v>1785227</v>
      </c>
      <c r="R121" s="5"/>
      <c r="S121" s="5">
        <f>S119-S120</f>
        <v>3308032</v>
      </c>
      <c r="T121" s="5"/>
      <c r="U121" s="5">
        <f>U119-U120</f>
        <v>929993</v>
      </c>
      <c r="V121" s="5"/>
      <c r="W121" s="5">
        <f>W119-W120</f>
        <v>3044395</v>
      </c>
      <c r="X121" s="5"/>
      <c r="Y121" s="5">
        <f>Y119-Y120</f>
        <v>8145192</v>
      </c>
      <c r="Z121" s="5"/>
      <c r="AA121" s="5">
        <f>AA119-AA120</f>
        <v>4978250</v>
      </c>
      <c r="AB121" s="5"/>
      <c r="AC121" s="5">
        <f>AC119-AC120</f>
        <v>2016907</v>
      </c>
      <c r="AD121" s="5"/>
      <c r="AE121" s="5">
        <f>AE119-AE120</f>
        <v>2117352</v>
      </c>
      <c r="AF121" s="5"/>
    </row>
    <row r="122" spans="1:34" x14ac:dyDescent="0.2">
      <c r="A122" s="1">
        <f t="shared" si="249"/>
        <v>122</v>
      </c>
      <c r="B122" t="s">
        <v>160</v>
      </c>
      <c r="C122" s="5">
        <f>'FAC Recalc'!D121</f>
        <v>2505</v>
      </c>
      <c r="D122" s="5"/>
      <c r="E122" s="5">
        <f>'FAC Recalc'!F121</f>
        <v>16752</v>
      </c>
      <c r="F122" s="5"/>
      <c r="G122" s="5">
        <f>'FAC Recalc'!H121</f>
        <v>4850</v>
      </c>
      <c r="H122" s="5"/>
      <c r="I122" s="5">
        <f>'FAC Recalc'!J121</f>
        <v>5105</v>
      </c>
      <c r="J122" s="5"/>
      <c r="K122" s="5">
        <f>'FAC Recalc'!L121</f>
        <v>6367</v>
      </c>
      <c r="L122" s="5"/>
      <c r="M122" s="5">
        <f>'FAC Recalc'!N121</f>
        <v>12428</v>
      </c>
      <c r="N122" s="5"/>
      <c r="O122" s="5">
        <f>'FAC Recalc'!P121</f>
        <v>2992</v>
      </c>
      <c r="P122" s="5"/>
      <c r="Q122" s="5">
        <f>'FAC Recalc'!R121</f>
        <v>5434</v>
      </c>
      <c r="R122" s="5"/>
      <c r="S122" s="5">
        <f>'FAC Recalc'!T121</f>
        <v>10151</v>
      </c>
      <c r="T122" s="5"/>
      <c r="U122" s="5">
        <f>'FAC Recalc'!V121</f>
        <v>2827</v>
      </c>
      <c r="V122" s="5"/>
      <c r="W122" s="5">
        <f>'FAC Recalc'!X121</f>
        <v>9609</v>
      </c>
      <c r="X122" s="5"/>
      <c r="Y122" s="5">
        <f>'FAC Recalc'!Z121</f>
        <v>31115</v>
      </c>
      <c r="Z122" s="5"/>
      <c r="AA122" s="5">
        <f>'FAC Recalc'!AB121</f>
        <v>15269</v>
      </c>
      <c r="AB122" s="5"/>
      <c r="AC122" s="5">
        <f>'FAC Recalc'!AD121</f>
        <v>6470</v>
      </c>
      <c r="AD122" s="5"/>
      <c r="AE122" s="5">
        <f>'FAC Recalc'!AF121</f>
        <v>5665</v>
      </c>
      <c r="AF122" s="5"/>
    </row>
    <row r="123" spans="1:34" x14ac:dyDescent="0.2">
      <c r="A123" s="1">
        <f t="shared" si="249"/>
        <v>123</v>
      </c>
      <c r="B123" t="s">
        <v>161</v>
      </c>
      <c r="C123" s="5">
        <f>'Demand-Energy Alloc - After'!D99</f>
        <v>7661</v>
      </c>
      <c r="D123" s="5"/>
      <c r="E123" s="5">
        <f>'Demand-Energy Alloc - After'!E99</f>
        <v>41463</v>
      </c>
      <c r="F123" s="5"/>
      <c r="G123" s="5">
        <f>'Demand-Energy Alloc - After'!F99</f>
        <v>15702</v>
      </c>
      <c r="H123" s="5"/>
      <c r="I123" s="5">
        <f>'Demand-Energy Alloc - After'!G99</f>
        <v>15656</v>
      </c>
      <c r="J123" s="5"/>
      <c r="K123" s="5">
        <f>'Demand-Energy Alloc - After'!H99</f>
        <v>17891</v>
      </c>
      <c r="L123" s="5"/>
      <c r="M123" s="5">
        <f>'Demand-Energy Alloc - After'!I99</f>
        <v>16267</v>
      </c>
      <c r="N123" s="5"/>
      <c r="O123" s="5">
        <f>'Demand-Energy Alloc - After'!J99</f>
        <v>8296</v>
      </c>
      <c r="P123" s="5"/>
      <c r="Q123" s="5">
        <f>'Demand-Energy Alloc - After'!K99</f>
        <v>15415</v>
      </c>
      <c r="R123" s="5"/>
      <c r="S123" s="5">
        <f>'Demand-Energy Alloc - After'!L99</f>
        <v>28987</v>
      </c>
      <c r="T123" s="5"/>
      <c r="U123" s="5">
        <f>'Demand-Energy Alloc - After'!M99</f>
        <v>8767</v>
      </c>
      <c r="V123" s="5"/>
      <c r="W123" s="5">
        <f>'Demand-Energy Alloc - After'!N99</f>
        <v>25799</v>
      </c>
      <c r="X123" s="5"/>
      <c r="Y123" s="5">
        <f>'Demand-Energy Alloc - After'!O99</f>
        <v>45440</v>
      </c>
      <c r="Z123" s="5"/>
      <c r="AA123" s="5">
        <f>'Demand-Energy Alloc - After'!P99</f>
        <v>46061</v>
      </c>
      <c r="AB123" s="5"/>
      <c r="AC123" s="5">
        <f>'Demand-Energy Alloc - After'!Q99</f>
        <v>13729</v>
      </c>
      <c r="AD123" s="5"/>
      <c r="AE123" s="5">
        <f>'Demand-Energy Alloc - After'!R99</f>
        <v>16948</v>
      </c>
      <c r="AF123" s="5"/>
    </row>
    <row r="124" spans="1:34" x14ac:dyDescent="0.2">
      <c r="A124" s="1">
        <f t="shared" si="249"/>
        <v>124</v>
      </c>
      <c r="B124" t="s">
        <v>162</v>
      </c>
      <c r="C124" s="5">
        <f>'Demand-Energy Alloc - After'!D100</f>
        <v>23675</v>
      </c>
      <c r="D124" s="5"/>
      <c r="E124" s="5">
        <f>'Demand-Energy Alloc - After'!E100</f>
        <v>118737</v>
      </c>
      <c r="F124" s="5"/>
      <c r="G124" s="5">
        <f>'Demand-Energy Alloc - After'!F100</f>
        <v>47551</v>
      </c>
      <c r="H124" s="5"/>
      <c r="I124" s="5">
        <f>'Demand-Energy Alloc - After'!G100</f>
        <v>50036</v>
      </c>
      <c r="J124" s="5"/>
      <c r="K124" s="5">
        <f>'Demand-Energy Alloc - After'!H100</f>
        <v>53829</v>
      </c>
      <c r="L124" s="5"/>
      <c r="M124" s="5">
        <f>'Demand-Energy Alloc - After'!I100</f>
        <v>48789</v>
      </c>
      <c r="N124" s="5"/>
      <c r="O124" s="5">
        <f>'Demand-Energy Alloc - After'!J100</f>
        <v>24812</v>
      </c>
      <c r="P124" s="5"/>
      <c r="Q124" s="5">
        <f>'Demand-Energy Alloc - After'!K100</f>
        <v>43929</v>
      </c>
      <c r="R124" s="5"/>
      <c r="S124" s="5">
        <f>'Demand-Energy Alloc - After'!L100</f>
        <v>89427</v>
      </c>
      <c r="T124" s="5"/>
      <c r="U124" s="5">
        <f>'Demand-Energy Alloc - After'!M100</f>
        <v>27720</v>
      </c>
      <c r="V124" s="5"/>
      <c r="W124" s="5">
        <f>'Demand-Energy Alloc - After'!N100</f>
        <v>71870</v>
      </c>
      <c r="X124" s="5"/>
      <c r="Y124" s="5">
        <f>'Demand-Energy Alloc - After'!O100</f>
        <v>128426</v>
      </c>
      <c r="Z124" s="5"/>
      <c r="AA124" s="5">
        <f>'Demand-Energy Alloc - After'!P100</f>
        <v>130599</v>
      </c>
      <c r="AB124" s="5"/>
      <c r="AC124" s="5">
        <f>'Demand-Energy Alloc - After'!Q100</f>
        <v>38707</v>
      </c>
      <c r="AD124" s="5"/>
      <c r="AE124" s="5">
        <f>'Demand-Energy Alloc - After'!R100</f>
        <v>51888</v>
      </c>
      <c r="AF124" s="5"/>
    </row>
    <row r="125" spans="1:34" x14ac:dyDescent="0.2">
      <c r="A125" s="1">
        <f t="shared" si="249"/>
        <v>125</v>
      </c>
      <c r="B125" t="s">
        <v>163</v>
      </c>
      <c r="C125" s="5">
        <f>SUM(C121:C124)</f>
        <v>858309</v>
      </c>
      <c r="D125" s="5"/>
      <c r="E125" s="5">
        <f t="shared" ref="E125" si="330">SUM(E121:E124)</f>
        <v>5414774</v>
      </c>
      <c r="F125" s="5"/>
      <c r="G125" s="5">
        <f t="shared" ref="G125" si="331">SUM(G121:G124)</f>
        <v>1697219</v>
      </c>
      <c r="H125" s="5"/>
      <c r="I125" s="5">
        <f t="shared" ref="I125" si="332">SUM(I121:I124)</f>
        <v>1741339</v>
      </c>
      <c r="J125" s="5"/>
      <c r="K125" s="5">
        <f t="shared" ref="K125" si="333">SUM(K121:K124)</f>
        <v>2122491</v>
      </c>
      <c r="L125" s="5"/>
      <c r="M125" s="5">
        <f t="shared" ref="M125" si="334">SUM(M121:M124)</f>
        <v>4162889</v>
      </c>
      <c r="N125" s="5"/>
      <c r="O125" s="5">
        <f t="shared" ref="O125" si="335">SUM(O121:O124)</f>
        <v>1018725</v>
      </c>
      <c r="P125" s="5"/>
      <c r="Q125" s="5">
        <f t="shared" ref="Q125" si="336">SUM(Q121:Q124)</f>
        <v>1850005</v>
      </c>
      <c r="R125" s="5"/>
      <c r="S125" s="5">
        <f t="shared" ref="S125" si="337">SUM(S121:S124)</f>
        <v>3436597</v>
      </c>
      <c r="T125" s="5"/>
      <c r="U125" s="5">
        <f t="shared" ref="U125" si="338">SUM(U121:U124)</f>
        <v>969307</v>
      </c>
      <c r="V125" s="5"/>
      <c r="W125" s="5">
        <f t="shared" ref="W125" si="339">SUM(W121:W124)</f>
        <v>3151673</v>
      </c>
      <c r="X125" s="5"/>
      <c r="Y125" s="5">
        <f t="shared" ref="Y125" si="340">SUM(Y121:Y124)</f>
        <v>8350173</v>
      </c>
      <c r="Z125" s="5"/>
      <c r="AA125" s="5">
        <f t="shared" ref="AA125" si="341">SUM(AA121:AA124)</f>
        <v>5170179</v>
      </c>
      <c r="AB125" s="5"/>
      <c r="AC125" s="5">
        <f t="shared" ref="AC125" si="342">SUM(AC121:AC124)</f>
        <v>2075813</v>
      </c>
      <c r="AD125" s="5"/>
      <c r="AE125" s="5">
        <f t="shared" ref="AE125" si="343">SUM(AE121:AE124)</f>
        <v>2191853</v>
      </c>
      <c r="AF125" s="5"/>
    </row>
    <row r="126" spans="1:34" x14ac:dyDescent="0.2">
      <c r="A126" s="1">
        <f t="shared" si="249"/>
        <v>126</v>
      </c>
      <c r="B126" t="s">
        <v>72</v>
      </c>
      <c r="C126" s="6">
        <f>0.1589+C3</f>
        <v>0.16011500000000001</v>
      </c>
      <c r="D126" s="10"/>
      <c r="E126" s="6">
        <f>C126</f>
        <v>0.16011500000000001</v>
      </c>
      <c r="F126" s="6"/>
      <c r="G126" s="6">
        <f>E126</f>
        <v>0.16011500000000001</v>
      </c>
      <c r="H126" s="6"/>
      <c r="I126" s="6">
        <f t="shared" ref="I126" si="344">G126</f>
        <v>0.16011500000000001</v>
      </c>
      <c r="J126" s="6"/>
      <c r="K126" s="6">
        <f t="shared" ref="K126" si="345">I126</f>
        <v>0.16011500000000001</v>
      </c>
      <c r="L126" s="6"/>
      <c r="M126" s="6">
        <f t="shared" ref="M126" si="346">K126</f>
        <v>0.16011500000000001</v>
      </c>
      <c r="N126" s="6"/>
      <c r="O126" s="6">
        <f t="shared" ref="O126" si="347">M126</f>
        <v>0.16011500000000001</v>
      </c>
      <c r="P126" s="6"/>
      <c r="Q126" s="6">
        <f t="shared" ref="Q126" si="348">O126</f>
        <v>0.16011500000000001</v>
      </c>
      <c r="R126" s="6"/>
      <c r="S126" s="6">
        <f t="shared" ref="S126" si="349">Q126</f>
        <v>0.16011500000000001</v>
      </c>
      <c r="T126" s="6"/>
      <c r="U126" s="6">
        <f t="shared" ref="U126" si="350">S126</f>
        <v>0.16011500000000001</v>
      </c>
      <c r="V126" s="6"/>
      <c r="W126" s="6">
        <f t="shared" ref="W126" si="351">U126</f>
        <v>0.16011500000000001</v>
      </c>
      <c r="X126" s="6"/>
      <c r="Y126" s="6">
        <f t="shared" ref="Y126" si="352">W126</f>
        <v>0.16011500000000001</v>
      </c>
      <c r="Z126" s="6"/>
      <c r="AA126" s="6">
        <f t="shared" ref="AA126" si="353">Y126</f>
        <v>0.16011500000000001</v>
      </c>
      <c r="AB126" s="6"/>
      <c r="AC126" s="6">
        <f t="shared" ref="AC126" si="354">AA126</f>
        <v>0.16011500000000001</v>
      </c>
      <c r="AD126" s="6"/>
      <c r="AE126" s="6">
        <f t="shared" ref="AE126" si="355">AC126</f>
        <v>0.16011500000000001</v>
      </c>
      <c r="AF126" s="6"/>
    </row>
    <row r="127" spans="1:34" x14ac:dyDescent="0.2">
      <c r="A127" s="1">
        <f t="shared" si="249"/>
        <v>127</v>
      </c>
      <c r="B127" t="s">
        <v>73</v>
      </c>
      <c r="C127" s="5">
        <f>ROUND(C125*C126,0)</f>
        <v>137428</v>
      </c>
      <c r="D127" s="5"/>
      <c r="E127" s="5">
        <f t="shared" ref="E127" si="356">ROUND(E125*E126,0)</f>
        <v>866987</v>
      </c>
      <c r="F127" s="5"/>
      <c r="G127" s="5">
        <f t="shared" ref="G127" si="357">ROUND(G125*G126,0)</f>
        <v>271750</v>
      </c>
      <c r="H127" s="5"/>
      <c r="I127" s="5">
        <f t="shared" ref="I127" si="358">ROUND(I125*I126,0)</f>
        <v>278814</v>
      </c>
      <c r="J127" s="5"/>
      <c r="K127" s="5">
        <f t="shared" ref="K127" si="359">ROUND(K125*K126,0)</f>
        <v>339843</v>
      </c>
      <c r="L127" s="5"/>
      <c r="M127" s="5">
        <f t="shared" ref="M127" si="360">ROUND(M125*M126,0)</f>
        <v>666541</v>
      </c>
      <c r="N127" s="5"/>
      <c r="O127" s="5">
        <f t="shared" ref="O127" si="361">ROUND(O125*O126,0)</f>
        <v>163113</v>
      </c>
      <c r="P127" s="5"/>
      <c r="Q127" s="5">
        <f t="shared" ref="Q127" si="362">ROUND(Q125*Q126,0)</f>
        <v>296214</v>
      </c>
      <c r="R127" s="5"/>
      <c r="S127" s="5">
        <f t="shared" ref="S127" si="363">ROUND(S125*S126,0)</f>
        <v>550251</v>
      </c>
      <c r="T127" s="5"/>
      <c r="U127" s="5">
        <f t="shared" ref="U127" si="364">ROUND(U125*U126,0)</f>
        <v>155201</v>
      </c>
      <c r="V127" s="5"/>
      <c r="W127" s="5">
        <f t="shared" ref="W127" si="365">ROUND(W125*W126,0)</f>
        <v>504630</v>
      </c>
      <c r="X127" s="5"/>
      <c r="Y127" s="5">
        <f t="shared" ref="Y127" si="366">ROUND(Y125*Y126,0)</f>
        <v>1336988</v>
      </c>
      <c r="Z127" s="5"/>
      <c r="AA127" s="5">
        <f t="shared" ref="AA127" si="367">ROUND(AA125*AA126,0)</f>
        <v>827823</v>
      </c>
      <c r="AB127" s="5"/>
      <c r="AC127" s="5">
        <f t="shared" ref="AC127" si="368">ROUND(AC125*AC126,0)</f>
        <v>332369</v>
      </c>
      <c r="AD127" s="5"/>
      <c r="AE127" s="5">
        <f t="shared" ref="AE127" si="369">ROUND(AE125*AE126,0)</f>
        <v>350949</v>
      </c>
      <c r="AF127" s="5"/>
    </row>
    <row r="128" spans="1:34" x14ac:dyDescent="0.2">
      <c r="A128" s="1">
        <f t="shared" si="249"/>
        <v>128</v>
      </c>
      <c r="B128" t="s">
        <v>74</v>
      </c>
      <c r="C128" s="5"/>
      <c r="D128" s="5">
        <f>C127-C120</f>
        <v>6420</v>
      </c>
      <c r="E128" s="5"/>
      <c r="F128" s="5">
        <f>E127-E120</f>
        <v>34695</v>
      </c>
      <c r="G128" s="5"/>
      <c r="H128" s="5">
        <f>G127-G120</f>
        <v>12883</v>
      </c>
      <c r="I128" s="5"/>
      <c r="J128" s="5">
        <f>I127-I120</f>
        <v>13366</v>
      </c>
      <c r="K128" s="5"/>
      <c r="L128" s="5">
        <f>K127-K120</f>
        <v>13506</v>
      </c>
      <c r="M128" s="5"/>
      <c r="N128" s="5">
        <f>M127-M120</f>
        <v>48056</v>
      </c>
      <c r="O128" s="5"/>
      <c r="P128" s="5">
        <f>O127-O120</f>
        <v>6975</v>
      </c>
      <c r="Q128" s="5"/>
      <c r="R128" s="5">
        <f>Q127-Q120</f>
        <v>12541</v>
      </c>
      <c r="S128" s="5"/>
      <c r="T128" s="5">
        <f>S127-S120</f>
        <v>24606</v>
      </c>
      <c r="U128" s="5"/>
      <c r="V128" s="5">
        <f>U127-U120</f>
        <v>7424</v>
      </c>
      <c r="W128" s="5"/>
      <c r="X128" s="5">
        <f>W127-W120</f>
        <v>20876</v>
      </c>
      <c r="Y128" s="5"/>
      <c r="Z128" s="5">
        <f>Y127-Y120</f>
        <v>33959</v>
      </c>
      <c r="AA128" s="5"/>
      <c r="AB128" s="5">
        <f>AA127-AA120</f>
        <v>36776</v>
      </c>
      <c r="AC128" s="5"/>
      <c r="AD128" s="5">
        <f>AC127-AC120</f>
        <v>12239</v>
      </c>
      <c r="AE128" s="5"/>
      <c r="AF128" s="5">
        <f>AE127-AE120</f>
        <v>35003</v>
      </c>
      <c r="AG128" s="5">
        <f>SUM(D128:AF128)</f>
        <v>319325</v>
      </c>
      <c r="AH128" s="5">
        <f>-'Billing Impact'!G104</f>
        <v>317567</v>
      </c>
    </row>
    <row r="129" spans="1:34" x14ac:dyDescent="0.2">
      <c r="A129" s="1">
        <f t="shared" si="249"/>
        <v>129</v>
      </c>
    </row>
    <row r="130" spans="1:34" x14ac:dyDescent="0.2">
      <c r="A130" s="1">
        <f t="shared" si="249"/>
        <v>130</v>
      </c>
      <c r="B130" t="s">
        <v>21</v>
      </c>
    </row>
    <row r="131" spans="1:34" x14ac:dyDescent="0.2">
      <c r="A131" s="1">
        <f t="shared" si="249"/>
        <v>131</v>
      </c>
      <c r="B131" t="s">
        <v>69</v>
      </c>
      <c r="C131" s="5">
        <v>1098551</v>
      </c>
      <c r="D131" s="5"/>
      <c r="E131" s="5">
        <v>6372910</v>
      </c>
      <c r="F131" s="5"/>
      <c r="G131" s="5">
        <v>2103187</v>
      </c>
      <c r="H131" s="5"/>
      <c r="I131" s="5">
        <v>2261217</v>
      </c>
      <c r="J131" s="5"/>
      <c r="K131" s="5">
        <v>2518762</v>
      </c>
      <c r="L131" s="5"/>
      <c r="M131" s="5">
        <f>4547156+844444</f>
        <v>5391600</v>
      </c>
      <c r="N131" s="5"/>
      <c r="O131" s="5">
        <v>1266345</v>
      </c>
      <c r="P131" s="5"/>
      <c r="Q131" s="5">
        <v>2283711</v>
      </c>
      <c r="R131" s="5"/>
      <c r="S131" s="5">
        <v>4438087</v>
      </c>
      <c r="T131" s="5"/>
      <c r="U131" s="5">
        <v>1243744</v>
      </c>
      <c r="V131" s="5"/>
      <c r="W131" s="5">
        <v>3669412</v>
      </c>
      <c r="X131" s="5"/>
      <c r="Y131" s="5">
        <v>9846852</v>
      </c>
      <c r="Z131" s="5"/>
      <c r="AA131" s="5">
        <f>5722801-49282</f>
        <v>5673519</v>
      </c>
      <c r="AB131" s="5"/>
      <c r="AC131" s="5">
        <v>2441228</v>
      </c>
      <c r="AD131" s="5"/>
      <c r="AE131" s="5">
        <v>2573055</v>
      </c>
      <c r="AF131" s="5"/>
    </row>
    <row r="132" spans="1:34" x14ac:dyDescent="0.2">
      <c r="A132" s="1">
        <f t="shared" si="249"/>
        <v>132</v>
      </c>
      <c r="B132" t="s">
        <v>70</v>
      </c>
      <c r="C132" s="5">
        <v>163853</v>
      </c>
      <c r="D132" s="5"/>
      <c r="E132" s="5">
        <v>950542</v>
      </c>
      <c r="F132" s="5"/>
      <c r="G132" s="5">
        <v>313696</v>
      </c>
      <c r="H132" s="5"/>
      <c r="I132" s="5">
        <v>337268</v>
      </c>
      <c r="J132" s="5"/>
      <c r="K132" s="5">
        <v>377121</v>
      </c>
      <c r="L132" s="5"/>
      <c r="M132" s="5">
        <f>129059+642381</f>
        <v>771440</v>
      </c>
      <c r="N132" s="5"/>
      <c r="O132" s="5">
        <v>188881</v>
      </c>
      <c r="P132" s="5"/>
      <c r="Q132" s="5">
        <v>340622</v>
      </c>
      <c r="R132" s="5"/>
      <c r="S132" s="5">
        <v>661957</v>
      </c>
      <c r="T132" s="5"/>
      <c r="U132" s="5">
        <v>185509</v>
      </c>
      <c r="V132" s="5"/>
      <c r="W132" s="5">
        <v>547305</v>
      </c>
      <c r="X132" s="5"/>
      <c r="Y132" s="5">
        <v>1476552</v>
      </c>
      <c r="Z132" s="5"/>
      <c r="AA132" s="5">
        <f>-7350+853576</f>
        <v>846226</v>
      </c>
      <c r="AB132" s="5"/>
      <c r="AC132" s="5">
        <v>363934</v>
      </c>
      <c r="AD132" s="5"/>
      <c r="AE132" s="5">
        <v>368891</v>
      </c>
      <c r="AF132" s="5"/>
    </row>
    <row r="133" spans="1:34" x14ac:dyDescent="0.2">
      <c r="A133" s="1">
        <f t="shared" si="249"/>
        <v>133</v>
      </c>
      <c r="B133" t="s">
        <v>140</v>
      </c>
      <c r="C133" s="5">
        <f>C131-C132</f>
        <v>934698</v>
      </c>
      <c r="D133" s="5"/>
      <c r="E133" s="5">
        <f>E131-E132</f>
        <v>5422368</v>
      </c>
      <c r="F133" s="5"/>
      <c r="G133" s="5">
        <f>G131-G132</f>
        <v>1789491</v>
      </c>
      <c r="H133" s="5"/>
      <c r="I133" s="5">
        <f>I131-I132</f>
        <v>1923949</v>
      </c>
      <c r="J133" s="5"/>
      <c r="K133" s="5">
        <f>K131-K132</f>
        <v>2141641</v>
      </c>
      <c r="L133" s="5"/>
      <c r="M133" s="5">
        <f>M131-M132</f>
        <v>4620160</v>
      </c>
      <c r="N133" s="5"/>
      <c r="O133" s="5">
        <f>O131-O132</f>
        <v>1077464</v>
      </c>
      <c r="P133" s="5"/>
      <c r="Q133" s="5">
        <f>Q131-Q132</f>
        <v>1943089</v>
      </c>
      <c r="R133" s="5"/>
      <c r="S133" s="5">
        <f>S131-S132</f>
        <v>3776130</v>
      </c>
      <c r="T133" s="5"/>
      <c r="U133" s="5">
        <f>U131-U132</f>
        <v>1058235</v>
      </c>
      <c r="V133" s="5"/>
      <c r="W133" s="5">
        <f>W131-W132</f>
        <v>3122107</v>
      </c>
      <c r="X133" s="5"/>
      <c r="Y133" s="5">
        <f>Y131-Y132</f>
        <v>8370300</v>
      </c>
      <c r="Z133" s="5"/>
      <c r="AA133" s="5">
        <f>AA131-AA132</f>
        <v>4827293</v>
      </c>
      <c r="AB133" s="5"/>
      <c r="AC133" s="5">
        <f>AC131-AC132</f>
        <v>2077294</v>
      </c>
      <c r="AD133" s="5"/>
      <c r="AE133" s="5">
        <f>AE131-AE132</f>
        <v>2204164</v>
      </c>
      <c r="AF133" s="5"/>
    </row>
    <row r="134" spans="1:34" x14ac:dyDescent="0.2">
      <c r="A134" s="1">
        <f t="shared" si="249"/>
        <v>134</v>
      </c>
      <c r="B134" t="s">
        <v>160</v>
      </c>
      <c r="C134" s="5">
        <f>'FAC Recalc'!D129</f>
        <v>5118</v>
      </c>
      <c r="D134" s="5"/>
      <c r="E134" s="5">
        <f>'FAC Recalc'!F129</f>
        <v>31390</v>
      </c>
      <c r="F134" s="5"/>
      <c r="G134" s="5">
        <f>'FAC Recalc'!H129</f>
        <v>9656</v>
      </c>
      <c r="H134" s="5"/>
      <c r="I134" s="5">
        <f>'FAC Recalc'!J129</f>
        <v>10561</v>
      </c>
      <c r="J134" s="5"/>
      <c r="K134" s="5">
        <f>'FAC Recalc'!L129</f>
        <v>7640</v>
      </c>
      <c r="L134" s="5"/>
      <c r="M134" s="5">
        <f>'FAC Recalc'!N129</f>
        <v>25901</v>
      </c>
      <c r="N134" s="5"/>
      <c r="O134" s="5">
        <f>'FAC Recalc'!P129</f>
        <v>6033</v>
      </c>
      <c r="P134" s="5"/>
      <c r="Q134" s="5">
        <f>'FAC Recalc'!R129</f>
        <v>10710</v>
      </c>
      <c r="R134" s="5"/>
      <c r="S134" s="5">
        <f>'FAC Recalc'!T129</f>
        <v>20613</v>
      </c>
      <c r="T134" s="5"/>
      <c r="U134" s="5">
        <f>'FAC Recalc'!V129</f>
        <v>5877</v>
      </c>
      <c r="V134" s="5"/>
      <c r="W134" s="5">
        <f>'FAC Recalc'!X129</f>
        <v>18447</v>
      </c>
      <c r="X134" s="5"/>
      <c r="Y134" s="5">
        <f>'FAC Recalc'!Z129</f>
        <v>58904</v>
      </c>
      <c r="Z134" s="5"/>
      <c r="AA134" s="5">
        <f>'FAC Recalc'!AB129</f>
        <v>28252</v>
      </c>
      <c r="AB134" s="5"/>
      <c r="AC134" s="5">
        <f>'FAC Recalc'!AD129</f>
        <v>12436</v>
      </c>
      <c r="AD134" s="5"/>
      <c r="AE134" s="5">
        <f>'FAC Recalc'!AF129</f>
        <v>11053</v>
      </c>
      <c r="AF134" s="5"/>
    </row>
    <row r="135" spans="1:34" x14ac:dyDescent="0.2">
      <c r="A135" s="1">
        <f t="shared" si="249"/>
        <v>135</v>
      </c>
      <c r="B135" t="s">
        <v>161</v>
      </c>
      <c r="C135" s="5">
        <f>'Demand-Energy Alloc - After'!D108</f>
        <v>8844</v>
      </c>
      <c r="D135" s="5"/>
      <c r="E135" s="5">
        <f>'Demand-Energy Alloc - After'!E108</f>
        <v>40583</v>
      </c>
      <c r="F135" s="5"/>
      <c r="G135" s="5">
        <f>'Demand-Energy Alloc - After'!F108</f>
        <v>17273</v>
      </c>
      <c r="H135" s="5"/>
      <c r="I135" s="5">
        <f>'Demand-Energy Alloc - After'!G108</f>
        <v>18516</v>
      </c>
      <c r="J135" s="5"/>
      <c r="K135" s="5">
        <f>'Demand-Energy Alloc - After'!H108</f>
        <v>17109</v>
      </c>
      <c r="L135" s="5"/>
      <c r="M135" s="5">
        <f>'Demand-Energy Alloc - After'!I108</f>
        <v>17315</v>
      </c>
      <c r="N135" s="5"/>
      <c r="O135" s="5">
        <f>'Demand-Energy Alloc - After'!J108</f>
        <v>8579</v>
      </c>
      <c r="P135" s="5"/>
      <c r="Q135" s="5">
        <f>'Demand-Energy Alloc - After'!K108</f>
        <v>16816</v>
      </c>
      <c r="R135" s="5"/>
      <c r="S135" s="5">
        <f>'Demand-Energy Alloc - After'!L108</f>
        <v>35125</v>
      </c>
      <c r="T135" s="5"/>
      <c r="U135" s="5">
        <f>'Demand-Energy Alloc - After'!M108</f>
        <v>9749</v>
      </c>
      <c r="V135" s="5"/>
      <c r="W135" s="5">
        <f>'Demand-Energy Alloc - After'!N108</f>
        <v>22636</v>
      </c>
      <c r="X135" s="5"/>
      <c r="Y135" s="5">
        <f>'Demand-Energy Alloc - After'!O108</f>
        <v>34288</v>
      </c>
      <c r="Z135" s="5"/>
      <c r="AA135" s="5">
        <f>'Demand-Energy Alloc - After'!P108</f>
        <v>36096</v>
      </c>
      <c r="AB135" s="5"/>
      <c r="AC135" s="5">
        <f>'Demand-Energy Alloc - After'!Q108</f>
        <v>11966</v>
      </c>
      <c r="AD135" s="5"/>
      <c r="AE135" s="5">
        <f>'Demand-Energy Alloc - After'!R108</f>
        <v>18216</v>
      </c>
      <c r="AF135" s="5"/>
    </row>
    <row r="136" spans="1:34" x14ac:dyDescent="0.2">
      <c r="A136" s="1">
        <f t="shared" si="249"/>
        <v>136</v>
      </c>
      <c r="B136" t="s">
        <v>162</v>
      </c>
      <c r="C136" s="5">
        <f>'Demand-Energy Alloc - After'!D109</f>
        <v>27315</v>
      </c>
      <c r="D136" s="5"/>
      <c r="E136" s="5">
        <f>'Demand-Energy Alloc - After'!E109</f>
        <v>127574</v>
      </c>
      <c r="F136" s="5"/>
      <c r="G136" s="5">
        <f>'Demand-Energy Alloc - After'!F109</f>
        <v>53344</v>
      </c>
      <c r="H136" s="5"/>
      <c r="I136" s="5">
        <f>'Demand-Energy Alloc - After'!G109</f>
        <v>58343</v>
      </c>
      <c r="J136" s="5"/>
      <c r="K136" s="5">
        <f>'Demand-Energy Alloc - After'!H109</f>
        <v>58387</v>
      </c>
      <c r="L136" s="5"/>
      <c r="M136" s="5">
        <f>'Demand-Energy Alloc - After'!I109</f>
        <v>56299</v>
      </c>
      <c r="N136" s="5"/>
      <c r="O136" s="5">
        <f>'Demand-Energy Alloc - After'!J109</f>
        <v>28391</v>
      </c>
      <c r="P136" s="5"/>
      <c r="Q136" s="5">
        <f>'Demand-Energy Alloc - After'!K109</f>
        <v>48894</v>
      </c>
      <c r="R136" s="5"/>
      <c r="S136" s="5">
        <f>'Demand-Energy Alloc - After'!L109</f>
        <v>102743</v>
      </c>
      <c r="T136" s="5"/>
      <c r="U136" s="5">
        <f>'Demand-Energy Alloc - After'!M109</f>
        <v>32468</v>
      </c>
      <c r="V136" s="5"/>
      <c r="W136" s="5">
        <f>'Demand-Energy Alloc - After'!N109</f>
        <v>76153</v>
      </c>
      <c r="X136" s="5"/>
      <c r="Y136" s="5">
        <f>'Demand-Energy Alloc - After'!O109</f>
        <v>133419</v>
      </c>
      <c r="Z136" s="5"/>
      <c r="AA136" s="5">
        <f>'Demand-Energy Alloc - After'!P109</f>
        <v>133694</v>
      </c>
      <c r="AB136" s="5"/>
      <c r="AC136" s="5">
        <f>'Demand-Energy Alloc - After'!Q109</f>
        <v>41664</v>
      </c>
      <c r="AD136" s="5"/>
      <c r="AE136" s="5">
        <f>'Demand-Energy Alloc - After'!R109</f>
        <v>56947</v>
      </c>
      <c r="AF136" s="5"/>
    </row>
    <row r="137" spans="1:34" x14ac:dyDescent="0.2">
      <c r="A137" s="1">
        <f t="shared" si="249"/>
        <v>137</v>
      </c>
      <c r="B137" t="s">
        <v>163</v>
      </c>
      <c r="C137" s="5">
        <f>SUM(C133:C136)</f>
        <v>975975</v>
      </c>
      <c r="D137" s="5"/>
      <c r="E137" s="5">
        <f t="shared" ref="E137" si="370">SUM(E133:E136)</f>
        <v>5621915</v>
      </c>
      <c r="F137" s="5"/>
      <c r="G137" s="5">
        <f t="shared" ref="G137" si="371">SUM(G133:G136)</f>
        <v>1869764</v>
      </c>
      <c r="H137" s="5"/>
      <c r="I137" s="5">
        <f t="shared" ref="I137" si="372">SUM(I133:I136)</f>
        <v>2011369</v>
      </c>
      <c r="J137" s="5"/>
      <c r="K137" s="5">
        <f t="shared" ref="K137" si="373">SUM(K133:K136)</f>
        <v>2224777</v>
      </c>
      <c r="L137" s="5"/>
      <c r="M137" s="5">
        <f t="shared" ref="M137" si="374">SUM(M133:M136)</f>
        <v>4719675</v>
      </c>
      <c r="N137" s="5"/>
      <c r="O137" s="5">
        <f t="shared" ref="O137" si="375">SUM(O133:O136)</f>
        <v>1120467</v>
      </c>
      <c r="P137" s="5"/>
      <c r="Q137" s="5">
        <f t="shared" ref="Q137" si="376">SUM(Q133:Q136)</f>
        <v>2019509</v>
      </c>
      <c r="R137" s="5"/>
      <c r="S137" s="5">
        <f t="shared" ref="S137" si="377">SUM(S133:S136)</f>
        <v>3934611</v>
      </c>
      <c r="T137" s="5"/>
      <c r="U137" s="5">
        <f t="shared" ref="U137" si="378">SUM(U133:U136)</f>
        <v>1106329</v>
      </c>
      <c r="V137" s="5"/>
      <c r="W137" s="5">
        <f t="shared" ref="W137" si="379">SUM(W133:W136)</f>
        <v>3239343</v>
      </c>
      <c r="X137" s="5"/>
      <c r="Y137" s="5">
        <f t="shared" ref="Y137" si="380">SUM(Y133:Y136)</f>
        <v>8596911</v>
      </c>
      <c r="Z137" s="5"/>
      <c r="AA137" s="5">
        <f t="shared" ref="AA137" si="381">SUM(AA133:AA136)</f>
        <v>5025335</v>
      </c>
      <c r="AB137" s="5"/>
      <c r="AC137" s="5">
        <f t="shared" ref="AC137" si="382">SUM(AC133:AC136)</f>
        <v>2143360</v>
      </c>
      <c r="AD137" s="5"/>
      <c r="AE137" s="5">
        <f t="shared" ref="AE137" si="383">SUM(AE133:AE136)</f>
        <v>2290380</v>
      </c>
      <c r="AF137" s="5"/>
    </row>
    <row r="138" spans="1:34" x14ac:dyDescent="0.2">
      <c r="A138" s="1">
        <f t="shared" si="249"/>
        <v>138</v>
      </c>
      <c r="B138" t="s">
        <v>72</v>
      </c>
      <c r="C138" s="6">
        <f>0.1753+C3</f>
        <v>0.17651500000000001</v>
      </c>
      <c r="D138" s="10"/>
      <c r="E138" s="6">
        <f>C138</f>
        <v>0.17651500000000001</v>
      </c>
      <c r="F138" s="6"/>
      <c r="G138" s="6">
        <f>E138</f>
        <v>0.17651500000000001</v>
      </c>
      <c r="H138" s="6"/>
      <c r="I138" s="6">
        <f t="shared" ref="I138" si="384">G138</f>
        <v>0.17651500000000001</v>
      </c>
      <c r="J138" s="6"/>
      <c r="K138" s="6">
        <f t="shared" ref="K138" si="385">I138</f>
        <v>0.17651500000000001</v>
      </c>
      <c r="L138" s="6"/>
      <c r="M138" s="6">
        <f t="shared" ref="M138" si="386">K138</f>
        <v>0.17651500000000001</v>
      </c>
      <c r="N138" s="6"/>
      <c r="O138" s="6">
        <f t="shared" ref="O138" si="387">M138</f>
        <v>0.17651500000000001</v>
      </c>
      <c r="P138" s="6"/>
      <c r="Q138" s="6">
        <f t="shared" ref="Q138" si="388">O138</f>
        <v>0.17651500000000001</v>
      </c>
      <c r="R138" s="6"/>
      <c r="S138" s="6">
        <f t="shared" ref="S138" si="389">Q138</f>
        <v>0.17651500000000001</v>
      </c>
      <c r="T138" s="6"/>
      <c r="U138" s="6">
        <f t="shared" ref="U138" si="390">S138</f>
        <v>0.17651500000000001</v>
      </c>
      <c r="V138" s="6"/>
      <c r="W138" s="6">
        <f t="shared" ref="W138" si="391">U138</f>
        <v>0.17651500000000001</v>
      </c>
      <c r="X138" s="6"/>
      <c r="Y138" s="6">
        <f t="shared" ref="Y138" si="392">W138</f>
        <v>0.17651500000000001</v>
      </c>
      <c r="Z138" s="6"/>
      <c r="AA138" s="6">
        <f t="shared" ref="AA138" si="393">Y138</f>
        <v>0.17651500000000001</v>
      </c>
      <c r="AB138" s="6"/>
      <c r="AC138" s="6">
        <f t="shared" ref="AC138" si="394">AA138</f>
        <v>0.17651500000000001</v>
      </c>
      <c r="AD138" s="6"/>
      <c r="AE138" s="6">
        <f t="shared" ref="AE138" si="395">AC138</f>
        <v>0.17651500000000001</v>
      </c>
      <c r="AF138" s="6"/>
    </row>
    <row r="139" spans="1:34" x14ac:dyDescent="0.2">
      <c r="A139" s="1">
        <f t="shared" si="249"/>
        <v>139</v>
      </c>
      <c r="B139" t="s">
        <v>73</v>
      </c>
      <c r="C139" s="5">
        <f>ROUND(C137*C138,0)</f>
        <v>172274</v>
      </c>
      <c r="D139" s="5"/>
      <c r="E139" s="5">
        <f t="shared" ref="E139" si="396">ROUND(E137*E138,0)</f>
        <v>992352</v>
      </c>
      <c r="F139" s="5"/>
      <c r="G139" s="5">
        <f t="shared" ref="G139" si="397">ROUND(G137*G138,0)</f>
        <v>330041</v>
      </c>
      <c r="H139" s="5"/>
      <c r="I139" s="5">
        <f t="shared" ref="I139" si="398">ROUND(I137*I138,0)</f>
        <v>355037</v>
      </c>
      <c r="J139" s="5"/>
      <c r="K139" s="5">
        <f t="shared" ref="K139" si="399">ROUND(K137*K138,0)</f>
        <v>392707</v>
      </c>
      <c r="L139" s="5"/>
      <c r="M139" s="5">
        <f t="shared" ref="M139" si="400">ROUND(M137*M138,0)</f>
        <v>833093</v>
      </c>
      <c r="N139" s="5"/>
      <c r="O139" s="5">
        <f t="shared" ref="O139" si="401">ROUND(O137*O138,0)</f>
        <v>197779</v>
      </c>
      <c r="P139" s="5"/>
      <c r="Q139" s="5">
        <f t="shared" ref="Q139" si="402">ROUND(Q137*Q138,0)</f>
        <v>356474</v>
      </c>
      <c r="R139" s="5"/>
      <c r="S139" s="5">
        <f t="shared" ref="S139" si="403">ROUND(S137*S138,0)</f>
        <v>694518</v>
      </c>
      <c r="T139" s="5"/>
      <c r="U139" s="5">
        <f t="shared" ref="U139" si="404">ROUND(U137*U138,0)</f>
        <v>195284</v>
      </c>
      <c r="V139" s="5"/>
      <c r="W139" s="5">
        <f t="shared" ref="W139" si="405">ROUND(W137*W138,0)</f>
        <v>571793</v>
      </c>
      <c r="X139" s="5"/>
      <c r="Y139" s="5">
        <f t="shared" ref="Y139" si="406">ROUND(Y137*Y138,0)</f>
        <v>1517484</v>
      </c>
      <c r="Z139" s="5"/>
      <c r="AA139" s="5">
        <f t="shared" ref="AA139" si="407">ROUND(AA137*AA138,0)</f>
        <v>887047</v>
      </c>
      <c r="AB139" s="5"/>
      <c r="AC139" s="5">
        <f t="shared" ref="AC139" si="408">ROUND(AC137*AC138,0)</f>
        <v>378335</v>
      </c>
      <c r="AD139" s="5"/>
      <c r="AE139" s="5">
        <f>ROUND(AE137*AE138,0)</f>
        <v>404286</v>
      </c>
      <c r="AF139" s="5"/>
    </row>
    <row r="140" spans="1:34" x14ac:dyDescent="0.2">
      <c r="A140" s="1">
        <f t="shared" si="249"/>
        <v>140</v>
      </c>
      <c r="B140" t="s">
        <v>74</v>
      </c>
      <c r="C140" s="5"/>
      <c r="D140" s="5">
        <f>C139-C132</f>
        <v>8421</v>
      </c>
      <c r="E140" s="5"/>
      <c r="F140" s="5">
        <f>E139-E132</f>
        <v>41810</v>
      </c>
      <c r="G140" s="5"/>
      <c r="H140" s="5">
        <f>G139-G132</f>
        <v>16345</v>
      </c>
      <c r="I140" s="5"/>
      <c r="J140" s="5">
        <f>I139-I132</f>
        <v>17769</v>
      </c>
      <c r="K140" s="5"/>
      <c r="L140" s="5">
        <f>K139-K132</f>
        <v>15586</v>
      </c>
      <c r="M140" s="5"/>
      <c r="N140" s="5">
        <f>M139-M132</f>
        <v>61653</v>
      </c>
      <c r="O140" s="5"/>
      <c r="P140" s="5">
        <f>O139-O132</f>
        <v>8898</v>
      </c>
      <c r="Q140" s="5"/>
      <c r="R140" s="5">
        <f>Q139-Q132</f>
        <v>15852</v>
      </c>
      <c r="S140" s="5"/>
      <c r="T140" s="5">
        <f>S139-S132</f>
        <v>32561</v>
      </c>
      <c r="U140" s="5"/>
      <c r="V140" s="5">
        <f>U139-U132</f>
        <v>9775</v>
      </c>
      <c r="W140" s="5"/>
      <c r="X140" s="5">
        <f>W139-W132</f>
        <v>24488</v>
      </c>
      <c r="Y140" s="5"/>
      <c r="Z140" s="5">
        <f>Y139-Y132</f>
        <v>40932</v>
      </c>
      <c r="AA140" s="5"/>
      <c r="AB140" s="5">
        <f>AA139-AA132</f>
        <v>40821</v>
      </c>
      <c r="AC140" s="5"/>
      <c r="AD140" s="5">
        <f>AC139-AC132</f>
        <v>14401</v>
      </c>
      <c r="AE140" s="5"/>
      <c r="AF140" s="5">
        <f>AE139-AE132</f>
        <v>35395</v>
      </c>
      <c r="AG140" s="5">
        <f>SUM(D140:AF140)</f>
        <v>384707</v>
      </c>
      <c r="AH140" s="5">
        <f>-'Billing Impact'!G107</f>
        <v>387540</v>
      </c>
    </row>
    <row r="141" spans="1:34" x14ac:dyDescent="0.2">
      <c r="A141" s="1">
        <f t="shared" si="249"/>
        <v>141</v>
      </c>
    </row>
    <row r="142" spans="1:34" x14ac:dyDescent="0.2">
      <c r="A142" s="1">
        <f t="shared" si="249"/>
        <v>142</v>
      </c>
      <c r="B142" s="16" t="s">
        <v>75</v>
      </c>
    </row>
    <row r="143" spans="1:34" x14ac:dyDescent="0.2">
      <c r="A143" s="1">
        <f t="shared" si="249"/>
        <v>143</v>
      </c>
      <c r="B143" t="s">
        <v>69</v>
      </c>
      <c r="C143" s="5">
        <v>1366525</v>
      </c>
      <c r="D143" s="5"/>
      <c r="E143" s="5">
        <v>7390710</v>
      </c>
      <c r="F143" s="5"/>
      <c r="G143" s="5">
        <v>2602704</v>
      </c>
      <c r="H143" s="5"/>
      <c r="I143" s="5">
        <v>2649502</v>
      </c>
      <c r="J143" s="5"/>
      <c r="K143" s="5">
        <v>2813399</v>
      </c>
      <c r="L143" s="5"/>
      <c r="M143" s="5">
        <f>4832315+976349</f>
        <v>5808664</v>
      </c>
      <c r="N143" s="5"/>
      <c r="O143" s="5">
        <v>1487263</v>
      </c>
      <c r="P143" s="5"/>
      <c r="Q143" s="5">
        <v>2764653</v>
      </c>
      <c r="R143" s="5"/>
      <c r="S143" s="5">
        <v>5308357</v>
      </c>
      <c r="T143" s="5"/>
      <c r="U143" s="5">
        <v>1489416</v>
      </c>
      <c r="V143" s="5"/>
      <c r="W143" s="5">
        <v>4169540</v>
      </c>
      <c r="X143" s="5"/>
      <c r="Y143" s="5">
        <v>10053059</v>
      </c>
      <c r="Z143" s="5"/>
      <c r="AA143" s="5">
        <f>6395903-72883</f>
        <v>6323020</v>
      </c>
      <c r="AB143" s="5"/>
      <c r="AC143" s="5">
        <v>2697279</v>
      </c>
      <c r="AD143" s="5"/>
      <c r="AE143" s="5">
        <v>3028553</v>
      </c>
      <c r="AF143" s="5"/>
    </row>
    <row r="144" spans="1:34" x14ac:dyDescent="0.2">
      <c r="A144" s="1">
        <f t="shared" si="249"/>
        <v>144</v>
      </c>
      <c r="B144" t="s">
        <v>70</v>
      </c>
      <c r="C144" s="5">
        <v>232574</v>
      </c>
      <c r="D144" s="5"/>
      <c r="E144" s="5">
        <v>1257847</v>
      </c>
      <c r="F144" s="5"/>
      <c r="G144" s="5">
        <v>442962</v>
      </c>
      <c r="H144" s="5"/>
      <c r="I144" s="5">
        <v>450928</v>
      </c>
      <c r="J144" s="5"/>
      <c r="K144" s="5">
        <v>480410</v>
      </c>
      <c r="L144" s="5"/>
      <c r="M144" s="5">
        <f>169714+791734</f>
        <v>961448</v>
      </c>
      <c r="N144" s="5"/>
      <c r="O144" s="5">
        <v>253121</v>
      </c>
      <c r="P144" s="5"/>
      <c r="Q144" s="5">
        <v>470525</v>
      </c>
      <c r="R144" s="5"/>
      <c r="S144" s="5">
        <v>903448</v>
      </c>
      <c r="T144" s="5"/>
      <c r="U144" s="5">
        <v>253488</v>
      </c>
      <c r="V144" s="5"/>
      <c r="W144" s="5">
        <v>709628</v>
      </c>
      <c r="X144" s="5"/>
      <c r="Y144" s="5">
        <v>1720345</v>
      </c>
      <c r="Z144" s="5"/>
      <c r="AA144" s="5">
        <f>-12405+1088543</f>
        <v>1076138</v>
      </c>
      <c r="AB144" s="5"/>
      <c r="AC144" s="5">
        <v>458983</v>
      </c>
      <c r="AD144" s="5"/>
      <c r="AE144" s="5">
        <v>492795</v>
      </c>
      <c r="AF144" s="5"/>
    </row>
    <row r="145" spans="1:34" x14ac:dyDescent="0.2">
      <c r="A145" s="1">
        <f t="shared" si="249"/>
        <v>145</v>
      </c>
      <c r="B145" t="s">
        <v>140</v>
      </c>
      <c r="C145" s="5">
        <f>C143-C144</f>
        <v>1133951</v>
      </c>
      <c r="D145" s="5"/>
      <c r="E145" s="5">
        <f>E143-E144</f>
        <v>6132863</v>
      </c>
      <c r="F145" s="5"/>
      <c r="G145" s="5">
        <f>G143-G144</f>
        <v>2159742</v>
      </c>
      <c r="H145" s="5"/>
      <c r="I145" s="5">
        <f>I143-I144</f>
        <v>2198574</v>
      </c>
      <c r="J145" s="5"/>
      <c r="K145" s="5">
        <f>K143-K144</f>
        <v>2332989</v>
      </c>
      <c r="L145" s="5"/>
      <c r="M145" s="5">
        <f>M143-M144</f>
        <v>4847216</v>
      </c>
      <c r="N145" s="5"/>
      <c r="O145" s="5">
        <f>O143-O144</f>
        <v>1234142</v>
      </c>
      <c r="P145" s="5"/>
      <c r="Q145" s="5">
        <f>Q143-Q144</f>
        <v>2294128</v>
      </c>
      <c r="R145" s="5"/>
      <c r="S145" s="5">
        <f>S143-S144</f>
        <v>4404909</v>
      </c>
      <c r="T145" s="5"/>
      <c r="U145" s="5">
        <f>U143-U144</f>
        <v>1235928</v>
      </c>
      <c r="V145" s="5"/>
      <c r="W145" s="5">
        <f>W143-W144</f>
        <v>3459912</v>
      </c>
      <c r="X145" s="5"/>
      <c r="Y145" s="5">
        <f>Y143-Y144</f>
        <v>8332714</v>
      </c>
      <c r="Z145" s="5"/>
      <c r="AA145" s="5">
        <f>AA143-AA144</f>
        <v>5246882</v>
      </c>
      <c r="AB145" s="5"/>
      <c r="AC145" s="5">
        <f>AC143-AC144</f>
        <v>2238296</v>
      </c>
      <c r="AD145" s="5"/>
      <c r="AE145" s="5">
        <f>AE143-AE144</f>
        <v>2535758</v>
      </c>
      <c r="AF145" s="5"/>
    </row>
    <row r="146" spans="1:34" x14ac:dyDescent="0.2">
      <c r="A146" s="1">
        <f t="shared" si="249"/>
        <v>146</v>
      </c>
      <c r="B146" t="s">
        <v>160</v>
      </c>
      <c r="C146" s="5">
        <f>'FAC Recalc'!D137</f>
        <v>6969</v>
      </c>
      <c r="D146" s="5"/>
      <c r="E146" s="5">
        <f>'FAC Recalc'!F137</f>
        <v>38710</v>
      </c>
      <c r="F146" s="5"/>
      <c r="G146" s="5">
        <f>'FAC Recalc'!H137</f>
        <v>13122</v>
      </c>
      <c r="H146" s="5"/>
      <c r="I146" s="5">
        <f>'FAC Recalc'!J137</f>
        <v>13470</v>
      </c>
      <c r="J146" s="5"/>
      <c r="K146" s="5">
        <f>'FAC Recalc'!L137</f>
        <v>14722</v>
      </c>
      <c r="L146" s="5"/>
      <c r="M146" s="5">
        <f>'FAC Recalc'!N137</f>
        <v>30960</v>
      </c>
      <c r="N146" s="5"/>
      <c r="O146" s="5">
        <f>'FAC Recalc'!P137</f>
        <v>7759</v>
      </c>
      <c r="P146" s="5"/>
      <c r="Q146" s="5">
        <f>'FAC Recalc'!R137</f>
        <v>14119</v>
      </c>
      <c r="R146" s="5"/>
      <c r="S146" s="5">
        <f>'FAC Recalc'!T137</f>
        <v>26803</v>
      </c>
      <c r="T146" s="5"/>
      <c r="U146" s="5">
        <f>'FAC Recalc'!V137</f>
        <v>7697</v>
      </c>
      <c r="V146" s="5"/>
      <c r="W146" s="5">
        <f>'FAC Recalc'!X137</f>
        <v>21976</v>
      </c>
      <c r="X146" s="5"/>
      <c r="Y146" s="5">
        <f>'FAC Recalc'!Z137</f>
        <v>63103</v>
      </c>
      <c r="Z146" s="5"/>
      <c r="AA146" s="5">
        <f>'FAC Recalc'!AB137</f>
        <v>33233</v>
      </c>
      <c r="AB146" s="5"/>
      <c r="AC146" s="5">
        <f>'FAC Recalc'!AD137</f>
        <v>14714</v>
      </c>
      <c r="AD146" s="5"/>
      <c r="AE146" s="5">
        <f>'FAC Recalc'!AF137</f>
        <v>13844</v>
      </c>
      <c r="AF146" s="5"/>
    </row>
    <row r="147" spans="1:34" x14ac:dyDescent="0.2">
      <c r="A147" s="1">
        <f t="shared" si="249"/>
        <v>147</v>
      </c>
      <c r="B147" t="s">
        <v>161</v>
      </c>
      <c r="C147" s="5">
        <f>'Demand-Energy Alloc - After'!D117</f>
        <v>8938</v>
      </c>
      <c r="D147" s="5"/>
      <c r="E147" s="5">
        <f>'Demand-Energy Alloc - After'!E117</f>
        <v>41707</v>
      </c>
      <c r="F147" s="5"/>
      <c r="G147" s="5">
        <f>'Demand-Energy Alloc - After'!F117</f>
        <v>17346</v>
      </c>
      <c r="H147" s="5"/>
      <c r="I147" s="5">
        <f>'Demand-Energy Alloc - After'!G117</f>
        <v>17748</v>
      </c>
      <c r="J147" s="5"/>
      <c r="K147" s="5">
        <f>'Demand-Energy Alloc - After'!H117</f>
        <v>16424</v>
      </c>
      <c r="L147" s="5"/>
      <c r="M147" s="5">
        <f>'Demand-Energy Alloc - After'!I117</f>
        <v>16770</v>
      </c>
      <c r="N147" s="5"/>
      <c r="O147" s="5">
        <f>'Demand-Energy Alloc - After'!J117</f>
        <v>8170</v>
      </c>
      <c r="P147" s="5"/>
      <c r="Q147" s="5">
        <f>'Demand-Energy Alloc - After'!K117</f>
        <v>16892</v>
      </c>
      <c r="R147" s="5"/>
      <c r="S147" s="5">
        <f>'Demand-Energy Alloc - After'!L117</f>
        <v>34700</v>
      </c>
      <c r="T147" s="5"/>
      <c r="U147" s="5">
        <f>'Demand-Energy Alloc - After'!M117</f>
        <v>9452</v>
      </c>
      <c r="V147" s="5"/>
      <c r="W147" s="5">
        <f>'Demand-Energy Alloc - After'!N117</f>
        <v>23855</v>
      </c>
      <c r="X147" s="5"/>
      <c r="Y147" s="5">
        <f>'Demand-Energy Alloc - After'!O117</f>
        <v>33656</v>
      </c>
      <c r="Z147" s="5"/>
      <c r="AA147" s="5">
        <f>'Demand-Energy Alloc - After'!P117</f>
        <v>36686</v>
      </c>
      <c r="AB147" s="5"/>
      <c r="AC147" s="5">
        <f>'Demand-Energy Alloc - After'!Q117</f>
        <v>11791</v>
      </c>
      <c r="AD147" s="5"/>
      <c r="AE147" s="5">
        <f>'Demand-Energy Alloc - After'!R117</f>
        <v>17877</v>
      </c>
      <c r="AF147" s="5"/>
    </row>
    <row r="148" spans="1:34" x14ac:dyDescent="0.2">
      <c r="A148" s="1">
        <f t="shared" si="249"/>
        <v>148</v>
      </c>
      <c r="B148" t="s">
        <v>162</v>
      </c>
      <c r="C148" s="5">
        <f>'Demand-Energy Alloc - After'!D118</f>
        <v>28905</v>
      </c>
      <c r="D148" s="5"/>
      <c r="E148" s="5">
        <f>'Demand-Energy Alloc - After'!E118</f>
        <v>129533</v>
      </c>
      <c r="F148" s="5"/>
      <c r="G148" s="5">
        <f>'Demand-Energy Alloc - After'!F118</f>
        <v>55689</v>
      </c>
      <c r="H148" s="5"/>
      <c r="I148" s="5">
        <f>'Demand-Energy Alloc - After'!G118</f>
        <v>57172</v>
      </c>
      <c r="J148" s="5"/>
      <c r="K148" s="5">
        <f>'Demand-Energy Alloc - After'!H118</f>
        <v>55062</v>
      </c>
      <c r="L148" s="5"/>
      <c r="M148" s="5">
        <f>'Demand-Energy Alloc - After'!I118</f>
        <v>56810</v>
      </c>
      <c r="N148" s="5"/>
      <c r="O148" s="5">
        <f>'Demand-Energy Alloc - After'!J118</f>
        <v>29037</v>
      </c>
      <c r="P148" s="5"/>
      <c r="Q148" s="5">
        <f>'Demand-Energy Alloc - After'!K118</f>
        <v>52007</v>
      </c>
      <c r="R148" s="5"/>
      <c r="S148" s="5">
        <f>'Demand-Energy Alloc - After'!L118</f>
        <v>105321</v>
      </c>
      <c r="T148" s="5"/>
      <c r="U148" s="5">
        <f>'Demand-Energy Alloc - After'!M118</f>
        <v>32675</v>
      </c>
      <c r="V148" s="5"/>
      <c r="W148" s="5">
        <f>'Demand-Energy Alloc - After'!N118</f>
        <v>73900</v>
      </c>
      <c r="X148" s="5"/>
      <c r="Y148" s="5">
        <f>'Demand-Energy Alloc - After'!O118</f>
        <v>125203</v>
      </c>
      <c r="Z148" s="5"/>
      <c r="AA148" s="5">
        <f>'Demand-Energy Alloc - After'!P118</f>
        <v>124654</v>
      </c>
      <c r="AB148" s="5"/>
      <c r="AC148" s="5">
        <f>'Demand-Energy Alloc - After'!Q118</f>
        <v>41368</v>
      </c>
      <c r="AD148" s="5"/>
      <c r="AE148" s="5">
        <f>'Demand-Energy Alloc - After'!R118</f>
        <v>55392</v>
      </c>
      <c r="AF148" s="5"/>
    </row>
    <row r="149" spans="1:34" x14ac:dyDescent="0.2">
      <c r="A149" s="1">
        <f t="shared" si="249"/>
        <v>149</v>
      </c>
      <c r="B149" t="s">
        <v>163</v>
      </c>
      <c r="C149" s="5">
        <f>SUM(C145:C148)</f>
        <v>1178763</v>
      </c>
      <c r="D149" s="5"/>
      <c r="E149" s="5">
        <f t="shared" ref="E149" si="409">SUM(E145:E148)</f>
        <v>6342813</v>
      </c>
      <c r="F149" s="5"/>
      <c r="G149" s="5">
        <f t="shared" ref="G149" si="410">SUM(G145:G148)</f>
        <v>2245899</v>
      </c>
      <c r="H149" s="5"/>
      <c r="I149" s="5">
        <f t="shared" ref="I149" si="411">SUM(I145:I148)</f>
        <v>2286964</v>
      </c>
      <c r="J149" s="5"/>
      <c r="K149" s="5">
        <f t="shared" ref="K149" si="412">SUM(K145:K148)</f>
        <v>2419197</v>
      </c>
      <c r="L149" s="5"/>
      <c r="M149" s="5">
        <f t="shared" ref="M149" si="413">SUM(M145:M148)</f>
        <v>4951756</v>
      </c>
      <c r="N149" s="5"/>
      <c r="O149" s="5">
        <f t="shared" ref="O149" si="414">SUM(O145:O148)</f>
        <v>1279108</v>
      </c>
      <c r="P149" s="5"/>
      <c r="Q149" s="5">
        <f t="shared" ref="Q149" si="415">SUM(Q145:Q148)</f>
        <v>2377146</v>
      </c>
      <c r="R149" s="5"/>
      <c r="S149" s="5">
        <f t="shared" ref="S149" si="416">SUM(S145:S148)</f>
        <v>4571733</v>
      </c>
      <c r="T149" s="5"/>
      <c r="U149" s="5">
        <f t="shared" ref="U149" si="417">SUM(U145:U148)</f>
        <v>1285752</v>
      </c>
      <c r="V149" s="5"/>
      <c r="W149" s="5">
        <f t="shared" ref="W149" si="418">SUM(W145:W148)</f>
        <v>3579643</v>
      </c>
      <c r="X149" s="5"/>
      <c r="Y149" s="5">
        <f t="shared" ref="Y149" si="419">SUM(Y145:Y148)</f>
        <v>8554676</v>
      </c>
      <c r="Z149" s="5"/>
      <c r="AA149" s="5">
        <f t="shared" ref="AA149" si="420">SUM(AA145:AA148)</f>
        <v>5441455</v>
      </c>
      <c r="AB149" s="5"/>
      <c r="AC149" s="5">
        <f t="shared" ref="AC149" si="421">SUM(AC145:AC148)</f>
        <v>2306169</v>
      </c>
      <c r="AD149" s="5"/>
      <c r="AE149" s="5">
        <f>SUM(AE145:AE148)</f>
        <v>2622871</v>
      </c>
      <c r="AF149" s="5"/>
    </row>
    <row r="150" spans="1:34" x14ac:dyDescent="0.2">
      <c r="A150" s="1">
        <f t="shared" si="249"/>
        <v>150</v>
      </c>
      <c r="B150" t="s">
        <v>72</v>
      </c>
      <c r="C150" s="6">
        <f>0.2051+C3</f>
        <v>0.206315</v>
      </c>
      <c r="D150" s="10"/>
      <c r="E150" s="6">
        <f>C150</f>
        <v>0.206315</v>
      </c>
      <c r="F150" s="6"/>
      <c r="G150" s="6">
        <f>E150</f>
        <v>0.206315</v>
      </c>
      <c r="H150" s="6"/>
      <c r="I150" s="6">
        <f t="shared" ref="I150" si="422">G150</f>
        <v>0.206315</v>
      </c>
      <c r="J150" s="6"/>
      <c r="K150" s="6">
        <f t="shared" ref="K150" si="423">I150</f>
        <v>0.206315</v>
      </c>
      <c r="L150" s="6"/>
      <c r="M150" s="6">
        <f t="shared" ref="M150" si="424">K150</f>
        <v>0.206315</v>
      </c>
      <c r="N150" s="6"/>
      <c r="O150" s="6">
        <f t="shared" ref="O150" si="425">M150</f>
        <v>0.206315</v>
      </c>
      <c r="P150" s="6"/>
      <c r="Q150" s="6">
        <f t="shared" ref="Q150" si="426">O150</f>
        <v>0.206315</v>
      </c>
      <c r="R150" s="6"/>
      <c r="S150" s="6">
        <f t="shared" ref="S150" si="427">Q150</f>
        <v>0.206315</v>
      </c>
      <c r="T150" s="6"/>
      <c r="U150" s="6">
        <f t="shared" ref="U150" si="428">S150</f>
        <v>0.206315</v>
      </c>
      <c r="V150" s="6"/>
      <c r="W150" s="6">
        <f t="shared" ref="W150" si="429">U150</f>
        <v>0.206315</v>
      </c>
      <c r="X150" s="6"/>
      <c r="Y150" s="6">
        <f t="shared" ref="Y150" si="430">W150</f>
        <v>0.206315</v>
      </c>
      <c r="Z150" s="6"/>
      <c r="AA150" s="6">
        <f t="shared" ref="AA150" si="431">Y150</f>
        <v>0.206315</v>
      </c>
      <c r="AB150" s="6"/>
      <c r="AC150" s="6">
        <f t="shared" ref="AC150" si="432">AA150</f>
        <v>0.206315</v>
      </c>
      <c r="AD150" s="6"/>
      <c r="AE150" s="6">
        <f t="shared" ref="AE150" si="433">AC150</f>
        <v>0.206315</v>
      </c>
      <c r="AF150" s="6"/>
    </row>
    <row r="151" spans="1:34" x14ac:dyDescent="0.2">
      <c r="A151" s="1">
        <f t="shared" si="249"/>
        <v>151</v>
      </c>
      <c r="B151" t="s">
        <v>73</v>
      </c>
      <c r="C151" s="5">
        <f>ROUND(C149*C150,0)</f>
        <v>243196</v>
      </c>
      <c r="D151" s="5"/>
      <c r="E151" s="5">
        <f t="shared" ref="E151" si="434">ROUND(E149*E150,0)</f>
        <v>1308617</v>
      </c>
      <c r="F151" s="5"/>
      <c r="G151" s="5">
        <f t="shared" ref="G151" si="435">ROUND(G149*G150,0)</f>
        <v>463363</v>
      </c>
      <c r="H151" s="5"/>
      <c r="I151" s="5">
        <f t="shared" ref="I151" si="436">ROUND(I149*I150,0)</f>
        <v>471835</v>
      </c>
      <c r="J151" s="5"/>
      <c r="K151" s="5">
        <f t="shared" ref="K151" si="437">ROUND(K149*K150,0)</f>
        <v>499117</v>
      </c>
      <c r="L151" s="5"/>
      <c r="M151" s="5">
        <f t="shared" ref="M151" si="438">ROUND(M149*M150,0)</f>
        <v>1021622</v>
      </c>
      <c r="N151" s="5"/>
      <c r="O151" s="5">
        <f t="shared" ref="O151" si="439">ROUND(O149*O150,0)</f>
        <v>263899</v>
      </c>
      <c r="P151" s="5"/>
      <c r="Q151" s="5">
        <f t="shared" ref="Q151" si="440">ROUND(Q149*Q150,0)</f>
        <v>490441</v>
      </c>
      <c r="R151" s="5"/>
      <c r="S151" s="5">
        <f t="shared" ref="S151" si="441">ROUND(S149*S150,0)</f>
        <v>943217</v>
      </c>
      <c r="T151" s="5"/>
      <c r="U151" s="5">
        <f t="shared" ref="U151" si="442">ROUND(U149*U150,0)</f>
        <v>265270</v>
      </c>
      <c r="V151" s="5"/>
      <c r="W151" s="5">
        <f t="shared" ref="W151" si="443">ROUND(W149*W150,0)</f>
        <v>738534</v>
      </c>
      <c r="X151" s="5"/>
      <c r="Y151" s="5">
        <f t="shared" ref="Y151" si="444">ROUND(Y149*Y150,0)</f>
        <v>1764958</v>
      </c>
      <c r="Z151" s="5"/>
      <c r="AA151" s="5">
        <f t="shared" ref="AA151" si="445">ROUND(AA149*AA150,0)</f>
        <v>1122654</v>
      </c>
      <c r="AB151" s="5"/>
      <c r="AC151" s="5">
        <f t="shared" ref="AC151" si="446">ROUND(AC149*AC150,0)</f>
        <v>475797</v>
      </c>
      <c r="AD151" s="5"/>
      <c r="AE151" s="5">
        <f t="shared" ref="AE151" si="447">ROUND(AE149*AE150,0)</f>
        <v>541138</v>
      </c>
      <c r="AF151" s="5"/>
    </row>
    <row r="152" spans="1:34" x14ac:dyDescent="0.2">
      <c r="A152" s="1">
        <f t="shared" si="249"/>
        <v>152</v>
      </c>
      <c r="B152" t="s">
        <v>74</v>
      </c>
      <c r="C152" s="5"/>
      <c r="D152" s="5">
        <f>C151-C144</f>
        <v>10622</v>
      </c>
      <c r="E152" s="5"/>
      <c r="F152" s="5">
        <f>E151-E144</f>
        <v>50770</v>
      </c>
      <c r="G152" s="5"/>
      <c r="H152" s="5">
        <f>G151-G144</f>
        <v>20401</v>
      </c>
      <c r="I152" s="5"/>
      <c r="J152" s="5">
        <f>I151-I144</f>
        <v>20907</v>
      </c>
      <c r="K152" s="5"/>
      <c r="L152" s="5">
        <f>K151-K144</f>
        <v>18707</v>
      </c>
      <c r="M152" s="5"/>
      <c r="N152" s="5">
        <f>M151-M144</f>
        <v>60174</v>
      </c>
      <c r="O152" s="5"/>
      <c r="P152" s="5">
        <f>O151-O144</f>
        <v>10778</v>
      </c>
      <c r="Q152" s="5"/>
      <c r="R152" s="5">
        <f>Q151-Q144</f>
        <v>19916</v>
      </c>
      <c r="S152" s="5"/>
      <c r="T152" s="5">
        <f>S151-S144</f>
        <v>39769</v>
      </c>
      <c r="U152" s="5"/>
      <c r="V152" s="5">
        <f>U151-U144</f>
        <v>11782</v>
      </c>
      <c r="W152" s="5"/>
      <c r="X152" s="5">
        <f>W151-W144</f>
        <v>28906</v>
      </c>
      <c r="Y152" s="5"/>
      <c r="Z152" s="5">
        <f>Y151-Y144</f>
        <v>44613</v>
      </c>
      <c r="AA152" s="5"/>
      <c r="AB152" s="5">
        <f>AA151-AA144</f>
        <v>46516</v>
      </c>
      <c r="AC152" s="5"/>
      <c r="AD152" s="5">
        <f>AC151-AC144</f>
        <v>16814</v>
      </c>
      <c r="AE152" s="5"/>
      <c r="AF152" s="5">
        <f>AE151-AE144</f>
        <v>48343</v>
      </c>
      <c r="AG152" s="5">
        <f>SUM(D152:AF152)</f>
        <v>449018</v>
      </c>
      <c r="AH152" s="5">
        <f>-'Billing Impact'!G110</f>
        <v>435879</v>
      </c>
    </row>
    <row r="153" spans="1:34" x14ac:dyDescent="0.2">
      <c r="A153" s="1">
        <f t="shared" si="249"/>
        <v>153</v>
      </c>
    </row>
    <row r="154" spans="1:34" x14ac:dyDescent="0.2">
      <c r="A154" s="1">
        <f t="shared" si="249"/>
        <v>154</v>
      </c>
    </row>
    <row r="155" spans="1:34" x14ac:dyDescent="0.2">
      <c r="A155" s="1">
        <f t="shared" si="249"/>
        <v>155</v>
      </c>
      <c r="B155" t="s">
        <v>80</v>
      </c>
      <c r="D155" s="5">
        <f>SUM(D20:D152)</f>
        <v>95747</v>
      </c>
      <c r="F155" s="5">
        <f>SUM(F20:F152)</f>
        <v>481054</v>
      </c>
      <c r="H155" s="5">
        <f>SUM(H20:H152)</f>
        <v>183080</v>
      </c>
      <c r="J155" s="5">
        <f>SUM(J20:J152)</f>
        <v>185245</v>
      </c>
      <c r="L155" s="5">
        <f>SUM(L20:L152)</f>
        <v>184194</v>
      </c>
      <c r="N155" s="5">
        <f>SUM(N20:N152)</f>
        <v>635499</v>
      </c>
      <c r="P155" s="5">
        <f>SUM(P20:P152)</f>
        <v>96667</v>
      </c>
      <c r="R155" s="5">
        <f>SUM(R20:R152)</f>
        <v>178417</v>
      </c>
      <c r="T155" s="5">
        <f>SUM(T20:T152)</f>
        <v>349700</v>
      </c>
      <c r="V155" s="5">
        <f>SUM(V20:V152)</f>
        <v>104909</v>
      </c>
      <c r="X155" s="5">
        <f>SUM(X20:X152)</f>
        <v>273610</v>
      </c>
      <c r="Z155" s="5">
        <f>SUM(Z20:Z152)</f>
        <v>424342</v>
      </c>
      <c r="AB155" s="5">
        <f>SUM(AB20:AB152)</f>
        <v>456312</v>
      </c>
      <c r="AD155" s="5">
        <f>SUM(AD20:AD152)</f>
        <v>156439</v>
      </c>
      <c r="AF155" s="5">
        <f>SUM(AF20:AF152)</f>
        <v>442134</v>
      </c>
      <c r="AG155" s="5">
        <f>SUM(D155:AF155)</f>
        <v>4247349</v>
      </c>
      <c r="AH155" s="5">
        <f>SUM(AH20:AH152)</f>
        <v>4377209</v>
      </c>
    </row>
    <row r="156" spans="1:34" x14ac:dyDescent="0.2">
      <c r="A156" s="1">
        <f t="shared" si="249"/>
        <v>156</v>
      </c>
      <c r="AH156" s="5">
        <f>-F188</f>
        <v>-130401</v>
      </c>
    </row>
    <row r="157" spans="1:34" x14ac:dyDescent="0.2">
      <c r="A157" s="1">
        <f t="shared" si="249"/>
        <v>157</v>
      </c>
      <c r="B157" t="s">
        <v>81</v>
      </c>
      <c r="D157" s="5">
        <f>ROUND(D155/12,0)</f>
        <v>7979</v>
      </c>
      <c r="F157" s="5">
        <f>ROUND(F155/12,0)</f>
        <v>40088</v>
      </c>
      <c r="H157" s="5">
        <f>ROUND(H155/12,0)</f>
        <v>15257</v>
      </c>
      <c r="J157" s="5">
        <f>ROUND(J155/12,0)</f>
        <v>15437</v>
      </c>
      <c r="L157" s="5">
        <f>ROUND(L155/12,0)</f>
        <v>15350</v>
      </c>
      <c r="N157" s="5">
        <f>ROUND(N155/12,0)</f>
        <v>52958</v>
      </c>
      <c r="P157" s="5">
        <f>ROUND(P155/12,0)</f>
        <v>8056</v>
      </c>
      <c r="R157" s="5">
        <f>ROUND(R155/12,0)</f>
        <v>14868</v>
      </c>
      <c r="T157" s="5">
        <f>ROUND(T155/12,0)</f>
        <v>29142</v>
      </c>
      <c r="V157" s="5">
        <f>ROUND(V155/12,0)</f>
        <v>8742</v>
      </c>
      <c r="X157" s="5">
        <f>ROUND(X155/12,0)</f>
        <v>22801</v>
      </c>
      <c r="Z157" s="5">
        <f>ROUND(Z155/12,0)</f>
        <v>35362</v>
      </c>
      <c r="AB157" s="5">
        <f>ROUND(AB155/12,0)</f>
        <v>38026</v>
      </c>
      <c r="AD157" s="5">
        <f>ROUND(AD155/12,0)</f>
        <v>13037</v>
      </c>
      <c r="AF157" s="5">
        <f>ROUND(AF155/12,0)</f>
        <v>36845</v>
      </c>
      <c r="AH157" s="5">
        <f>AH155+AH156</f>
        <v>4246808</v>
      </c>
    </row>
    <row r="158" spans="1:34" x14ac:dyDescent="0.2">
      <c r="A158" s="1">
        <f t="shared" si="249"/>
        <v>158</v>
      </c>
    </row>
    <row r="159" spans="1:34" x14ac:dyDescent="0.2">
      <c r="A159" s="1">
        <f t="shared" si="249"/>
        <v>159</v>
      </c>
      <c r="B159" t="s">
        <v>190</v>
      </c>
    </row>
    <row r="160" spans="1:34" x14ac:dyDescent="0.2">
      <c r="A160" s="1">
        <f t="shared" si="249"/>
        <v>160</v>
      </c>
      <c r="B160" t="s">
        <v>140</v>
      </c>
      <c r="C160" s="5">
        <f>C13+C25+C37+C49+C61+C73+C85+C97+C109+C121+C133+C145</f>
        <v>13064875</v>
      </c>
      <c r="E160" s="5">
        <f>E13+E25+E37+E49+E61+E73+E85+E97+E109+E121+E133+E145</f>
        <v>76038336</v>
      </c>
      <c r="G160" s="5">
        <f>G13+G25+G37+G49+G61+G73+G85+G97+G109+G121+G133+G145</f>
        <v>25557549</v>
      </c>
      <c r="I160" s="5">
        <f>I13+I25+I37+I49+I61+I73+I85+I97+I109+I121+I133+I145</f>
        <v>25630914</v>
      </c>
      <c r="K160" s="5">
        <f>K13+K25+K37+K49+K61+K73+K85+K97+K109+K121+K133+K145</f>
        <v>29021488</v>
      </c>
      <c r="M160" s="5">
        <f>M13+M25+M37+M49+M61+M73+M85+M97+M109+M121+M133+M145</f>
        <v>60059026</v>
      </c>
      <c r="O160" s="5">
        <f>O13+O25+O37+O49+O61+O73+O85+O97+O109+O121+O133+O145</f>
        <v>14645794</v>
      </c>
      <c r="Q160" s="5">
        <f>Q13+Q25+Q37+Q49+Q61+Q73+Q85+Q97+Q109+Q121+Q133+Q145</f>
        <v>27421220</v>
      </c>
      <c r="S160" s="5">
        <f>S13+S25+S37+S49+S61+S73+S85+S97+S109+S121+S133+S145</f>
        <v>51306719</v>
      </c>
      <c r="U160" s="5">
        <f>U13+U25+U37+U49+U61+U73+U85+U97+U109+U121+U133+U145</f>
        <v>14523387</v>
      </c>
      <c r="W160" s="5">
        <f>W13+W25+W37+W49+W61+W73+W85+W97+W109+W121+W133+W145</f>
        <v>43222864</v>
      </c>
      <c r="Y160" s="5">
        <f>Y13+Y25+Y37+Y49+Y61+Y73+Y85+Y97+Y109+Y121+Y133+Y145</f>
        <v>108792867</v>
      </c>
      <c r="AA160" s="5">
        <f>AA13+AA25+AA37+AA49+AA61+AA73+AA85+AA97+AA109+AA121+AA133+AA145</f>
        <v>67199144</v>
      </c>
      <c r="AC160" s="5">
        <f>AC13+AC25+AC37+AC49+AC61+AC73+AC85+AC97+AC109+AC121+AC133+AC145</f>
        <v>27829355</v>
      </c>
      <c r="AE160" s="5">
        <f>AE13+AE25+AE37+AE49+AE61+AE73+AE85+AE97+AE109+AE121+AE133+AE145</f>
        <v>30460542</v>
      </c>
    </row>
    <row r="161" spans="1:33" x14ac:dyDescent="0.2">
      <c r="A161" s="1">
        <f t="shared" si="249"/>
        <v>161</v>
      </c>
    </row>
    <row r="162" spans="1:33" x14ac:dyDescent="0.2">
      <c r="A162" s="1">
        <f t="shared" si="249"/>
        <v>162</v>
      </c>
      <c r="B162" t="s">
        <v>191</v>
      </c>
    </row>
    <row r="163" spans="1:33" x14ac:dyDescent="0.2">
      <c r="A163" s="1">
        <f t="shared" si="249"/>
        <v>163</v>
      </c>
      <c r="B163" t="s">
        <v>70</v>
      </c>
      <c r="C163" s="5">
        <f>C12+C24+C36+C48+C60+C72+C84+C96+C108+C120+C132+C144</f>
        <v>2194049</v>
      </c>
      <c r="E163" s="5">
        <f>E12+E24+E36+E48+E60+E72+E84+E96+E108+E120+E132+E144</f>
        <v>12806240</v>
      </c>
      <c r="G163" s="5">
        <f>G12+G24+G36+G48+G60+G72+G84+G96+G108+G120+G132+G144</f>
        <v>4308083</v>
      </c>
      <c r="I163" s="5">
        <f>I12+I24+I36+I48+I60+I72+I84+I96+I108+I120+I132+I144</f>
        <v>4309154</v>
      </c>
      <c r="K163" s="5">
        <f>K12+K24+K36+K48+K60+K72+K84+K96+K108+K120+K132+K144</f>
        <v>4914918</v>
      </c>
      <c r="M163" s="5">
        <f>M12+M24+M36+M48+M60+M72+M84+M96+M108+M120+M132+M144</f>
        <v>9709529</v>
      </c>
      <c r="O163" s="5">
        <f>O12+O24+O36+O48+O60+O72+O84+O96+O108+O120+O132+O144</f>
        <v>2467193</v>
      </c>
      <c r="Q163" s="5">
        <f>Q12+Q24+Q36+Q48+Q60+Q72+Q84+Q96+Q108+Q120+Q132+Q144</f>
        <v>4621980</v>
      </c>
      <c r="S163" s="5">
        <f>S12+S24+S36+S48+S60+S72+S84+S96+S108+S120+S132+S144</f>
        <v>8635160</v>
      </c>
      <c r="U163" s="5">
        <f>U12+U24+U36+U48+U60+U72+U84+U96+U108+U120+U132+U144</f>
        <v>2445351</v>
      </c>
      <c r="W163" s="5">
        <f>W12+W24+W36+W48+W60+W72+W84+W96+W108+W120+W132+W144</f>
        <v>7296612</v>
      </c>
      <c r="Y163" s="5">
        <f>Y12+Y24+Y36+Y48+Y60+Y72+Y84+Y96+Y108+Y120+Y132+Y144</f>
        <v>18455517</v>
      </c>
      <c r="AA163" s="5">
        <f>AA12+AA24+AA36+AA48+AA60+AA72+AA84+AA96+AA108+AA120+AA132+AA144</f>
        <v>11367522</v>
      </c>
      <c r="AC163" s="5">
        <f>AC12+AC24+AC36+AC48+AC60+AC72+AC84+AC96+AC108+AC120+AC132+AC144</f>
        <v>4689490</v>
      </c>
      <c r="AE163" s="5">
        <f>AE12+AE24+AE36+AE48+AE60+AE72+AE84+AE96+AE108+AE120+AE132+AE144</f>
        <v>4897811</v>
      </c>
      <c r="AG163" s="5">
        <f>SUM(C163:AE163)</f>
        <v>103118609</v>
      </c>
    </row>
    <row r="164" spans="1:33" x14ac:dyDescent="0.2">
      <c r="A164" s="1">
        <f t="shared" si="249"/>
        <v>164</v>
      </c>
      <c r="B164" t="s">
        <v>192</v>
      </c>
      <c r="D164" s="28">
        <f>ROUND(D155/C163,5)</f>
        <v>4.3639999999999998E-2</v>
      </c>
      <c r="F164" s="28">
        <f>ROUND(F155/E163,5)</f>
        <v>3.7560000000000003E-2</v>
      </c>
      <c r="H164" s="28">
        <f>ROUND(H155/G163,5)</f>
        <v>4.2500000000000003E-2</v>
      </c>
      <c r="J164" s="28">
        <f>ROUND(J155/I163,5)</f>
        <v>4.299E-2</v>
      </c>
      <c r="L164" s="28">
        <f>ROUND(L155/K163,5)</f>
        <v>3.7479999999999999E-2</v>
      </c>
      <c r="N164" s="28">
        <f>ROUND(N155/M163,5)</f>
        <v>6.5449999999999994E-2</v>
      </c>
      <c r="P164" s="28">
        <f>ROUND(P155/O163,5)</f>
        <v>3.918E-2</v>
      </c>
      <c r="R164" s="28">
        <f>ROUND(R155/Q163,5)</f>
        <v>3.8600000000000002E-2</v>
      </c>
      <c r="T164" s="28">
        <f>ROUND(T155/S163,5)</f>
        <v>4.0500000000000001E-2</v>
      </c>
      <c r="V164" s="28">
        <f>ROUND(V155/U163,5)</f>
        <v>4.2900000000000001E-2</v>
      </c>
      <c r="X164" s="28">
        <f>ROUND(X155/W163,5)</f>
        <v>3.7499999999999999E-2</v>
      </c>
      <c r="Z164" s="28">
        <f>ROUND(Z155/Y163,5)</f>
        <v>2.299E-2</v>
      </c>
      <c r="AB164" s="28">
        <f>ROUND(AB155/AA163,5)</f>
        <v>4.0140000000000002E-2</v>
      </c>
      <c r="AD164" s="28">
        <f>ROUND(AD155/AC163,5)</f>
        <v>3.3360000000000001E-2</v>
      </c>
      <c r="AF164" s="28">
        <f>ROUND(AF155/AE163,5)</f>
        <v>9.0270000000000003E-2</v>
      </c>
      <c r="AG164" s="28">
        <f>ROUND(AG155/AG163,5)</f>
        <v>4.1189999999999997E-2</v>
      </c>
    </row>
    <row r="165" spans="1:33" x14ac:dyDescent="0.2">
      <c r="A165" s="1">
        <f t="shared" si="249"/>
        <v>165</v>
      </c>
    </row>
    <row r="166" spans="1:33" x14ac:dyDescent="0.2">
      <c r="A166" s="1">
        <f t="shared" si="249"/>
        <v>166</v>
      </c>
    </row>
    <row r="167" spans="1:33" x14ac:dyDescent="0.2">
      <c r="A167" s="1">
        <f t="shared" si="249"/>
        <v>167</v>
      </c>
      <c r="B167" t="s">
        <v>141</v>
      </c>
    </row>
    <row r="168" spans="1:33" x14ac:dyDescent="0.2">
      <c r="A168" s="1">
        <f t="shared" si="249"/>
        <v>168</v>
      </c>
      <c r="B168" t="s">
        <v>142</v>
      </c>
    </row>
    <row r="169" spans="1:33" x14ac:dyDescent="0.2">
      <c r="A169" s="1">
        <f t="shared" si="249"/>
        <v>169</v>
      </c>
      <c r="B169" t="s">
        <v>143</v>
      </c>
      <c r="E169" s="5">
        <f>'Billing Impact'!E113+'Billing Impact'!F113</f>
        <v>-26044823</v>
      </c>
    </row>
    <row r="170" spans="1:33" x14ac:dyDescent="0.2">
      <c r="A170" s="1">
        <f t="shared" si="249"/>
        <v>170</v>
      </c>
      <c r="B170" t="s">
        <v>144</v>
      </c>
      <c r="E170" s="5">
        <f>ROUND(E169/12,0)</f>
        <v>-2170402</v>
      </c>
    </row>
    <row r="171" spans="1:33" x14ac:dyDescent="0.2">
      <c r="A171" s="1">
        <f t="shared" si="249"/>
        <v>171</v>
      </c>
      <c r="B171" t="s">
        <v>145</v>
      </c>
      <c r="F171" s="5">
        <v>56844697</v>
      </c>
    </row>
    <row r="172" spans="1:33" x14ac:dyDescent="0.2">
      <c r="A172" s="1">
        <f t="shared" si="249"/>
        <v>172</v>
      </c>
      <c r="B172" t="s">
        <v>146</v>
      </c>
      <c r="F172" s="5">
        <f>F171+E170</f>
        <v>54674295</v>
      </c>
    </row>
    <row r="173" spans="1:33" x14ac:dyDescent="0.2">
      <c r="A173" s="1">
        <f t="shared" si="249"/>
        <v>173</v>
      </c>
      <c r="B173" t="s">
        <v>169</v>
      </c>
      <c r="E173" s="5">
        <f>'FAC Recalc'!AG139</f>
        <v>2318762</v>
      </c>
      <c r="F173" s="5"/>
    </row>
    <row r="174" spans="1:33" x14ac:dyDescent="0.2">
      <c r="A174" s="1">
        <f t="shared" si="249"/>
        <v>174</v>
      </c>
      <c r="B174" t="s">
        <v>171</v>
      </c>
      <c r="E174" s="5">
        <f>'Demand-Energy Alloc - After'!S121</f>
        <v>3793761</v>
      </c>
      <c r="F174" s="5"/>
    </row>
    <row r="175" spans="1:33" x14ac:dyDescent="0.2">
      <c r="A175" s="1">
        <f t="shared" si="249"/>
        <v>175</v>
      </c>
      <c r="B175" t="s">
        <v>172</v>
      </c>
      <c r="E175" s="5">
        <f>'Demand-Energy Alloc - After'!S123</f>
        <v>11454746</v>
      </c>
      <c r="F175" s="5"/>
    </row>
    <row r="176" spans="1:33" x14ac:dyDescent="0.2">
      <c r="A176" s="1">
        <f t="shared" si="249"/>
        <v>176</v>
      </c>
      <c r="B176" t="s">
        <v>173</v>
      </c>
      <c r="E176" s="5">
        <f>SUM(E173:E175)</f>
        <v>17567269</v>
      </c>
      <c r="F176" s="5"/>
    </row>
    <row r="177" spans="1:6" x14ac:dyDescent="0.2">
      <c r="A177" s="1">
        <f t="shared" si="249"/>
        <v>177</v>
      </c>
      <c r="B177" t="s">
        <v>144</v>
      </c>
      <c r="E177" s="5">
        <f>ROUND(E176/12,0)</f>
        <v>1463939</v>
      </c>
    </row>
    <row r="178" spans="1:6" x14ac:dyDescent="0.2">
      <c r="A178" s="1">
        <f t="shared" si="249"/>
        <v>178</v>
      </c>
      <c r="B178" t="s">
        <v>170</v>
      </c>
      <c r="E178" s="5"/>
      <c r="F178" s="5">
        <f>F172+E177</f>
        <v>56138234</v>
      </c>
    </row>
    <row r="179" spans="1:6" x14ac:dyDescent="0.2">
      <c r="A179" s="1">
        <f t="shared" si="249"/>
        <v>179</v>
      </c>
      <c r="B179" t="s">
        <v>147</v>
      </c>
      <c r="F179" s="5">
        <v>11658357</v>
      </c>
    </row>
    <row r="180" spans="1:6" x14ac:dyDescent="0.2">
      <c r="A180" s="1">
        <f t="shared" si="249"/>
        <v>180</v>
      </c>
      <c r="B180" t="s">
        <v>72</v>
      </c>
      <c r="F180" s="6">
        <f>ROUND(F179/F178,4)</f>
        <v>0.2077</v>
      </c>
    </row>
    <row r="181" spans="1:6" x14ac:dyDescent="0.2">
      <c r="A181" s="1">
        <f t="shared" si="249"/>
        <v>181</v>
      </c>
      <c r="B181" t="s">
        <v>148</v>
      </c>
      <c r="F181" s="6">
        <v>0.2051</v>
      </c>
    </row>
    <row r="182" spans="1:6" x14ac:dyDescent="0.2">
      <c r="A182" s="1">
        <f t="shared" si="249"/>
        <v>182</v>
      </c>
      <c r="B182" t="s">
        <v>149</v>
      </c>
      <c r="F182" s="6">
        <f>F180-F181</f>
        <v>2.5999999999999912E-3</v>
      </c>
    </row>
    <row r="183" spans="1:6" x14ac:dyDescent="0.2">
      <c r="A183" s="1">
        <f t="shared" si="249"/>
        <v>183</v>
      </c>
      <c r="B183" t="s">
        <v>150</v>
      </c>
      <c r="F183" s="5">
        <f>'Billing Impact'!E68+'Billing Impact'!F68</f>
        <v>48789135</v>
      </c>
    </row>
    <row r="184" spans="1:6" x14ac:dyDescent="0.2">
      <c r="A184" s="1">
        <f t="shared" si="249"/>
        <v>184</v>
      </c>
      <c r="B184" t="s">
        <v>157</v>
      </c>
      <c r="F184" s="5">
        <f>'FAC Recalc'!AL139</f>
        <v>158122</v>
      </c>
    </row>
    <row r="185" spans="1:6" x14ac:dyDescent="0.2">
      <c r="A185" s="1">
        <f t="shared" si="249"/>
        <v>185</v>
      </c>
      <c r="B185" t="s">
        <v>158</v>
      </c>
      <c r="F185" s="5">
        <f>'Demand-Energy Alloc - After'!T121</f>
        <v>396167</v>
      </c>
    </row>
    <row r="186" spans="1:6" x14ac:dyDescent="0.2">
      <c r="A186" s="1">
        <f t="shared" si="249"/>
        <v>186</v>
      </c>
      <c r="B186" t="s">
        <v>159</v>
      </c>
      <c r="F186" s="5">
        <f>'Demand-Energy Alloc - After'!T123</f>
        <v>810830</v>
      </c>
    </row>
    <row r="187" spans="1:6" x14ac:dyDescent="0.2">
      <c r="A187" s="1">
        <f t="shared" si="249"/>
        <v>187</v>
      </c>
      <c r="B187" t="s">
        <v>156</v>
      </c>
      <c r="F187" s="5">
        <f>F183+F184+F185+F186</f>
        <v>50154254</v>
      </c>
    </row>
    <row r="188" spans="1:6" x14ac:dyDescent="0.2">
      <c r="A188" s="1">
        <f t="shared" si="249"/>
        <v>188</v>
      </c>
      <c r="B188" t="s">
        <v>151</v>
      </c>
      <c r="F188" s="5">
        <f>ROUND(F187*F182,0)</f>
        <v>130401</v>
      </c>
    </row>
    <row r="189" spans="1:6" x14ac:dyDescent="0.2">
      <c r="A189" s="1">
        <f t="shared" si="249"/>
        <v>189</v>
      </c>
      <c r="B189" t="s">
        <v>152</v>
      </c>
      <c r="F189" s="5">
        <f>-'Billing Impact'!G113</f>
        <v>4377209</v>
      </c>
    </row>
    <row r="190" spans="1:6" x14ac:dyDescent="0.2">
      <c r="A190" s="1">
        <f t="shared" ref="A190:A191" si="448">A189+1</f>
        <v>190</v>
      </c>
      <c r="B190" t="s">
        <v>153</v>
      </c>
      <c r="F190" s="5">
        <f>F189-F188</f>
        <v>4246808</v>
      </c>
    </row>
    <row r="191" spans="1:6" x14ac:dyDescent="0.2">
      <c r="A191" s="1">
        <f t="shared" si="448"/>
        <v>191</v>
      </c>
    </row>
  </sheetData>
  <mergeCells count="15">
    <mergeCell ref="AA7:AB7"/>
    <mergeCell ref="AC7:AD7"/>
    <mergeCell ref="AE7:AF7"/>
    <mergeCell ref="O7:P7"/>
    <mergeCell ref="Q7:R7"/>
    <mergeCell ref="S7:T7"/>
    <mergeCell ref="U7:V7"/>
    <mergeCell ref="W7:X7"/>
    <mergeCell ref="Y7:Z7"/>
    <mergeCell ref="M7:N7"/>
    <mergeCell ref="C7:D7"/>
    <mergeCell ref="E7:F7"/>
    <mergeCell ref="G7:H7"/>
    <mergeCell ref="I7:J7"/>
    <mergeCell ref="K7:L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tabSelected="1" topLeftCell="A40" zoomScale="80" zoomScaleNormal="80" workbookViewId="0">
      <selection activeCell="H50" sqref="H50"/>
    </sheetView>
  </sheetViews>
  <sheetFormatPr defaultColWidth="15.625" defaultRowHeight="14.25" x14ac:dyDescent="0.2"/>
  <cols>
    <col min="1" max="1" width="4.625" customWidth="1"/>
    <col min="2" max="2" width="20.625" customWidth="1"/>
    <col min="8" max="8" width="5.625" customWidth="1"/>
  </cols>
  <sheetData>
    <row r="1" spans="1:15" x14ac:dyDescent="0.2">
      <c r="A1" s="1">
        <v>1</v>
      </c>
      <c r="B1" t="str">
        <f>'Calculation on 58MW'!B1</f>
        <v>SoKentuckyAmend3-2017 58MW Var Adj.xlsx</v>
      </c>
    </row>
    <row r="2" spans="1:15" x14ac:dyDescent="0.2">
      <c r="A2" s="1">
        <f>A1+1</f>
        <v>2</v>
      </c>
      <c r="B2" t="s">
        <v>174</v>
      </c>
    </row>
    <row r="3" spans="1:15" x14ac:dyDescent="0.2">
      <c r="A3" s="1">
        <f t="shared" ref="A3:A66" si="0">A2+1</f>
        <v>3</v>
      </c>
    </row>
    <row r="4" spans="1:15" x14ac:dyDescent="0.2">
      <c r="A4" s="1">
        <f t="shared" si="0"/>
        <v>4</v>
      </c>
    </row>
    <row r="5" spans="1:15" ht="15" x14ac:dyDescent="0.25">
      <c r="A5" s="1">
        <f t="shared" si="0"/>
        <v>5</v>
      </c>
      <c r="B5" s="2" t="s">
        <v>184</v>
      </c>
    </row>
    <row r="6" spans="1:15" x14ac:dyDescent="0.2">
      <c r="A6" s="1">
        <f t="shared" si="0"/>
        <v>6</v>
      </c>
    </row>
    <row r="7" spans="1:15" x14ac:dyDescent="0.2">
      <c r="A7" s="1">
        <f t="shared" si="0"/>
        <v>7</v>
      </c>
      <c r="C7" s="34" t="s">
        <v>175</v>
      </c>
      <c r="D7" s="35"/>
      <c r="E7" s="36"/>
      <c r="F7" s="3" t="s">
        <v>176</v>
      </c>
      <c r="G7" s="3" t="s">
        <v>176</v>
      </c>
      <c r="I7" s="34" t="s">
        <v>185</v>
      </c>
      <c r="J7" s="35"/>
      <c r="K7" s="36"/>
      <c r="M7" s="34" t="s">
        <v>187</v>
      </c>
      <c r="N7" s="35"/>
      <c r="O7" s="36"/>
    </row>
    <row r="8" spans="1:15" ht="15" thickBot="1" x14ac:dyDescent="0.25">
      <c r="A8" s="1">
        <f t="shared" si="0"/>
        <v>8</v>
      </c>
      <c r="B8" s="4" t="s">
        <v>178</v>
      </c>
      <c r="C8" s="4" t="s">
        <v>40</v>
      </c>
      <c r="D8" s="4" t="s">
        <v>38</v>
      </c>
      <c r="E8" s="4" t="s">
        <v>76</v>
      </c>
      <c r="F8" s="4" t="s">
        <v>6</v>
      </c>
      <c r="G8" s="4" t="s">
        <v>177</v>
      </c>
      <c r="I8" s="27" t="s">
        <v>186</v>
      </c>
      <c r="J8" s="27" t="s">
        <v>6</v>
      </c>
      <c r="K8" s="27" t="s">
        <v>7</v>
      </c>
      <c r="M8" s="27" t="s">
        <v>188</v>
      </c>
      <c r="N8" s="27" t="s">
        <v>6</v>
      </c>
      <c r="O8" s="27" t="s">
        <v>189</v>
      </c>
    </row>
    <row r="9" spans="1:15" x14ac:dyDescent="0.2">
      <c r="A9" s="1">
        <f t="shared" si="0"/>
        <v>9</v>
      </c>
    </row>
    <row r="10" spans="1:15" x14ac:dyDescent="0.2">
      <c r="A10" s="1">
        <f t="shared" si="0"/>
        <v>10</v>
      </c>
      <c r="B10" t="s">
        <v>52</v>
      </c>
      <c r="C10" s="5">
        <f>'Demand-Energy Alloc - Before'!D121</f>
        <v>113193</v>
      </c>
      <c r="D10" s="5">
        <f>'Demand-Energy Alloc - Before'!D123</f>
        <v>324798</v>
      </c>
      <c r="E10" s="5">
        <f>C10+D10</f>
        <v>437991</v>
      </c>
      <c r="F10" s="5">
        <f>'FAC Recalc'!D139</f>
        <v>46082</v>
      </c>
      <c r="G10" s="5">
        <f>'Surcharge - Members - Before'!D131</f>
        <v>77186</v>
      </c>
      <c r="I10" s="28">
        <f>ROUND(E10/O10,5)</f>
        <v>3.1009999999999999E-2</v>
      </c>
      <c r="J10" s="28">
        <f>'FAC Recalc'!D143</f>
        <v>-4.3529999999999999E-2</v>
      </c>
      <c r="K10" s="28">
        <f>'Surcharge - Members - Before'!D140</f>
        <v>3.5180000000000003E-2</v>
      </c>
      <c r="M10" s="5">
        <f>'Surcharge - Members - Before'!C136</f>
        <v>13064875</v>
      </c>
      <c r="N10" s="5">
        <f>'FAC Recalc'!C141</f>
        <v>-1058726</v>
      </c>
      <c r="O10" s="5">
        <f>M10-N10</f>
        <v>14123601</v>
      </c>
    </row>
    <row r="11" spans="1:15" x14ac:dyDescent="0.2">
      <c r="A11" s="1">
        <f t="shared" si="0"/>
        <v>11</v>
      </c>
      <c r="I11" s="28"/>
      <c r="J11" s="28"/>
      <c r="K11" s="28"/>
    </row>
    <row r="12" spans="1:15" x14ac:dyDescent="0.2">
      <c r="A12" s="1">
        <f t="shared" si="0"/>
        <v>12</v>
      </c>
      <c r="B12" t="s">
        <v>53</v>
      </c>
      <c r="C12" s="5">
        <f>'Demand-Energy Alloc - Before'!E121</f>
        <v>555965</v>
      </c>
      <c r="D12" s="5">
        <f>'Demand-Energy Alloc - Before'!E123</f>
        <v>1555637</v>
      </c>
      <c r="E12" s="5">
        <f>C12+D12</f>
        <v>2111602</v>
      </c>
      <c r="F12" s="5">
        <f>'FAC Recalc'!F139</f>
        <v>280831</v>
      </c>
      <c r="G12" s="5">
        <f>'Surcharge - Members - Before'!F131</f>
        <v>440167</v>
      </c>
      <c r="I12" s="28">
        <f>ROUND(E12/O12,5)</f>
        <v>2.5590000000000002E-2</v>
      </c>
      <c r="J12" s="28">
        <f>'FAC Recalc'!F143</f>
        <v>-4.3369999999999999E-2</v>
      </c>
      <c r="K12" s="28">
        <f>'Surcharge - Members - Before'!F140</f>
        <v>3.4369999999999998E-2</v>
      </c>
      <c r="M12" s="5">
        <f>'Surcharge - Members - Before'!E136</f>
        <v>76038336</v>
      </c>
      <c r="N12" s="5">
        <f>'FAC Recalc'!E141</f>
        <v>-6474712</v>
      </c>
      <c r="O12" s="5">
        <f>M12-N12</f>
        <v>82513048</v>
      </c>
    </row>
    <row r="13" spans="1:15" x14ac:dyDescent="0.2">
      <c r="A13" s="1">
        <f t="shared" si="0"/>
        <v>13</v>
      </c>
      <c r="I13" s="28"/>
      <c r="J13" s="28"/>
      <c r="K13" s="28"/>
    </row>
    <row r="14" spans="1:15" x14ac:dyDescent="0.2">
      <c r="A14" s="1">
        <f t="shared" si="0"/>
        <v>14</v>
      </c>
      <c r="B14" t="s">
        <v>54</v>
      </c>
      <c r="C14" s="5">
        <f>'Demand-Energy Alloc - Before'!F121</f>
        <v>225215</v>
      </c>
      <c r="D14" s="5">
        <f>'Demand-Energy Alloc - Before'!F123</f>
        <v>647062</v>
      </c>
      <c r="E14" s="5">
        <f>C14+D14</f>
        <v>872277</v>
      </c>
      <c r="F14" s="5">
        <f>'FAC Recalc'!H139</f>
        <v>89274</v>
      </c>
      <c r="G14" s="5">
        <f>'Surcharge - Members - Before'!H131</f>
        <v>144064</v>
      </c>
      <c r="I14" s="28">
        <f>ROUND(E14/O14,5)</f>
        <v>3.159E-2</v>
      </c>
      <c r="J14" s="28">
        <f>'FAC Recalc'!H143</f>
        <v>-4.3470000000000002E-2</v>
      </c>
      <c r="K14" s="28">
        <f>'Surcharge - Members - Before'!H140</f>
        <v>3.3439999999999998E-2</v>
      </c>
      <c r="M14" s="5">
        <f>'Surcharge - Members - Before'!G136</f>
        <v>25557549</v>
      </c>
      <c r="N14" s="5">
        <f>'FAC Recalc'!G141</f>
        <v>-2053477</v>
      </c>
      <c r="O14" s="5">
        <f>M14-N14</f>
        <v>27611026</v>
      </c>
    </row>
    <row r="15" spans="1:15" x14ac:dyDescent="0.2">
      <c r="A15" s="1">
        <f t="shared" si="0"/>
        <v>15</v>
      </c>
      <c r="I15" s="28"/>
      <c r="J15" s="28"/>
      <c r="K15" s="28"/>
    </row>
    <row r="16" spans="1:15" x14ac:dyDescent="0.2">
      <c r="A16" s="1">
        <f t="shared" si="0"/>
        <v>16</v>
      </c>
      <c r="B16" t="s">
        <v>55</v>
      </c>
      <c r="C16" s="5">
        <f>'Demand-Energy Alloc - Before'!G121</f>
        <v>221250</v>
      </c>
      <c r="D16" s="5">
        <f>'Demand-Energy Alloc - Before'!G123</f>
        <v>663890</v>
      </c>
      <c r="E16" s="5">
        <f>C16+D16</f>
        <v>885140</v>
      </c>
      <c r="F16" s="5">
        <f>'FAC Recalc'!J139</f>
        <v>91450</v>
      </c>
      <c r="G16" s="5">
        <f>'Surcharge - Members - Before'!J131</f>
        <v>144802</v>
      </c>
      <c r="I16" s="28">
        <f>ROUND(E16/O16,5)</f>
        <v>3.1919999999999997E-2</v>
      </c>
      <c r="J16" s="28">
        <f>'FAC Recalc'!J143</f>
        <v>-4.3639999999999998E-2</v>
      </c>
      <c r="K16" s="28">
        <f>'Surcharge - Members - Before'!J140</f>
        <v>3.3599999999999998E-2</v>
      </c>
      <c r="M16" s="5">
        <f>'Surcharge - Members - Before'!I136</f>
        <v>25630914</v>
      </c>
      <c r="N16" s="5">
        <f>'FAC Recalc'!I141</f>
        <v>-2095353</v>
      </c>
      <c r="O16" s="5">
        <f>M16-N16</f>
        <v>27726267</v>
      </c>
    </row>
    <row r="17" spans="1:15" x14ac:dyDescent="0.2">
      <c r="A17" s="1">
        <f t="shared" si="0"/>
        <v>17</v>
      </c>
      <c r="I17" s="28"/>
      <c r="J17" s="28"/>
      <c r="K17" s="28"/>
    </row>
    <row r="18" spans="1:15" x14ac:dyDescent="0.2">
      <c r="A18" s="1">
        <f t="shared" si="0"/>
        <v>18</v>
      </c>
      <c r="B18" t="s">
        <v>56</v>
      </c>
      <c r="C18" s="5">
        <f>'Demand-Energy Alloc - Before'!H121</f>
        <v>223320</v>
      </c>
      <c r="D18" s="5">
        <f>'Demand-Energy Alloc - Before'!H123</f>
        <v>677103</v>
      </c>
      <c r="E18" s="5">
        <f>C18+D18</f>
        <v>900423</v>
      </c>
      <c r="F18" s="5">
        <f>'FAC Recalc'!L139</f>
        <v>102369</v>
      </c>
      <c r="G18" s="5">
        <f>'Surcharge - Members - Before'!L131</f>
        <v>153333</v>
      </c>
      <c r="I18" s="28">
        <f>ROUND(E18/O18,5)</f>
        <v>2.861E-2</v>
      </c>
      <c r="J18" s="28">
        <f>'FAC Recalc'!L143</f>
        <v>-4.1700000000000001E-2</v>
      </c>
      <c r="K18" s="28">
        <f>'Surcharge - Members - Before'!L140</f>
        <v>3.1199999999999999E-2</v>
      </c>
      <c r="M18" s="5">
        <f>'Surcharge - Members - Before'!K136</f>
        <v>29021488</v>
      </c>
      <c r="N18" s="5">
        <f>'FAC Recalc'!K141</f>
        <v>-2455141</v>
      </c>
      <c r="O18" s="5">
        <f>M18-N18</f>
        <v>31476629</v>
      </c>
    </row>
    <row r="19" spans="1:15" x14ac:dyDescent="0.2">
      <c r="A19" s="1">
        <f t="shared" si="0"/>
        <v>19</v>
      </c>
      <c r="I19" s="28"/>
      <c r="J19" s="28"/>
      <c r="K19" s="28"/>
    </row>
    <row r="20" spans="1:15" x14ac:dyDescent="0.2">
      <c r="A20" s="1">
        <f t="shared" si="0"/>
        <v>20</v>
      </c>
      <c r="B20" t="s">
        <v>134</v>
      </c>
      <c r="C20" s="5">
        <f>'Demand-Energy Alloc - Before'!I121</f>
        <v>217766</v>
      </c>
      <c r="D20" s="5">
        <f>'Demand-Energy Alloc - Before'!I123</f>
        <v>655049</v>
      </c>
      <c r="E20" s="5">
        <f>C20+D20</f>
        <v>872815</v>
      </c>
      <c r="F20" s="5">
        <f>'FAC Recalc'!N139</f>
        <v>224498</v>
      </c>
      <c r="G20" s="5">
        <f>'Surcharge - Members - Before'!N131</f>
        <v>727589</v>
      </c>
      <c r="I20" s="28">
        <f>ROUND(E20/O20,5)</f>
        <v>1.3390000000000001E-2</v>
      </c>
      <c r="J20" s="28">
        <f>'FAC Recalc'!N143</f>
        <v>-4.3830000000000001E-2</v>
      </c>
      <c r="K20" s="28">
        <f>'Surcharge - Members - Before'!N140</f>
        <v>7.4940000000000007E-2</v>
      </c>
      <c r="M20" s="5">
        <f>'Surcharge - Members - Before'!M136</f>
        <v>60059026</v>
      </c>
      <c r="N20" s="5">
        <f>'FAC Recalc'!M141</f>
        <v>-5122282</v>
      </c>
      <c r="O20" s="5">
        <f>M20-N20</f>
        <v>65181308</v>
      </c>
    </row>
    <row r="21" spans="1:15" x14ac:dyDescent="0.2">
      <c r="A21" s="1">
        <f t="shared" si="0"/>
        <v>21</v>
      </c>
      <c r="I21" s="28"/>
      <c r="J21" s="28"/>
      <c r="K21" s="28"/>
    </row>
    <row r="22" spans="1:15" x14ac:dyDescent="0.2">
      <c r="A22" s="1">
        <f t="shared" si="0"/>
        <v>22</v>
      </c>
      <c r="B22" t="s">
        <v>58</v>
      </c>
      <c r="C22" s="5">
        <f>'Demand-Energy Alloc - Before'!J121</f>
        <v>112726</v>
      </c>
      <c r="D22" s="5">
        <f>'Demand-Energy Alloc - Before'!J123</f>
        <v>332854</v>
      </c>
      <c r="E22" s="5">
        <f>C22+D22</f>
        <v>445580</v>
      </c>
      <c r="F22" s="5">
        <f>'FAC Recalc'!P139</f>
        <v>52700</v>
      </c>
      <c r="G22" s="5">
        <f>'Surcharge - Members - Before'!P131</f>
        <v>82815</v>
      </c>
      <c r="I22" s="28">
        <f>ROUND(E22/O22,5)</f>
        <v>2.81E-2</v>
      </c>
      <c r="J22" s="28">
        <f>'FAC Recalc'!P143</f>
        <v>-4.36E-2</v>
      </c>
      <c r="K22" s="28">
        <f>'Surcharge - Members - Before'!P140</f>
        <v>3.3570000000000003E-2</v>
      </c>
      <c r="M22" s="5">
        <f>'Surcharge - Members - Before'!O136</f>
        <v>14645794</v>
      </c>
      <c r="N22" s="5">
        <f>'FAC Recalc'!O141</f>
        <v>-1208636</v>
      </c>
      <c r="O22" s="5">
        <f>M22-N22</f>
        <v>15854430</v>
      </c>
    </row>
    <row r="23" spans="1:15" x14ac:dyDescent="0.2">
      <c r="A23" s="1">
        <f t="shared" si="0"/>
        <v>23</v>
      </c>
      <c r="I23" s="28"/>
      <c r="J23" s="28"/>
      <c r="K23" s="28"/>
    </row>
    <row r="24" spans="1:15" x14ac:dyDescent="0.2">
      <c r="A24" s="1">
        <f t="shared" si="0"/>
        <v>24</v>
      </c>
      <c r="B24" t="s">
        <v>59</v>
      </c>
      <c r="C24" s="5">
        <f>'Demand-Energy Alloc - Before'!K121</f>
        <v>220994</v>
      </c>
      <c r="D24" s="5">
        <f>'Demand-Energy Alloc - Before'!K123</f>
        <v>598126</v>
      </c>
      <c r="E24" s="5">
        <f>C24+D24</f>
        <v>819120</v>
      </c>
      <c r="F24" s="5">
        <f>'FAC Recalc'!R139</f>
        <v>96872</v>
      </c>
      <c r="G24" s="5">
        <f>'Surcharge - Members - Before'!R131</f>
        <v>154752</v>
      </c>
      <c r="I24" s="28">
        <f>ROUND(E24/O24,5)</f>
        <v>2.7629999999999998E-2</v>
      </c>
      <c r="J24" s="28">
        <f>'FAC Recalc'!R143</f>
        <v>-4.3459999999999999E-2</v>
      </c>
      <c r="K24" s="28">
        <f>'Surcharge - Members - Before'!R140</f>
        <v>3.3480000000000003E-2</v>
      </c>
      <c r="M24" s="5">
        <f>'Surcharge - Members - Before'!Q136</f>
        <v>27421220</v>
      </c>
      <c r="N24" s="5">
        <f>'FAC Recalc'!Q141</f>
        <v>-2228897</v>
      </c>
      <c r="O24" s="5">
        <f>M24-N24</f>
        <v>29650117</v>
      </c>
    </row>
    <row r="25" spans="1:15" x14ac:dyDescent="0.2">
      <c r="A25" s="1">
        <f t="shared" si="0"/>
        <v>25</v>
      </c>
      <c r="I25" s="28"/>
      <c r="J25" s="28"/>
      <c r="K25" s="28"/>
    </row>
    <row r="26" spans="1:15" x14ac:dyDescent="0.2">
      <c r="A26" s="1">
        <f t="shared" si="0"/>
        <v>26</v>
      </c>
      <c r="B26" t="s">
        <v>60</v>
      </c>
      <c r="C26" s="5">
        <f>'Demand-Energy Alloc - Before'!L121</f>
        <v>426858</v>
      </c>
      <c r="D26" s="5">
        <f>'Demand-Energy Alloc - Before'!L123</f>
        <v>1209953</v>
      </c>
      <c r="E26" s="5">
        <f>C26+D26</f>
        <v>1636811</v>
      </c>
      <c r="F26" s="5">
        <f>'FAC Recalc'!T139</f>
        <v>181868</v>
      </c>
      <c r="G26" s="5">
        <f>'Surcharge - Members - Before'!T131</f>
        <v>289654</v>
      </c>
      <c r="I26" s="28">
        <f>ROUND(E26/O26,5)</f>
        <v>2.9499999999999998E-2</v>
      </c>
      <c r="J26" s="28">
        <f>'FAC Recalc'!T143</f>
        <v>-4.3580000000000001E-2</v>
      </c>
      <c r="K26" s="28">
        <f>'Surcharge - Members - Before'!T140</f>
        <v>3.354E-2</v>
      </c>
      <c r="M26" s="5">
        <f>'Surcharge - Members - Before'!S136</f>
        <v>51306719</v>
      </c>
      <c r="N26" s="5">
        <f>'FAC Recalc'!S141</f>
        <v>-4173510</v>
      </c>
      <c r="O26" s="5">
        <f>M26-N26</f>
        <v>55480229</v>
      </c>
    </row>
    <row r="27" spans="1:15" x14ac:dyDescent="0.2">
      <c r="A27" s="1">
        <f t="shared" si="0"/>
        <v>27</v>
      </c>
      <c r="I27" s="28"/>
      <c r="J27" s="28"/>
      <c r="K27" s="28"/>
    </row>
    <row r="28" spans="1:15" x14ac:dyDescent="0.2">
      <c r="A28" s="1">
        <f t="shared" si="0"/>
        <v>28</v>
      </c>
      <c r="B28" t="s">
        <v>61</v>
      </c>
      <c r="C28" s="5">
        <f>'Demand-Energy Alloc - Before'!M121</f>
        <v>125143</v>
      </c>
      <c r="D28" s="5">
        <f>'Demand-Energy Alloc - Before'!M123</f>
        <v>375487</v>
      </c>
      <c r="E28" s="5">
        <f>C28+D28</f>
        <v>500630</v>
      </c>
      <c r="F28" s="5">
        <f>'FAC Recalc'!V139</f>
        <v>51735</v>
      </c>
      <c r="G28" s="5">
        <f>'Surcharge - Members - Before'!V131</f>
        <v>82031</v>
      </c>
      <c r="I28" s="28">
        <f>ROUND(E28/O28,5)</f>
        <v>3.1870000000000002E-2</v>
      </c>
      <c r="J28" s="28">
        <f>'FAC Recalc'!V143</f>
        <v>-4.3610000000000003E-2</v>
      </c>
      <c r="K28" s="28">
        <f>'Surcharge - Members - Before'!V140</f>
        <v>3.3550000000000003E-2</v>
      </c>
      <c r="M28" s="5">
        <f>'Surcharge - Members - Before'!U136</f>
        <v>14523387</v>
      </c>
      <c r="N28" s="5">
        <f>'FAC Recalc'!U141</f>
        <v>-1186232</v>
      </c>
      <c r="O28" s="5">
        <f>M28-N28</f>
        <v>15709619</v>
      </c>
    </row>
    <row r="29" spans="1:15" x14ac:dyDescent="0.2">
      <c r="A29" s="1">
        <f t="shared" si="0"/>
        <v>29</v>
      </c>
      <c r="I29" s="28"/>
      <c r="J29" s="28"/>
      <c r="K29" s="28"/>
    </row>
    <row r="30" spans="1:15" x14ac:dyDescent="0.2">
      <c r="A30" s="1">
        <f t="shared" si="0"/>
        <v>30</v>
      </c>
      <c r="B30" t="s">
        <v>62</v>
      </c>
      <c r="C30" s="5">
        <f>'Demand-Energy Alloc - Before'!N121</f>
        <v>322621</v>
      </c>
      <c r="D30" s="5">
        <f>'Demand-Energy Alloc - Before'!N123</f>
        <v>906572</v>
      </c>
      <c r="E30" s="5">
        <f>C30+D30</f>
        <v>1229193</v>
      </c>
      <c r="F30" s="5">
        <f>'FAC Recalc'!X139</f>
        <v>160769</v>
      </c>
      <c r="G30" s="5">
        <f>'Surcharge - Members - Before'!X131</f>
        <v>245455</v>
      </c>
      <c r="I30" s="28">
        <f>ROUND(E30/O30,5)</f>
        <v>2.6200000000000001E-2</v>
      </c>
      <c r="J30" s="28">
        <f>'FAC Recalc'!X143</f>
        <v>-4.3589999999999997E-2</v>
      </c>
      <c r="K30" s="28">
        <f>'Surcharge - Members - Before'!X140</f>
        <v>3.3640000000000003E-2</v>
      </c>
      <c r="M30" s="5">
        <f>'Surcharge - Members - Before'!W136</f>
        <v>43222864</v>
      </c>
      <c r="N30" s="5">
        <f>'FAC Recalc'!W141</f>
        <v>-3687923</v>
      </c>
      <c r="O30" s="5">
        <f>M30-N30</f>
        <v>46910787</v>
      </c>
    </row>
    <row r="31" spans="1:15" x14ac:dyDescent="0.2">
      <c r="A31" s="1">
        <f t="shared" si="0"/>
        <v>31</v>
      </c>
      <c r="I31" s="28"/>
      <c r="J31" s="28"/>
      <c r="K31" s="28"/>
    </row>
    <row r="32" spans="1:15" x14ac:dyDescent="0.2">
      <c r="A32" s="1">
        <f t="shared" si="0"/>
        <v>32</v>
      </c>
      <c r="B32" t="s">
        <v>63</v>
      </c>
      <c r="C32" s="5">
        <f>'Demand-Energy Alloc - Before'!O121</f>
        <v>504261</v>
      </c>
      <c r="D32" s="5">
        <f>'Demand-Energy Alloc - Before'!O123</f>
        <v>1574721</v>
      </c>
      <c r="E32" s="5">
        <f>C32+D32</f>
        <v>2078982</v>
      </c>
      <c r="F32" s="5">
        <f>'FAC Recalc'!Z139</f>
        <v>487471</v>
      </c>
      <c r="G32" s="5">
        <f>'Surcharge - Members - Before'!Z131</f>
        <v>512354</v>
      </c>
      <c r="I32" s="28">
        <f>ROUND(E32/O32,5)</f>
        <v>1.7330000000000002E-2</v>
      </c>
      <c r="J32" s="28">
        <f>'FAC Recalc'!Z143</f>
        <v>-4.3610000000000003E-2</v>
      </c>
      <c r="K32" s="28">
        <f>'Surcharge - Members - Before'!Z140</f>
        <v>2.776E-2</v>
      </c>
      <c r="M32" s="5">
        <f>'Surcharge - Members - Before'!Y136</f>
        <v>108792867</v>
      </c>
      <c r="N32" s="5">
        <f>'FAC Recalc'!Y141</f>
        <v>-11178662</v>
      </c>
      <c r="O32" s="5">
        <f>M32-N32</f>
        <v>119971529</v>
      </c>
    </row>
    <row r="33" spans="1:15" x14ac:dyDescent="0.2">
      <c r="A33" s="1">
        <f t="shared" si="0"/>
        <v>33</v>
      </c>
      <c r="I33" s="28"/>
      <c r="J33" s="28"/>
      <c r="K33" s="28"/>
    </row>
    <row r="34" spans="1:15" x14ac:dyDescent="0.2">
      <c r="A34" s="1">
        <f t="shared" si="0"/>
        <v>34</v>
      </c>
      <c r="B34" t="s">
        <v>64</v>
      </c>
      <c r="C34" s="5">
        <f>'Demand-Energy Alloc - Before'!P121</f>
        <v>526167</v>
      </c>
      <c r="D34" s="5">
        <f>'Demand-Energy Alloc - Before'!P123</f>
        <v>1582493</v>
      </c>
      <c r="E34" s="5">
        <f>C34+D34</f>
        <v>2108660</v>
      </c>
      <c r="F34" s="5">
        <f>'FAC Recalc'!AB139</f>
        <v>249030</v>
      </c>
      <c r="G34" s="5">
        <f>'Surcharge - Members - Before'!AB131</f>
        <v>380930</v>
      </c>
      <c r="I34" s="28">
        <f>ROUND(E34/O34,5)</f>
        <v>2.8920000000000001E-2</v>
      </c>
      <c r="J34" s="28">
        <f>'FAC Recalc'!AB143</f>
        <v>-4.36E-2</v>
      </c>
      <c r="K34" s="28">
        <f>'Surcharge - Members - Before'!AB140</f>
        <v>3.3509999999999998E-2</v>
      </c>
      <c r="M34" s="5">
        <f>'Surcharge - Members - Before'!AA136</f>
        <v>67199144</v>
      </c>
      <c r="N34" s="5">
        <f>'FAC Recalc'!AA141</f>
        <v>-5711082</v>
      </c>
      <c r="O34" s="5">
        <f>M34-N34</f>
        <v>72910226</v>
      </c>
    </row>
    <row r="35" spans="1:15" x14ac:dyDescent="0.2">
      <c r="A35" s="1">
        <f t="shared" si="0"/>
        <v>35</v>
      </c>
      <c r="I35" s="28"/>
      <c r="J35" s="28"/>
      <c r="K35" s="28"/>
    </row>
    <row r="36" spans="1:15" x14ac:dyDescent="0.2">
      <c r="A36" s="1">
        <f t="shared" si="0"/>
        <v>36</v>
      </c>
      <c r="B36" t="s">
        <v>65</v>
      </c>
      <c r="C36" s="5">
        <f>'Demand-Energy Alloc - Before'!Q121</f>
        <v>164883</v>
      </c>
      <c r="D36" s="5">
        <f>'Demand-Energy Alloc - Before'!Q123</f>
        <v>494566</v>
      </c>
      <c r="E36" s="5">
        <f>C36+D36</f>
        <v>659449</v>
      </c>
      <c r="F36" s="5">
        <f>'FAC Recalc'!AD139</f>
        <v>106192</v>
      </c>
      <c r="G36" s="5">
        <f>'Surcharge - Members - Before'!AD131</f>
        <v>159085</v>
      </c>
      <c r="I36" s="28">
        <f>ROUND(E36/O36,5)</f>
        <v>2.179E-2</v>
      </c>
      <c r="J36" s="28">
        <f>'FAC Recalc'!AD143</f>
        <v>-4.3639999999999998E-2</v>
      </c>
      <c r="K36" s="28">
        <f>'Surcharge - Members - Before'!AD140</f>
        <v>3.3919999999999999E-2</v>
      </c>
      <c r="M36" s="5">
        <f>'Surcharge - Members - Before'!AC136</f>
        <v>27829355</v>
      </c>
      <c r="N36" s="5">
        <f>'FAC Recalc'!AC141</f>
        <v>-2433118</v>
      </c>
      <c r="O36" s="5">
        <f>M36-N36</f>
        <v>30262473</v>
      </c>
    </row>
    <row r="37" spans="1:15" x14ac:dyDescent="0.2">
      <c r="A37" s="1">
        <f t="shared" si="0"/>
        <v>37</v>
      </c>
      <c r="I37" s="28"/>
      <c r="J37" s="28"/>
      <c r="K37" s="28"/>
    </row>
    <row r="38" spans="1:15" x14ac:dyDescent="0.2">
      <c r="A38" s="1">
        <f t="shared" si="0"/>
        <v>38</v>
      </c>
      <c r="B38" t="s">
        <v>66</v>
      </c>
      <c r="C38" s="5">
        <f>'Demand-Energy Alloc - Before'!R121</f>
        <v>229577</v>
      </c>
      <c r="D38" s="5">
        <f>'Demand-Energy Alloc - Before'!R123</f>
        <v>667270</v>
      </c>
      <c r="E38" s="5">
        <f>C38+D38</f>
        <v>896847</v>
      </c>
      <c r="F38" s="5">
        <f>'FAC Recalc'!AF139</f>
        <v>97621</v>
      </c>
      <c r="G38" s="5">
        <f>'Surcharge - Members - Before'!AF131</f>
        <v>417456</v>
      </c>
      <c r="I38" s="28">
        <f>ROUND(E38/O38,5)</f>
        <v>2.742E-2</v>
      </c>
      <c r="J38" s="28">
        <f>'FAC Recalc'!AF143</f>
        <v>-4.3430000000000003E-2</v>
      </c>
      <c r="K38" s="28">
        <f>'Surcharge - Members - Before'!AF140</f>
        <v>8.523E-2</v>
      </c>
      <c r="M38" s="5">
        <f>'Surcharge - Members - Before'!AE136</f>
        <v>30460542</v>
      </c>
      <c r="N38" s="5">
        <f>'FAC Recalc'!AE141</f>
        <v>-2247838</v>
      </c>
      <c r="O38" s="5">
        <f>M38-N38</f>
        <v>32708380</v>
      </c>
    </row>
    <row r="39" spans="1:15" x14ac:dyDescent="0.2">
      <c r="A39" s="1">
        <f t="shared" si="0"/>
        <v>39</v>
      </c>
      <c r="I39" s="28"/>
      <c r="J39" s="28"/>
      <c r="K39" s="28"/>
    </row>
    <row r="40" spans="1:15" x14ac:dyDescent="0.2">
      <c r="A40" s="1">
        <f t="shared" si="0"/>
        <v>40</v>
      </c>
      <c r="B40" t="s">
        <v>114</v>
      </c>
      <c r="C40" s="5">
        <f>SUM(C10:C38)</f>
        <v>4189939</v>
      </c>
      <c r="D40" s="5">
        <f t="shared" ref="D40:G40" si="1">SUM(D10:D38)</f>
        <v>12265581</v>
      </c>
      <c r="E40" s="5">
        <f t="shared" si="1"/>
        <v>16455520</v>
      </c>
      <c r="F40" s="5">
        <f t="shared" si="1"/>
        <v>2318762</v>
      </c>
      <c r="G40" s="5">
        <f t="shared" si="1"/>
        <v>4011673</v>
      </c>
      <c r="I40" s="28">
        <f>ROUND(E40/O40,5)</f>
        <v>2.4629999999999999E-2</v>
      </c>
      <c r="J40" s="28">
        <f>'FAC Recalc'!AG143</f>
        <v>-4.3490000000000001E-2</v>
      </c>
      <c r="K40" s="28">
        <f>'Surcharge - Members - Before'!AG140</f>
        <v>3.8899999999999997E-2</v>
      </c>
      <c r="M40" s="5">
        <f t="shared" ref="M40:N40" si="2">SUM(M10:M38)</f>
        <v>614774080</v>
      </c>
      <c r="N40" s="5">
        <f t="shared" si="2"/>
        <v>-53315589</v>
      </c>
      <c r="O40" s="5">
        <f>M40-N40</f>
        <v>668089669</v>
      </c>
    </row>
    <row r="41" spans="1:15" x14ac:dyDescent="0.2">
      <c r="A41" s="1">
        <f t="shared" si="0"/>
        <v>41</v>
      </c>
      <c r="I41" s="28"/>
      <c r="J41" s="28"/>
      <c r="K41" s="28"/>
    </row>
    <row r="42" spans="1:15" x14ac:dyDescent="0.2">
      <c r="A42" s="1">
        <f t="shared" si="0"/>
        <v>42</v>
      </c>
      <c r="B42" t="s">
        <v>179</v>
      </c>
      <c r="I42" s="28"/>
      <c r="J42" s="28"/>
      <c r="K42" s="28"/>
    </row>
    <row r="43" spans="1:15" x14ac:dyDescent="0.2">
      <c r="A43" s="1">
        <f t="shared" si="0"/>
        <v>43</v>
      </c>
      <c r="B43" t="s">
        <v>180</v>
      </c>
      <c r="C43" s="5">
        <f>'Calculation on 58MW'!M44</f>
        <v>4189920</v>
      </c>
      <c r="D43" s="5">
        <f>'Calculation on 58MW'!N44+'Calculation on 58MW'!O44</f>
        <v>24337536</v>
      </c>
      <c r="E43" s="5">
        <f>C43+D43</f>
        <v>28527456</v>
      </c>
      <c r="F43" s="5">
        <f>'Calculation on 58MW'!Q44</f>
        <v>-2482633</v>
      </c>
      <c r="G43" s="5">
        <f>'Calculation on 58MW'!S44</f>
        <v>4377209</v>
      </c>
      <c r="I43" s="28"/>
      <c r="J43" s="28"/>
      <c r="K43" s="28"/>
    </row>
    <row r="44" spans="1:15" x14ac:dyDescent="0.2">
      <c r="A44" s="1">
        <f t="shared" si="0"/>
        <v>44</v>
      </c>
      <c r="B44" t="s">
        <v>181</v>
      </c>
      <c r="I44" s="28"/>
      <c r="J44" s="28"/>
      <c r="K44" s="28"/>
    </row>
    <row r="45" spans="1:15" x14ac:dyDescent="0.2">
      <c r="A45" s="1">
        <f t="shared" si="0"/>
        <v>45</v>
      </c>
      <c r="B45" t="s">
        <v>182</v>
      </c>
      <c r="C45" s="29">
        <v>0</v>
      </c>
      <c r="D45" s="29">
        <v>0</v>
      </c>
      <c r="E45" s="29">
        <f>C45+D45</f>
        <v>0</v>
      </c>
      <c r="F45" s="29">
        <f>'FAC Recalc'!AL139</f>
        <v>158122</v>
      </c>
      <c r="G45" s="29">
        <f>-'Surcharge - Members - Before'!AH132</f>
        <v>362210</v>
      </c>
      <c r="I45" s="28"/>
      <c r="J45" s="28"/>
      <c r="K45" s="28"/>
    </row>
    <row r="46" spans="1:15" ht="15" thickBot="1" x14ac:dyDescent="0.25">
      <c r="A46" s="1">
        <f t="shared" si="0"/>
        <v>46</v>
      </c>
      <c r="B46" t="s">
        <v>183</v>
      </c>
      <c r="C46" s="30">
        <f>C43+C45</f>
        <v>4189920</v>
      </c>
      <c r="D46" s="30">
        <f t="shared" ref="D46:F46" si="3">D43+D45</f>
        <v>24337536</v>
      </c>
      <c r="E46" s="30">
        <f t="shared" si="3"/>
        <v>28527456</v>
      </c>
      <c r="F46" s="30">
        <f t="shared" si="3"/>
        <v>-2324511</v>
      </c>
      <c r="G46" s="30">
        <f>G43-G45</f>
        <v>4014999</v>
      </c>
      <c r="I46" s="28"/>
      <c r="J46" s="28"/>
      <c r="K46" s="28"/>
    </row>
    <row r="47" spans="1:15" ht="15" thickTop="1" x14ac:dyDescent="0.2">
      <c r="A47" s="1">
        <f t="shared" si="0"/>
        <v>47</v>
      </c>
    </row>
    <row r="48" spans="1:15" x14ac:dyDescent="0.2">
      <c r="A48" s="1">
        <f t="shared" si="0"/>
        <v>48</v>
      </c>
    </row>
    <row r="49" spans="1:15" ht="15" x14ac:dyDescent="0.25">
      <c r="A49" s="1">
        <f t="shared" si="0"/>
        <v>49</v>
      </c>
      <c r="B49" s="2" t="s">
        <v>193</v>
      </c>
    </row>
    <row r="50" spans="1:15" x14ac:dyDescent="0.2">
      <c r="A50" s="1">
        <f t="shared" si="0"/>
        <v>50</v>
      </c>
    </row>
    <row r="51" spans="1:15" x14ac:dyDescent="0.2">
      <c r="A51" s="1">
        <f t="shared" si="0"/>
        <v>51</v>
      </c>
      <c r="C51" s="34" t="s">
        <v>196</v>
      </c>
      <c r="D51" s="35"/>
      <c r="E51" s="36"/>
      <c r="F51" s="3" t="s">
        <v>176</v>
      </c>
      <c r="G51" s="3" t="s">
        <v>176</v>
      </c>
      <c r="I51" s="34" t="s">
        <v>185</v>
      </c>
      <c r="J51" s="35"/>
      <c r="K51" s="36"/>
      <c r="M51" s="34" t="s">
        <v>187</v>
      </c>
      <c r="N51" s="35"/>
      <c r="O51" s="36"/>
    </row>
    <row r="52" spans="1:15" ht="15" thickBot="1" x14ac:dyDescent="0.25">
      <c r="A52" s="1">
        <f t="shared" si="0"/>
        <v>52</v>
      </c>
      <c r="B52" s="4" t="s">
        <v>178</v>
      </c>
      <c r="C52" s="4" t="s">
        <v>40</v>
      </c>
      <c r="D52" s="4" t="s">
        <v>38</v>
      </c>
      <c r="E52" s="4" t="s">
        <v>76</v>
      </c>
      <c r="F52" s="4" t="s">
        <v>6</v>
      </c>
      <c r="G52" s="4" t="s">
        <v>177</v>
      </c>
      <c r="I52" s="27" t="s">
        <v>186</v>
      </c>
      <c r="J52" s="27" t="s">
        <v>6</v>
      </c>
      <c r="K52" s="27" t="s">
        <v>7</v>
      </c>
      <c r="M52" s="27" t="s">
        <v>188</v>
      </c>
      <c r="N52" s="27" t="s">
        <v>6</v>
      </c>
      <c r="O52" s="27" t="s">
        <v>189</v>
      </c>
    </row>
    <row r="53" spans="1:15" x14ac:dyDescent="0.2">
      <c r="A53" s="1">
        <f t="shared" si="0"/>
        <v>53</v>
      </c>
    </row>
    <row r="54" spans="1:15" x14ac:dyDescent="0.2">
      <c r="A54" s="1">
        <f t="shared" si="0"/>
        <v>54</v>
      </c>
      <c r="B54" t="s">
        <v>52</v>
      </c>
      <c r="C54" s="5">
        <f>'Demand-Energy Alloc - After'!D121</f>
        <v>102397</v>
      </c>
      <c r="D54" s="5">
        <f>'Demand-Energy Alloc - After'!D123</f>
        <v>303254</v>
      </c>
      <c r="E54" s="5">
        <f t="shared" ref="E54:E82" si="4">C54+D54</f>
        <v>405651</v>
      </c>
      <c r="F54" s="5">
        <f>'FAC Recalc'!D139</f>
        <v>46082</v>
      </c>
      <c r="G54" s="5">
        <f>'Surcharge - Members - After'!D155</f>
        <v>95747</v>
      </c>
      <c r="I54" s="28">
        <f>ROUND(E54/O54,5)</f>
        <v>2.8719999999999999E-2</v>
      </c>
      <c r="J54" s="28">
        <f>'FAC Recalc'!D143</f>
        <v>-4.3529999999999999E-2</v>
      </c>
      <c r="K54" s="28">
        <f>'Surcharge - Members - After'!D164</f>
        <v>4.3639999999999998E-2</v>
      </c>
      <c r="M54" s="5">
        <f>'Surcharge - Members - After'!C160</f>
        <v>13064875</v>
      </c>
      <c r="N54" s="5">
        <f>'FAC Recalc'!C141</f>
        <v>-1058726</v>
      </c>
      <c r="O54" s="5">
        <f>M54-N54</f>
        <v>14123601</v>
      </c>
    </row>
    <row r="55" spans="1:15" x14ac:dyDescent="0.2">
      <c r="A55" s="1">
        <f t="shared" si="0"/>
        <v>55</v>
      </c>
      <c r="C55" s="5"/>
      <c r="D55" s="5"/>
      <c r="E55" s="5"/>
      <c r="F55" s="5"/>
      <c r="G55" s="5"/>
      <c r="I55" s="28"/>
      <c r="J55" s="28"/>
      <c r="K55" s="28"/>
      <c r="M55" s="5"/>
      <c r="N55" s="5"/>
    </row>
    <row r="56" spans="1:15" x14ac:dyDescent="0.2">
      <c r="A56" s="1">
        <f t="shared" si="0"/>
        <v>56</v>
      </c>
      <c r="B56" t="s">
        <v>53</v>
      </c>
      <c r="C56" s="5">
        <f>'Demand-Energy Alloc - After'!E121</f>
        <v>503216</v>
      </c>
      <c r="D56" s="5">
        <f>'Demand-Energy Alloc - After'!E123</f>
        <v>1452593</v>
      </c>
      <c r="E56" s="5">
        <f t="shared" si="4"/>
        <v>1955809</v>
      </c>
      <c r="F56" s="5">
        <f>'FAC Recalc'!F139</f>
        <v>280831</v>
      </c>
      <c r="G56" s="5">
        <f>'Surcharge - Members - After'!F155</f>
        <v>481054</v>
      </c>
      <c r="I56" s="28">
        <f>ROUND(E56/O56,5)</f>
        <v>2.3699999999999999E-2</v>
      </c>
      <c r="J56" s="28">
        <f>'FAC Recalc'!F143</f>
        <v>-4.3369999999999999E-2</v>
      </c>
      <c r="K56" s="28">
        <f>'Surcharge - Members - After'!F164</f>
        <v>3.7560000000000003E-2</v>
      </c>
      <c r="M56" s="5">
        <f>'Surcharge - Members - After'!E160</f>
        <v>76038336</v>
      </c>
      <c r="N56" s="5">
        <f>'FAC Recalc'!E141</f>
        <v>-6474712</v>
      </c>
      <c r="O56" s="5">
        <f>M56-N56</f>
        <v>82513048</v>
      </c>
    </row>
    <row r="57" spans="1:15" x14ac:dyDescent="0.2">
      <c r="A57" s="1">
        <f t="shared" si="0"/>
        <v>57</v>
      </c>
      <c r="C57" s="5"/>
      <c r="D57" s="5"/>
      <c r="E57" s="5"/>
      <c r="F57" s="5"/>
      <c r="G57" s="5"/>
      <c r="I57" s="28"/>
      <c r="J57" s="28"/>
      <c r="K57" s="28"/>
      <c r="M57" s="5"/>
      <c r="N57" s="5"/>
    </row>
    <row r="58" spans="1:15" x14ac:dyDescent="0.2">
      <c r="A58" s="1">
        <f t="shared" si="0"/>
        <v>58</v>
      </c>
      <c r="B58" t="s">
        <v>54</v>
      </c>
      <c r="C58" s="5">
        <f>'Demand-Energy Alloc - After'!F121</f>
        <v>203808</v>
      </c>
      <c r="D58" s="5">
        <f>'Demand-Energy Alloc - After'!F123</f>
        <v>604168</v>
      </c>
      <c r="E58" s="5">
        <f t="shared" si="4"/>
        <v>807976</v>
      </c>
      <c r="F58" s="5">
        <f>'FAC Recalc'!H139</f>
        <v>89274</v>
      </c>
      <c r="G58" s="5">
        <f>'Surcharge - Members - After'!H155</f>
        <v>183080</v>
      </c>
      <c r="I58" s="28">
        <f>ROUND(E58/O58,5)</f>
        <v>2.9260000000000001E-2</v>
      </c>
      <c r="J58" s="28">
        <f>'FAC Recalc'!H143</f>
        <v>-4.3470000000000002E-2</v>
      </c>
      <c r="K58" s="28">
        <f>'Surcharge - Members - After'!H164</f>
        <v>4.2500000000000003E-2</v>
      </c>
      <c r="M58" s="5">
        <f>'Surcharge - Members - After'!G160</f>
        <v>25557549</v>
      </c>
      <c r="N58" s="5">
        <f>'FAC Recalc'!G141</f>
        <v>-2053477</v>
      </c>
      <c r="O58" s="5">
        <f>M58-N58</f>
        <v>27611026</v>
      </c>
    </row>
    <row r="59" spans="1:15" x14ac:dyDescent="0.2">
      <c r="A59" s="1">
        <f t="shared" si="0"/>
        <v>59</v>
      </c>
      <c r="C59" s="5"/>
      <c r="D59" s="5"/>
      <c r="E59" s="5"/>
      <c r="F59" s="5"/>
      <c r="G59" s="5"/>
      <c r="I59" s="28"/>
      <c r="J59" s="28"/>
      <c r="K59" s="28"/>
      <c r="M59" s="5"/>
      <c r="N59" s="5"/>
    </row>
    <row r="60" spans="1:15" x14ac:dyDescent="0.2">
      <c r="A60" s="1">
        <f t="shared" si="0"/>
        <v>60</v>
      </c>
      <c r="B60" t="s">
        <v>55</v>
      </c>
      <c r="C60" s="5">
        <f>'Demand-Energy Alloc - After'!G121</f>
        <v>200194</v>
      </c>
      <c r="D60" s="5">
        <f>'Demand-Energy Alloc - After'!G123</f>
        <v>620009</v>
      </c>
      <c r="E60" s="5">
        <f t="shared" si="4"/>
        <v>820203</v>
      </c>
      <c r="F60" s="5">
        <f>'FAC Recalc'!J139</f>
        <v>91450</v>
      </c>
      <c r="G60" s="5">
        <f>'Surcharge - Members - After'!J155</f>
        <v>185245</v>
      </c>
      <c r="I60" s="28">
        <f>ROUND(E60/O60,5)</f>
        <v>2.9579999999999999E-2</v>
      </c>
      <c r="J60" s="28">
        <f>'FAC Recalc'!J143</f>
        <v>-4.3639999999999998E-2</v>
      </c>
      <c r="K60" s="28">
        <f>'Surcharge - Members - After'!J164</f>
        <v>4.299E-2</v>
      </c>
      <c r="M60" s="5">
        <f>'Surcharge - Members - After'!I160</f>
        <v>25630914</v>
      </c>
      <c r="N60" s="5">
        <f>'FAC Recalc'!I141</f>
        <v>-2095353</v>
      </c>
      <c r="O60" s="5">
        <f>M60-N60</f>
        <v>27726267</v>
      </c>
    </row>
    <row r="61" spans="1:15" x14ac:dyDescent="0.2">
      <c r="A61" s="1">
        <f t="shared" si="0"/>
        <v>61</v>
      </c>
      <c r="C61" s="5"/>
      <c r="D61" s="5"/>
      <c r="E61" s="5"/>
      <c r="F61" s="5"/>
      <c r="G61" s="5"/>
      <c r="I61" s="28"/>
      <c r="J61" s="28"/>
      <c r="K61" s="28"/>
      <c r="M61" s="5"/>
      <c r="N61" s="5"/>
    </row>
    <row r="62" spans="1:15" x14ac:dyDescent="0.2">
      <c r="A62" s="1">
        <f t="shared" si="0"/>
        <v>62</v>
      </c>
      <c r="B62" t="s">
        <v>56</v>
      </c>
      <c r="C62" s="5">
        <f>'Demand-Energy Alloc - After'!H121</f>
        <v>202271</v>
      </c>
      <c r="D62" s="5">
        <f>'Demand-Energy Alloc - After'!H123</f>
        <v>632462</v>
      </c>
      <c r="E62" s="5">
        <f t="shared" si="4"/>
        <v>834733</v>
      </c>
      <c r="F62" s="5">
        <f>'FAC Recalc'!L139</f>
        <v>102369</v>
      </c>
      <c r="G62" s="5">
        <f>'Surcharge - Members - After'!L155</f>
        <v>184194</v>
      </c>
      <c r="I62" s="28">
        <f>ROUND(E62/O62,5)</f>
        <v>2.6519999999999998E-2</v>
      </c>
      <c r="J62" s="28">
        <f>'FAC Recalc'!L143</f>
        <v>-4.1700000000000001E-2</v>
      </c>
      <c r="K62" s="28">
        <f>'Surcharge - Members - After'!L164</f>
        <v>3.7479999999999999E-2</v>
      </c>
      <c r="M62" s="5">
        <f>'Surcharge - Members - After'!K160</f>
        <v>29021488</v>
      </c>
      <c r="N62" s="5">
        <f>'FAC Recalc'!K141</f>
        <v>-2455141</v>
      </c>
      <c r="O62" s="5">
        <f>M62-N62</f>
        <v>31476629</v>
      </c>
    </row>
    <row r="63" spans="1:15" x14ac:dyDescent="0.2">
      <c r="A63" s="1">
        <f t="shared" si="0"/>
        <v>63</v>
      </c>
      <c r="C63" s="5"/>
      <c r="D63" s="5"/>
      <c r="E63" s="5"/>
      <c r="F63" s="5"/>
      <c r="G63" s="5"/>
      <c r="I63" s="28"/>
      <c r="J63" s="28"/>
      <c r="K63" s="28"/>
      <c r="M63" s="5"/>
      <c r="N63" s="5"/>
    </row>
    <row r="64" spans="1:15" x14ac:dyDescent="0.2">
      <c r="A64" s="1">
        <f t="shared" si="0"/>
        <v>64</v>
      </c>
      <c r="B64" t="s">
        <v>134</v>
      </c>
      <c r="C64" s="5">
        <f>'Demand-Energy Alloc - After'!I121</f>
        <v>197139</v>
      </c>
      <c r="D64" s="5">
        <f>'Demand-Energy Alloc - After'!I123</f>
        <v>611671</v>
      </c>
      <c r="E64" s="5">
        <f t="shared" si="4"/>
        <v>808810</v>
      </c>
      <c r="F64" s="5">
        <f>'FAC Recalc'!N139</f>
        <v>224498</v>
      </c>
      <c r="G64" s="5">
        <f>'Surcharge - Members - After'!N155</f>
        <v>635499</v>
      </c>
      <c r="I64" s="28">
        <f>ROUND(E64/O64,5)</f>
        <v>1.2409999999999999E-2</v>
      </c>
      <c r="J64" s="28">
        <f>'FAC Recalc'!N143</f>
        <v>-4.3830000000000001E-2</v>
      </c>
      <c r="K64" s="28">
        <f>'Surcharge - Members - After'!N164</f>
        <v>6.5449999999999994E-2</v>
      </c>
      <c r="M64" s="5">
        <f>'Surcharge - Members - After'!M160</f>
        <v>60059026</v>
      </c>
      <c r="N64" s="5">
        <f>'FAC Recalc'!M141</f>
        <v>-5122282</v>
      </c>
      <c r="O64" s="5">
        <f>M64-N64</f>
        <v>65181308</v>
      </c>
    </row>
    <row r="65" spans="1:15" x14ac:dyDescent="0.2">
      <c r="A65" s="1">
        <f t="shared" si="0"/>
        <v>65</v>
      </c>
      <c r="C65" s="5"/>
      <c r="D65" s="5"/>
      <c r="E65" s="5"/>
      <c r="F65" s="5"/>
      <c r="G65" s="5"/>
      <c r="I65" s="28"/>
      <c r="J65" s="28"/>
      <c r="K65" s="28"/>
      <c r="M65" s="5"/>
      <c r="N65" s="5"/>
    </row>
    <row r="66" spans="1:15" x14ac:dyDescent="0.2">
      <c r="A66" s="1">
        <f t="shared" si="0"/>
        <v>66</v>
      </c>
      <c r="B66" t="s">
        <v>58</v>
      </c>
      <c r="C66" s="5">
        <f>'Demand-Energy Alloc - After'!J121</f>
        <v>102063</v>
      </c>
      <c r="D66" s="5">
        <f>'Demand-Energy Alloc - After'!J123</f>
        <v>310829</v>
      </c>
      <c r="E66" s="5">
        <f t="shared" si="4"/>
        <v>412892</v>
      </c>
      <c r="F66" s="5">
        <f>'FAC Recalc'!P139</f>
        <v>52700</v>
      </c>
      <c r="G66" s="5">
        <f>'Surcharge - Members - After'!P155</f>
        <v>96667</v>
      </c>
      <c r="I66" s="28">
        <f>ROUND(E66/O66,5)</f>
        <v>2.6040000000000001E-2</v>
      </c>
      <c r="J66" s="28">
        <f>'FAC Recalc'!P143</f>
        <v>-4.36E-2</v>
      </c>
      <c r="K66" s="28">
        <f>'Surcharge - Members - After'!P164</f>
        <v>3.918E-2</v>
      </c>
      <c r="M66" s="5">
        <f>'Surcharge - Members - After'!O160</f>
        <v>14645794</v>
      </c>
      <c r="N66" s="5">
        <f>'FAC Recalc'!O141</f>
        <v>-1208636</v>
      </c>
      <c r="O66" s="5">
        <f>M66-N66</f>
        <v>15854430</v>
      </c>
    </row>
    <row r="67" spans="1:15" x14ac:dyDescent="0.2">
      <c r="A67" s="1">
        <f t="shared" ref="A67:A127" si="5">A66+1</f>
        <v>67</v>
      </c>
      <c r="C67" s="5"/>
      <c r="D67" s="5"/>
      <c r="E67" s="5"/>
      <c r="F67" s="5"/>
      <c r="G67" s="5"/>
      <c r="I67" s="28"/>
      <c r="J67" s="28"/>
      <c r="K67" s="28"/>
      <c r="M67" s="5"/>
      <c r="N67" s="5"/>
    </row>
    <row r="68" spans="1:15" x14ac:dyDescent="0.2">
      <c r="A68" s="1">
        <f t="shared" si="5"/>
        <v>68</v>
      </c>
      <c r="B68" t="s">
        <v>59</v>
      </c>
      <c r="C68" s="5">
        <f>'Demand-Energy Alloc - After'!K121</f>
        <v>199862</v>
      </c>
      <c r="D68" s="5">
        <f>'Demand-Energy Alloc - After'!K123</f>
        <v>558331</v>
      </c>
      <c r="E68" s="5">
        <f t="shared" si="4"/>
        <v>758193</v>
      </c>
      <c r="F68" s="5">
        <f>'FAC Recalc'!R139</f>
        <v>96872</v>
      </c>
      <c r="G68" s="5">
        <f>'Surcharge - Members - After'!R155</f>
        <v>178417</v>
      </c>
      <c r="I68" s="28">
        <f>ROUND(E68/O68,5)</f>
        <v>2.5569999999999999E-2</v>
      </c>
      <c r="J68" s="28">
        <f>'FAC Recalc'!R143</f>
        <v>-4.3459999999999999E-2</v>
      </c>
      <c r="K68" s="28">
        <f>'Surcharge - Members - After'!R164</f>
        <v>3.8600000000000002E-2</v>
      </c>
      <c r="M68" s="5">
        <f>'Surcharge - Members - After'!Q160</f>
        <v>27421220</v>
      </c>
      <c r="N68" s="5">
        <f>'FAC Recalc'!Q141</f>
        <v>-2228897</v>
      </c>
      <c r="O68" s="5">
        <f>M68-N68</f>
        <v>29650117</v>
      </c>
    </row>
    <row r="69" spans="1:15" x14ac:dyDescent="0.2">
      <c r="A69" s="1">
        <f t="shared" si="5"/>
        <v>69</v>
      </c>
      <c r="C69" s="5"/>
      <c r="D69" s="5"/>
      <c r="E69" s="5"/>
      <c r="F69" s="5"/>
      <c r="G69" s="5"/>
      <c r="I69" s="28"/>
      <c r="J69" s="28"/>
      <c r="K69" s="28"/>
      <c r="M69" s="5"/>
      <c r="N69" s="5"/>
    </row>
    <row r="70" spans="1:15" x14ac:dyDescent="0.2">
      <c r="A70" s="1">
        <f t="shared" si="5"/>
        <v>70</v>
      </c>
      <c r="B70" t="s">
        <v>60</v>
      </c>
      <c r="C70" s="5">
        <f>'Demand-Energy Alloc - After'!L121</f>
        <v>386077</v>
      </c>
      <c r="D70" s="5">
        <f>'Demand-Energy Alloc - After'!L123</f>
        <v>1129652</v>
      </c>
      <c r="E70" s="5">
        <f t="shared" si="4"/>
        <v>1515729</v>
      </c>
      <c r="F70" s="5">
        <f>'FAC Recalc'!T139</f>
        <v>181868</v>
      </c>
      <c r="G70" s="5">
        <f>'Surcharge - Members - After'!T155</f>
        <v>349700</v>
      </c>
      <c r="I70" s="28">
        <f>ROUND(E70/O70,5)</f>
        <v>2.7320000000000001E-2</v>
      </c>
      <c r="J70" s="28">
        <f>'FAC Recalc'!T143</f>
        <v>-4.3580000000000001E-2</v>
      </c>
      <c r="K70" s="28">
        <f>'Surcharge - Members - After'!T164</f>
        <v>4.0500000000000001E-2</v>
      </c>
      <c r="M70" s="5">
        <f>'Surcharge - Members - After'!S160</f>
        <v>51306719</v>
      </c>
      <c r="N70" s="5">
        <f>'FAC Recalc'!S141</f>
        <v>-4173510</v>
      </c>
      <c r="O70" s="5">
        <f>M70-N70</f>
        <v>55480229</v>
      </c>
    </row>
    <row r="71" spans="1:15" x14ac:dyDescent="0.2">
      <c r="A71" s="1">
        <f t="shared" si="5"/>
        <v>71</v>
      </c>
      <c r="C71" s="5"/>
      <c r="D71" s="5"/>
      <c r="E71" s="5"/>
      <c r="F71" s="5"/>
      <c r="G71" s="5"/>
      <c r="I71" s="28"/>
      <c r="J71" s="28"/>
      <c r="K71" s="28"/>
      <c r="M71" s="5"/>
      <c r="N71" s="5"/>
    </row>
    <row r="72" spans="1:15" x14ac:dyDescent="0.2">
      <c r="A72" s="1">
        <f t="shared" si="5"/>
        <v>72</v>
      </c>
      <c r="B72" t="s">
        <v>61</v>
      </c>
      <c r="C72" s="5">
        <f>'Demand-Energy Alloc - After'!M121</f>
        <v>113283</v>
      </c>
      <c r="D72" s="5">
        <f>'Demand-Energy Alloc - After'!M123</f>
        <v>350637</v>
      </c>
      <c r="E72" s="5">
        <f t="shared" si="4"/>
        <v>463920</v>
      </c>
      <c r="F72" s="5">
        <f>'FAC Recalc'!V139</f>
        <v>51735</v>
      </c>
      <c r="G72" s="5">
        <f>'Surcharge - Members - After'!V155</f>
        <v>104909</v>
      </c>
      <c r="I72" s="28">
        <f>ROUND(E72/O72,5)</f>
        <v>2.9530000000000001E-2</v>
      </c>
      <c r="J72" s="28">
        <f>'FAC Recalc'!V143</f>
        <v>-4.3610000000000003E-2</v>
      </c>
      <c r="K72" s="28">
        <f>'Surcharge - Members - After'!V164</f>
        <v>4.2900000000000001E-2</v>
      </c>
      <c r="M72" s="5">
        <f>'Surcharge - Members - After'!U160</f>
        <v>14523387</v>
      </c>
      <c r="N72" s="5">
        <f>'FAC Recalc'!U141</f>
        <v>-1186232</v>
      </c>
      <c r="O72" s="5">
        <f>M72-N72</f>
        <v>15709619</v>
      </c>
    </row>
    <row r="73" spans="1:15" x14ac:dyDescent="0.2">
      <c r="A73" s="1">
        <f t="shared" si="5"/>
        <v>73</v>
      </c>
      <c r="C73" s="5"/>
      <c r="D73" s="5"/>
      <c r="E73" s="5"/>
      <c r="F73" s="5"/>
      <c r="G73" s="5"/>
      <c r="I73" s="28"/>
      <c r="J73" s="28"/>
      <c r="K73" s="28"/>
      <c r="M73" s="5"/>
      <c r="N73" s="5"/>
    </row>
    <row r="74" spans="1:15" x14ac:dyDescent="0.2">
      <c r="A74" s="1">
        <f t="shared" si="5"/>
        <v>74</v>
      </c>
      <c r="B74" t="s">
        <v>62</v>
      </c>
      <c r="C74" s="5">
        <f>'Demand-Energy Alloc - After'!N121</f>
        <v>292006</v>
      </c>
      <c r="D74" s="5">
        <f>'Demand-Energy Alloc - After'!N123</f>
        <v>846640</v>
      </c>
      <c r="E74" s="5">
        <f t="shared" si="4"/>
        <v>1138646</v>
      </c>
      <c r="F74" s="5">
        <f>'FAC Recalc'!X139</f>
        <v>160769</v>
      </c>
      <c r="G74" s="5">
        <f>'Surcharge - Members - After'!X155</f>
        <v>273610</v>
      </c>
      <c r="I74" s="28">
        <f>ROUND(E74/O74,5)</f>
        <v>2.427E-2</v>
      </c>
      <c r="J74" s="28">
        <f>'FAC Recalc'!X143</f>
        <v>-4.3589999999999997E-2</v>
      </c>
      <c r="K74" s="28">
        <f>'Surcharge - Members - After'!X164</f>
        <v>3.7499999999999999E-2</v>
      </c>
      <c r="M74" s="5">
        <f>'Surcharge - Members - After'!W160</f>
        <v>43222864</v>
      </c>
      <c r="N74" s="5">
        <f>'FAC Recalc'!W141</f>
        <v>-3687923</v>
      </c>
      <c r="O74" s="5">
        <f>M74-N74</f>
        <v>46910787</v>
      </c>
    </row>
    <row r="75" spans="1:15" x14ac:dyDescent="0.2">
      <c r="A75" s="1">
        <f t="shared" si="5"/>
        <v>75</v>
      </c>
      <c r="C75" s="5"/>
      <c r="D75" s="5"/>
      <c r="E75" s="5"/>
      <c r="F75" s="5"/>
      <c r="G75" s="5"/>
      <c r="I75" s="28"/>
      <c r="J75" s="28"/>
      <c r="K75" s="28"/>
      <c r="M75" s="5"/>
      <c r="N75" s="5"/>
    </row>
    <row r="76" spans="1:15" x14ac:dyDescent="0.2">
      <c r="A76" s="1">
        <f t="shared" si="5"/>
        <v>76</v>
      </c>
      <c r="B76" t="s">
        <v>63</v>
      </c>
      <c r="C76" s="5">
        <f>'Demand-Energy Alloc - After'!O121</f>
        <v>457379</v>
      </c>
      <c r="D76" s="5">
        <f>'Demand-Energy Alloc - After'!O123</f>
        <v>1471008</v>
      </c>
      <c r="E76" s="5">
        <f t="shared" si="4"/>
        <v>1928387</v>
      </c>
      <c r="F76" s="5">
        <f>'FAC Recalc'!Z139</f>
        <v>487471</v>
      </c>
      <c r="G76" s="5">
        <f>'Surcharge - Members - After'!Z155</f>
        <v>424342</v>
      </c>
      <c r="I76" s="28">
        <f>ROUND(E76/O76,5)</f>
        <v>1.6070000000000001E-2</v>
      </c>
      <c r="J76" s="28">
        <f>'FAC Recalc'!Z143</f>
        <v>-4.3610000000000003E-2</v>
      </c>
      <c r="K76" s="28">
        <f>'Surcharge - Members - After'!Z164</f>
        <v>2.299E-2</v>
      </c>
      <c r="M76" s="5">
        <f>'Surcharge - Members - After'!Y160</f>
        <v>108792867</v>
      </c>
      <c r="N76" s="5">
        <f>'FAC Recalc'!Y141</f>
        <v>-11178662</v>
      </c>
      <c r="O76" s="5">
        <f>M76-N76</f>
        <v>119971529</v>
      </c>
    </row>
    <row r="77" spans="1:15" x14ac:dyDescent="0.2">
      <c r="A77" s="1">
        <f t="shared" si="5"/>
        <v>77</v>
      </c>
      <c r="C77" s="5"/>
      <c r="D77" s="5"/>
      <c r="E77" s="5"/>
      <c r="F77" s="5"/>
      <c r="G77" s="5"/>
      <c r="I77" s="28"/>
      <c r="J77" s="28"/>
      <c r="K77" s="28"/>
      <c r="M77" s="5"/>
      <c r="N77" s="5"/>
    </row>
    <row r="78" spans="1:15" x14ac:dyDescent="0.2">
      <c r="A78" s="1">
        <f t="shared" si="5"/>
        <v>78</v>
      </c>
      <c r="B78" t="s">
        <v>64</v>
      </c>
      <c r="C78" s="5">
        <f>'Demand-Energy Alloc - After'!P121</f>
        <v>476948</v>
      </c>
      <c r="D78" s="5">
        <f>'Demand-Energy Alloc - After'!P123</f>
        <v>1478472</v>
      </c>
      <c r="E78" s="5">
        <f t="shared" si="4"/>
        <v>1955420</v>
      </c>
      <c r="F78" s="5">
        <f>'FAC Recalc'!AB139</f>
        <v>249030</v>
      </c>
      <c r="G78" s="5">
        <f>'Surcharge - Members - After'!AB155</f>
        <v>456312</v>
      </c>
      <c r="I78" s="28">
        <f>ROUND(E78/O78,5)</f>
        <v>2.682E-2</v>
      </c>
      <c r="J78" s="28">
        <f>'FAC Recalc'!AB143</f>
        <v>-4.36E-2</v>
      </c>
      <c r="K78" s="28">
        <f>'Surcharge - Members - After'!AB164</f>
        <v>4.0140000000000002E-2</v>
      </c>
      <c r="M78" s="5">
        <f>'Surcharge - Members - After'!AA160</f>
        <v>67199144</v>
      </c>
      <c r="N78" s="5">
        <f>'FAC Recalc'!AA141</f>
        <v>-5711082</v>
      </c>
      <c r="O78" s="5">
        <f>M78-N78</f>
        <v>72910226</v>
      </c>
    </row>
    <row r="79" spans="1:15" x14ac:dyDescent="0.2">
      <c r="A79" s="1">
        <f t="shared" si="5"/>
        <v>79</v>
      </c>
      <c r="C79" s="5"/>
      <c r="D79" s="5"/>
      <c r="E79" s="5"/>
      <c r="F79" s="5"/>
      <c r="G79" s="5"/>
      <c r="I79" s="28"/>
      <c r="J79" s="28"/>
      <c r="K79" s="28"/>
      <c r="M79" s="5"/>
      <c r="N79" s="5"/>
    </row>
    <row r="80" spans="1:15" x14ac:dyDescent="0.2">
      <c r="A80" s="1">
        <f t="shared" si="5"/>
        <v>80</v>
      </c>
      <c r="B80" t="s">
        <v>65</v>
      </c>
      <c r="C80" s="5">
        <f>'Demand-Energy Alloc - After'!Q121</f>
        <v>149360</v>
      </c>
      <c r="D80" s="5">
        <f>'Demand-Energy Alloc - After'!Q123</f>
        <v>461854</v>
      </c>
      <c r="E80" s="5">
        <f t="shared" si="4"/>
        <v>611214</v>
      </c>
      <c r="F80" s="5">
        <f>'FAC Recalc'!AD139</f>
        <v>106192</v>
      </c>
      <c r="G80" s="5">
        <f>'Surcharge - Members - After'!AD155</f>
        <v>156439</v>
      </c>
      <c r="I80" s="28">
        <f>ROUND(E80/O80,5)</f>
        <v>2.0199999999999999E-2</v>
      </c>
      <c r="J80" s="28">
        <f>'FAC Recalc'!AD143</f>
        <v>-4.3639999999999998E-2</v>
      </c>
      <c r="K80" s="28">
        <f>'Surcharge - Members - After'!AD164</f>
        <v>3.3360000000000001E-2</v>
      </c>
      <c r="M80" s="5">
        <f>'Surcharge - Members - After'!AC160</f>
        <v>27829355</v>
      </c>
      <c r="N80" s="5">
        <f>'FAC Recalc'!AC141</f>
        <v>-2433118</v>
      </c>
      <c r="O80" s="5">
        <f>M80-N80</f>
        <v>30262473</v>
      </c>
    </row>
    <row r="81" spans="1:15" x14ac:dyDescent="0.2">
      <c r="A81" s="1">
        <f t="shared" si="5"/>
        <v>81</v>
      </c>
      <c r="C81" s="5"/>
      <c r="D81" s="5"/>
      <c r="E81" s="5"/>
      <c r="F81" s="5"/>
      <c r="G81" s="5"/>
      <c r="I81" s="28"/>
      <c r="J81" s="28"/>
      <c r="K81" s="28"/>
      <c r="M81" s="5"/>
      <c r="N81" s="5"/>
    </row>
    <row r="82" spans="1:15" x14ac:dyDescent="0.2">
      <c r="A82" s="1">
        <f t="shared" si="5"/>
        <v>82</v>
      </c>
      <c r="B82" t="s">
        <v>66</v>
      </c>
      <c r="C82" s="5">
        <f>'Demand-Energy Alloc - After'!R121</f>
        <v>207758</v>
      </c>
      <c r="D82" s="5">
        <f>'Demand-Energy Alloc - After'!R123</f>
        <v>623166</v>
      </c>
      <c r="E82" s="5">
        <f t="shared" si="4"/>
        <v>830924</v>
      </c>
      <c r="F82" s="5">
        <f>'FAC Recalc'!AF139</f>
        <v>97621</v>
      </c>
      <c r="G82" s="5">
        <f>'Surcharge - Members - After'!AF155</f>
        <v>442134</v>
      </c>
      <c r="I82" s="28">
        <f>ROUND(E82/O82,5)</f>
        <v>2.5399999999999999E-2</v>
      </c>
      <c r="J82" s="28">
        <f>'FAC Recalc'!AF143</f>
        <v>-4.3430000000000003E-2</v>
      </c>
      <c r="K82" s="28">
        <f>'Surcharge - Members - After'!AF164</f>
        <v>9.0270000000000003E-2</v>
      </c>
      <c r="M82" s="5">
        <f>'Surcharge - Members - After'!AE160</f>
        <v>30460542</v>
      </c>
      <c r="N82" s="5">
        <f>'FAC Recalc'!AE141</f>
        <v>-2247838</v>
      </c>
      <c r="O82" s="5">
        <f>M82-N82</f>
        <v>32708380</v>
      </c>
    </row>
    <row r="83" spans="1:15" x14ac:dyDescent="0.2">
      <c r="A83" s="1">
        <f t="shared" si="5"/>
        <v>83</v>
      </c>
      <c r="C83" s="5"/>
      <c r="D83" s="5"/>
      <c r="E83" s="5"/>
      <c r="F83" s="5"/>
      <c r="G83" s="5"/>
      <c r="I83" s="28"/>
      <c r="J83" s="28"/>
      <c r="K83" s="28"/>
      <c r="M83" s="5"/>
      <c r="N83" s="5"/>
    </row>
    <row r="84" spans="1:15" x14ac:dyDescent="0.2">
      <c r="A84" s="1">
        <f t="shared" si="5"/>
        <v>84</v>
      </c>
      <c r="B84" t="s">
        <v>114</v>
      </c>
      <c r="C84" s="5">
        <f>SUM(C54:C82)</f>
        <v>3793761</v>
      </c>
      <c r="D84" s="5">
        <f t="shared" ref="D84:G84" si="6">SUM(D54:D82)</f>
        <v>11454746</v>
      </c>
      <c r="E84" s="5">
        <f t="shared" si="6"/>
        <v>15248507</v>
      </c>
      <c r="F84" s="5">
        <f t="shared" si="6"/>
        <v>2318762</v>
      </c>
      <c r="G84" s="5">
        <f t="shared" si="6"/>
        <v>4247349</v>
      </c>
      <c r="I84" s="28">
        <f>ROUND(E84/O84,5)</f>
        <v>2.282E-2</v>
      </c>
      <c r="J84" s="28">
        <f>'FAC Recalc'!AG143</f>
        <v>-4.3490000000000001E-2</v>
      </c>
      <c r="K84" s="28">
        <f>'Surcharge - Members - After'!AG164</f>
        <v>4.1189999999999997E-2</v>
      </c>
      <c r="M84" s="5">
        <f t="shared" ref="M84:N84" si="7">SUM(M54:M82)</f>
        <v>614774080</v>
      </c>
      <c r="N84" s="5">
        <f t="shared" si="7"/>
        <v>-53315589</v>
      </c>
      <c r="O84" s="5">
        <f>M84-N84</f>
        <v>668089669</v>
      </c>
    </row>
    <row r="85" spans="1:15" x14ac:dyDescent="0.2">
      <c r="A85" s="1">
        <f t="shared" si="5"/>
        <v>85</v>
      </c>
      <c r="C85" s="5"/>
      <c r="D85" s="5"/>
      <c r="E85" s="5"/>
      <c r="F85" s="5"/>
      <c r="G85" s="5"/>
      <c r="I85" s="28"/>
      <c r="J85" s="28"/>
      <c r="K85" s="28"/>
      <c r="M85" s="5"/>
      <c r="N85" s="5"/>
      <c r="O85" s="5"/>
    </row>
    <row r="86" spans="1:15" x14ac:dyDescent="0.2">
      <c r="A86" s="1">
        <f t="shared" si="5"/>
        <v>86</v>
      </c>
      <c r="B86" t="s">
        <v>179</v>
      </c>
      <c r="C86" s="5"/>
      <c r="D86" s="5"/>
      <c r="E86" s="5"/>
      <c r="F86" s="5"/>
      <c r="G86" s="5"/>
      <c r="I86" s="28"/>
      <c r="J86" s="28"/>
      <c r="K86" s="28"/>
      <c r="M86" s="5"/>
      <c r="N86" s="5"/>
      <c r="O86" s="5"/>
    </row>
    <row r="87" spans="1:15" x14ac:dyDescent="0.2">
      <c r="A87" s="1">
        <f t="shared" si="5"/>
        <v>87</v>
      </c>
      <c r="B87" t="s">
        <v>180</v>
      </c>
      <c r="C87" s="5">
        <f>C43</f>
        <v>4189920</v>
      </c>
      <c r="D87" s="5">
        <f t="shared" ref="D87:G87" si="8">D43</f>
        <v>24337536</v>
      </c>
      <c r="E87" s="5">
        <f t="shared" si="8"/>
        <v>28527456</v>
      </c>
      <c r="F87" s="5">
        <f t="shared" si="8"/>
        <v>-2482633</v>
      </c>
      <c r="G87" s="5">
        <f t="shared" si="8"/>
        <v>4377209</v>
      </c>
      <c r="I87" s="28"/>
      <c r="J87" s="28"/>
      <c r="K87" s="28"/>
      <c r="M87" s="5"/>
      <c r="N87" s="5"/>
      <c r="O87" s="5"/>
    </row>
    <row r="88" spans="1:15" x14ac:dyDescent="0.2">
      <c r="A88" s="1">
        <f t="shared" si="5"/>
        <v>88</v>
      </c>
      <c r="B88" t="s">
        <v>194</v>
      </c>
      <c r="C88" s="5"/>
      <c r="D88" s="5"/>
      <c r="E88" s="5"/>
      <c r="F88" s="5"/>
      <c r="G88" s="5"/>
      <c r="I88" s="28"/>
      <c r="J88" s="28"/>
      <c r="K88" s="28"/>
      <c r="M88" s="5"/>
      <c r="N88" s="5"/>
      <c r="O88" s="5"/>
    </row>
    <row r="89" spans="1:15" x14ac:dyDescent="0.2">
      <c r="A89" s="1">
        <f t="shared" si="5"/>
        <v>89</v>
      </c>
      <c r="B89" t="s">
        <v>195</v>
      </c>
      <c r="C89" s="29">
        <f>'Demand-Energy Alloc - After'!T121</f>
        <v>396167</v>
      </c>
      <c r="D89" s="29">
        <f>'Demand-Energy Alloc - After'!T123</f>
        <v>810830</v>
      </c>
      <c r="E89" s="29">
        <f>C89+D89</f>
        <v>1206997</v>
      </c>
      <c r="F89" s="29">
        <f>'FAC Recalc'!AL139</f>
        <v>158122</v>
      </c>
      <c r="G89" s="29">
        <f>-'Surcharge - Members - After'!AH156</f>
        <v>130401</v>
      </c>
      <c r="I89" s="28"/>
      <c r="J89" s="28"/>
      <c r="K89" s="28"/>
      <c r="M89" s="5"/>
      <c r="N89" s="5"/>
      <c r="O89" s="5"/>
    </row>
    <row r="90" spans="1:15" ht="15" thickBot="1" x14ac:dyDescent="0.25">
      <c r="A90" s="1">
        <f t="shared" si="5"/>
        <v>90</v>
      </c>
      <c r="B90" t="s">
        <v>183</v>
      </c>
      <c r="C90" s="30">
        <f>C87-C89</f>
        <v>3793753</v>
      </c>
      <c r="D90" s="30">
        <f>D87-D89</f>
        <v>23526706</v>
      </c>
      <c r="E90" s="30">
        <f>E87-E89</f>
        <v>27320459</v>
      </c>
      <c r="F90" s="30">
        <f t="shared" ref="F90" si="9">F87+F89</f>
        <v>-2324511</v>
      </c>
      <c r="G90" s="30">
        <f>G87-G89</f>
        <v>4246808</v>
      </c>
      <c r="I90" s="28"/>
      <c r="J90" s="28"/>
      <c r="K90" s="28"/>
      <c r="M90" s="5"/>
      <c r="N90" s="5"/>
      <c r="O90" s="5"/>
    </row>
    <row r="91" spans="1:15" ht="15" thickTop="1" x14ac:dyDescent="0.2">
      <c r="A91" s="1">
        <f t="shared" si="5"/>
        <v>91</v>
      </c>
      <c r="I91" s="28"/>
      <c r="J91" s="28"/>
      <c r="K91" s="28"/>
      <c r="M91" s="5"/>
      <c r="N91" s="5"/>
      <c r="O91" s="5"/>
    </row>
    <row r="92" spans="1:15" x14ac:dyDescent="0.2">
      <c r="A92" s="1">
        <f t="shared" si="5"/>
        <v>92</v>
      </c>
    </row>
    <row r="93" spans="1:15" ht="15" x14ac:dyDescent="0.25">
      <c r="A93" s="1">
        <f t="shared" si="5"/>
        <v>93</v>
      </c>
      <c r="B93" s="2" t="s">
        <v>207</v>
      </c>
    </row>
    <row r="94" spans="1:15" x14ac:dyDescent="0.2">
      <c r="A94" s="1">
        <f t="shared" si="5"/>
        <v>94</v>
      </c>
    </row>
    <row r="95" spans="1:15" x14ac:dyDescent="0.2">
      <c r="A95" s="1">
        <f t="shared" si="5"/>
        <v>95</v>
      </c>
      <c r="C95" s="34" t="s">
        <v>196</v>
      </c>
      <c r="D95" s="35"/>
      <c r="E95" s="36"/>
      <c r="F95" s="3" t="s">
        <v>176</v>
      </c>
      <c r="G95" s="3" t="s">
        <v>176</v>
      </c>
      <c r="I95" s="34" t="s">
        <v>185</v>
      </c>
      <c r="J95" s="35"/>
      <c r="K95" s="36"/>
      <c r="M95" s="34" t="s">
        <v>187</v>
      </c>
      <c r="N95" s="35"/>
      <c r="O95" s="36"/>
    </row>
    <row r="96" spans="1:15" ht="15" thickBot="1" x14ac:dyDescent="0.25">
      <c r="A96" s="1">
        <f t="shared" si="5"/>
        <v>96</v>
      </c>
      <c r="B96" s="4" t="s">
        <v>178</v>
      </c>
      <c r="C96" s="4" t="s">
        <v>40</v>
      </c>
      <c r="D96" s="4" t="s">
        <v>38</v>
      </c>
      <c r="E96" s="4" t="s">
        <v>76</v>
      </c>
      <c r="F96" s="4" t="s">
        <v>6</v>
      </c>
      <c r="G96" s="4" t="s">
        <v>177</v>
      </c>
      <c r="I96" s="27" t="s">
        <v>186</v>
      </c>
      <c r="J96" s="27" t="s">
        <v>6</v>
      </c>
      <c r="K96" s="27" t="s">
        <v>7</v>
      </c>
      <c r="M96" s="27" t="s">
        <v>188</v>
      </c>
      <c r="N96" s="27" t="s">
        <v>6</v>
      </c>
      <c r="O96" s="27" t="s">
        <v>189</v>
      </c>
    </row>
    <row r="97" spans="1:15" x14ac:dyDescent="0.2">
      <c r="A97" s="1">
        <f t="shared" si="5"/>
        <v>97</v>
      </c>
    </row>
    <row r="98" spans="1:15" x14ac:dyDescent="0.2">
      <c r="A98" s="1">
        <f t="shared" si="5"/>
        <v>98</v>
      </c>
      <c r="B98" t="s">
        <v>52</v>
      </c>
      <c r="C98" s="5">
        <f>+C54-C10</f>
        <v>-10796</v>
      </c>
      <c r="D98" s="5">
        <f>+D54-D10</f>
        <v>-21544</v>
      </c>
      <c r="E98" s="5">
        <f>+E54-E10</f>
        <v>-32340</v>
      </c>
      <c r="F98" s="5">
        <f>+F54-F10</f>
        <v>0</v>
      </c>
      <c r="G98" s="5">
        <f>+G54-G10</f>
        <v>18561</v>
      </c>
      <c r="I98" s="33">
        <f>+I54-I10</f>
        <v>-2.2900000000000004E-3</v>
      </c>
      <c r="J98" s="33">
        <f>+J54-J10</f>
        <v>0</v>
      </c>
      <c r="K98" s="33">
        <f>+K54-K10</f>
        <v>8.4599999999999953E-3</v>
      </c>
      <c r="M98" s="5">
        <f>+M54-M10</f>
        <v>0</v>
      </c>
      <c r="N98" s="5">
        <f>+N54-N10</f>
        <v>0</v>
      </c>
      <c r="O98" s="5">
        <f>+O54-O10</f>
        <v>0</v>
      </c>
    </row>
    <row r="99" spans="1:15" x14ac:dyDescent="0.2">
      <c r="A99" s="1">
        <f t="shared" si="5"/>
        <v>99</v>
      </c>
      <c r="I99" s="33"/>
      <c r="J99" s="33"/>
      <c r="K99" s="33"/>
    </row>
    <row r="100" spans="1:15" x14ac:dyDescent="0.2">
      <c r="A100" s="1">
        <f t="shared" si="5"/>
        <v>100</v>
      </c>
      <c r="B100" t="s">
        <v>53</v>
      </c>
      <c r="C100" s="5">
        <f>+C56-C12</f>
        <v>-52749</v>
      </c>
      <c r="D100" s="5">
        <f>+D56-D12</f>
        <v>-103044</v>
      </c>
      <c r="E100" s="5">
        <f>+E56-E12</f>
        <v>-155793</v>
      </c>
      <c r="F100" s="5">
        <f>+F56-F12</f>
        <v>0</v>
      </c>
      <c r="G100" s="5">
        <f>+G56-G12</f>
        <v>40887</v>
      </c>
      <c r="I100" s="33">
        <f>+I56-I12</f>
        <v>-1.8900000000000028E-3</v>
      </c>
      <c r="J100" s="33">
        <f>+J56-J12</f>
        <v>0</v>
      </c>
      <c r="K100" s="33">
        <f>+K56-K12</f>
        <v>3.1900000000000053E-3</v>
      </c>
      <c r="M100" s="5">
        <f>+M56-M12</f>
        <v>0</v>
      </c>
      <c r="N100" s="5">
        <f>+N56-N12</f>
        <v>0</v>
      </c>
      <c r="O100" s="5">
        <f>+O56-O12</f>
        <v>0</v>
      </c>
    </row>
    <row r="101" spans="1:15" x14ac:dyDescent="0.2">
      <c r="A101" s="1">
        <f t="shared" si="5"/>
        <v>101</v>
      </c>
      <c r="I101" s="33"/>
      <c r="J101" s="33"/>
      <c r="K101" s="33"/>
    </row>
    <row r="102" spans="1:15" x14ac:dyDescent="0.2">
      <c r="A102" s="1">
        <f t="shared" si="5"/>
        <v>102</v>
      </c>
      <c r="B102" t="s">
        <v>54</v>
      </c>
      <c r="C102" s="5">
        <f>+C58-C14</f>
        <v>-21407</v>
      </c>
      <c r="D102" s="5">
        <f>+D58-D14</f>
        <v>-42894</v>
      </c>
      <c r="E102" s="5">
        <f>+E58-E14</f>
        <v>-64301</v>
      </c>
      <c r="F102" s="5">
        <f>+F58-F14</f>
        <v>0</v>
      </c>
      <c r="G102" s="5">
        <f>+G58-G14</f>
        <v>39016</v>
      </c>
      <c r="I102" s="33">
        <f>+I58-I14</f>
        <v>-2.3299999999999987E-3</v>
      </c>
      <c r="J102" s="33">
        <f>+J58-J14</f>
        <v>0</v>
      </c>
      <c r="K102" s="33">
        <f>+K58-K14</f>
        <v>9.0600000000000055E-3</v>
      </c>
      <c r="M102" s="5">
        <f>+M58-M14</f>
        <v>0</v>
      </c>
      <c r="N102" s="5">
        <f>+N58-N14</f>
        <v>0</v>
      </c>
      <c r="O102" s="5">
        <f>+O58-O14</f>
        <v>0</v>
      </c>
    </row>
    <row r="103" spans="1:15" x14ac:dyDescent="0.2">
      <c r="A103" s="1">
        <f t="shared" si="5"/>
        <v>103</v>
      </c>
      <c r="I103" s="33"/>
      <c r="J103" s="33"/>
      <c r="K103" s="33"/>
    </row>
    <row r="104" spans="1:15" x14ac:dyDescent="0.2">
      <c r="A104" s="1">
        <f t="shared" si="5"/>
        <v>104</v>
      </c>
      <c r="B104" t="s">
        <v>55</v>
      </c>
      <c r="C104" s="5">
        <f>+C60-C16</f>
        <v>-21056</v>
      </c>
      <c r="D104" s="5">
        <f>+D60-D16</f>
        <v>-43881</v>
      </c>
      <c r="E104" s="5">
        <f>+E60-E16</f>
        <v>-64937</v>
      </c>
      <c r="F104" s="5">
        <f>+F60-F16</f>
        <v>0</v>
      </c>
      <c r="G104" s="5">
        <f>+G60-G16</f>
        <v>40443</v>
      </c>
      <c r="I104" s="33">
        <f>+I60-I16</f>
        <v>-2.3399999999999983E-3</v>
      </c>
      <c r="J104" s="33">
        <f>+J60-J16</f>
        <v>0</v>
      </c>
      <c r="K104" s="33">
        <f>+K60-K16</f>
        <v>9.3900000000000025E-3</v>
      </c>
      <c r="M104" s="5">
        <f>+M60-M16</f>
        <v>0</v>
      </c>
      <c r="N104" s="5">
        <f>+N60-N16</f>
        <v>0</v>
      </c>
      <c r="O104" s="5">
        <f>+O60-O16</f>
        <v>0</v>
      </c>
    </row>
    <row r="105" spans="1:15" x14ac:dyDescent="0.2">
      <c r="A105" s="1">
        <f t="shared" si="5"/>
        <v>105</v>
      </c>
      <c r="I105" s="33"/>
      <c r="J105" s="33"/>
      <c r="K105" s="33"/>
    </row>
    <row r="106" spans="1:15" x14ac:dyDescent="0.2">
      <c r="A106" s="1">
        <f t="shared" si="5"/>
        <v>106</v>
      </c>
      <c r="B106" t="s">
        <v>56</v>
      </c>
      <c r="C106" s="5">
        <f>+C62-C18</f>
        <v>-21049</v>
      </c>
      <c r="D106" s="5">
        <f>+D62-D18</f>
        <v>-44641</v>
      </c>
      <c r="E106" s="5">
        <f>+E62-E18</f>
        <v>-65690</v>
      </c>
      <c r="F106" s="5">
        <f>+F62-F18</f>
        <v>0</v>
      </c>
      <c r="G106" s="5">
        <f>+G62-G18</f>
        <v>30861</v>
      </c>
      <c r="I106" s="33">
        <f>+I62-I18</f>
        <v>-2.0900000000000016E-3</v>
      </c>
      <c r="J106" s="33">
        <f>+J62-J18</f>
        <v>0</v>
      </c>
      <c r="K106" s="33">
        <f>+K62-K18</f>
        <v>6.2800000000000009E-3</v>
      </c>
      <c r="M106" s="5">
        <f>+M62-M18</f>
        <v>0</v>
      </c>
      <c r="N106" s="5">
        <f>+N62-N18</f>
        <v>0</v>
      </c>
      <c r="O106" s="5">
        <f>+O62-O18</f>
        <v>0</v>
      </c>
    </row>
    <row r="107" spans="1:15" x14ac:dyDescent="0.2">
      <c r="A107" s="1">
        <f t="shared" si="5"/>
        <v>107</v>
      </c>
      <c r="I107" s="33"/>
      <c r="J107" s="33"/>
      <c r="K107" s="33"/>
    </row>
    <row r="108" spans="1:15" x14ac:dyDescent="0.2">
      <c r="A108" s="1">
        <f t="shared" si="5"/>
        <v>108</v>
      </c>
      <c r="B108" t="s">
        <v>134</v>
      </c>
      <c r="C108" s="5">
        <f>+C64-C20</f>
        <v>-20627</v>
      </c>
      <c r="D108" s="5">
        <f>+D64-D20</f>
        <v>-43378</v>
      </c>
      <c r="E108" s="5">
        <f>+E64-E20</f>
        <v>-64005</v>
      </c>
      <c r="F108" s="5">
        <f>+F64-F20</f>
        <v>0</v>
      </c>
      <c r="G108" s="5">
        <f>+G64-G20</f>
        <v>-92090</v>
      </c>
      <c r="I108" s="33">
        <f>+I64-I20</f>
        <v>-9.800000000000017E-4</v>
      </c>
      <c r="J108" s="33">
        <f>+J64-J20</f>
        <v>0</v>
      </c>
      <c r="K108" s="33">
        <f>+K64-K20</f>
        <v>-9.4900000000000123E-3</v>
      </c>
      <c r="M108" s="5">
        <f>+M64-M20</f>
        <v>0</v>
      </c>
      <c r="N108" s="5">
        <f>+N64-N20</f>
        <v>0</v>
      </c>
      <c r="O108" s="5">
        <f>+O64-O20</f>
        <v>0</v>
      </c>
    </row>
    <row r="109" spans="1:15" x14ac:dyDescent="0.2">
      <c r="A109" s="1">
        <f t="shared" si="5"/>
        <v>109</v>
      </c>
      <c r="I109" s="33"/>
      <c r="J109" s="33"/>
      <c r="K109" s="33"/>
    </row>
    <row r="110" spans="1:15" x14ac:dyDescent="0.2">
      <c r="A110" s="1">
        <f t="shared" si="5"/>
        <v>110</v>
      </c>
      <c r="B110" t="s">
        <v>58</v>
      </c>
      <c r="C110" s="5">
        <f>+C66-C22</f>
        <v>-10663</v>
      </c>
      <c r="D110" s="5">
        <f>+D66-D22</f>
        <v>-22025</v>
      </c>
      <c r="E110" s="5">
        <f>+E66-E22</f>
        <v>-32688</v>
      </c>
      <c r="F110" s="5">
        <f>+F66-F22</f>
        <v>0</v>
      </c>
      <c r="G110" s="5">
        <f>+G66-G22</f>
        <v>13852</v>
      </c>
      <c r="I110" s="33">
        <f>+I66-I22</f>
        <v>-2.0599999999999993E-3</v>
      </c>
      <c r="J110" s="33">
        <f>+J66-J22</f>
        <v>0</v>
      </c>
      <c r="K110" s="33">
        <f>+K66-K22</f>
        <v>5.6099999999999969E-3</v>
      </c>
      <c r="M110" s="5">
        <f>+M66-M22</f>
        <v>0</v>
      </c>
      <c r="N110" s="5">
        <f>+N66-N22</f>
        <v>0</v>
      </c>
      <c r="O110" s="5">
        <f>+O66-O22</f>
        <v>0</v>
      </c>
    </row>
    <row r="111" spans="1:15" x14ac:dyDescent="0.2">
      <c r="A111" s="1">
        <f t="shared" si="5"/>
        <v>111</v>
      </c>
      <c r="I111" s="33"/>
      <c r="J111" s="33"/>
      <c r="K111" s="33"/>
    </row>
    <row r="112" spans="1:15" x14ac:dyDescent="0.2">
      <c r="A112" s="1">
        <f t="shared" si="5"/>
        <v>112</v>
      </c>
      <c r="B112" t="s">
        <v>59</v>
      </c>
      <c r="C112" s="5">
        <f>+C68-C24</f>
        <v>-21132</v>
      </c>
      <c r="D112" s="5">
        <f>+D68-D24</f>
        <v>-39795</v>
      </c>
      <c r="E112" s="5">
        <f>+E68-E24</f>
        <v>-60927</v>
      </c>
      <c r="F112" s="5">
        <f>+F68-F24</f>
        <v>0</v>
      </c>
      <c r="G112" s="5">
        <f>+G68-G24</f>
        <v>23665</v>
      </c>
      <c r="I112" s="33">
        <f>+I68-I24</f>
        <v>-2.0599999999999993E-3</v>
      </c>
      <c r="J112" s="33">
        <f>+J68-J24</f>
        <v>0</v>
      </c>
      <c r="K112" s="33">
        <f>+K68-K24</f>
        <v>5.1199999999999996E-3</v>
      </c>
      <c r="M112" s="5">
        <f>+M68-M24</f>
        <v>0</v>
      </c>
      <c r="N112" s="5">
        <f>+N68-N24</f>
        <v>0</v>
      </c>
      <c r="O112" s="5">
        <f>+O68-O24</f>
        <v>0</v>
      </c>
    </row>
    <row r="113" spans="1:15" x14ac:dyDescent="0.2">
      <c r="A113" s="1">
        <f t="shared" si="5"/>
        <v>113</v>
      </c>
      <c r="I113" s="33"/>
      <c r="J113" s="33"/>
      <c r="K113" s="33"/>
    </row>
    <row r="114" spans="1:15" x14ac:dyDescent="0.2">
      <c r="A114" s="1">
        <f t="shared" si="5"/>
        <v>114</v>
      </c>
      <c r="B114" t="s">
        <v>60</v>
      </c>
      <c r="C114" s="5">
        <f>+C70-C26</f>
        <v>-40781</v>
      </c>
      <c r="D114" s="5">
        <f>+D70-D26</f>
        <v>-80301</v>
      </c>
      <c r="E114" s="5">
        <f>+E70-E26</f>
        <v>-121082</v>
      </c>
      <c r="F114" s="5">
        <f>+F70-F26</f>
        <v>0</v>
      </c>
      <c r="G114" s="5">
        <f>+G70-G26</f>
        <v>60046</v>
      </c>
      <c r="I114" s="33">
        <f>+I70-I26</f>
        <v>-2.1799999999999979E-3</v>
      </c>
      <c r="J114" s="33">
        <f>+J70-J26</f>
        <v>0</v>
      </c>
      <c r="K114" s="33">
        <f>+K70-K26</f>
        <v>6.9600000000000009E-3</v>
      </c>
      <c r="M114" s="5">
        <f>+M70-M26</f>
        <v>0</v>
      </c>
      <c r="N114" s="5">
        <f>+N70-N26</f>
        <v>0</v>
      </c>
      <c r="O114" s="5">
        <f>+O70-O26</f>
        <v>0</v>
      </c>
    </row>
    <row r="115" spans="1:15" x14ac:dyDescent="0.2">
      <c r="A115" s="1">
        <f t="shared" si="5"/>
        <v>115</v>
      </c>
      <c r="I115" s="33"/>
      <c r="J115" s="33"/>
      <c r="K115" s="33"/>
    </row>
    <row r="116" spans="1:15" x14ac:dyDescent="0.2">
      <c r="A116" s="1">
        <f t="shared" si="5"/>
        <v>116</v>
      </c>
      <c r="B116" t="s">
        <v>61</v>
      </c>
      <c r="C116" s="5">
        <f>+C72-C28</f>
        <v>-11860</v>
      </c>
      <c r="D116" s="5">
        <f>+D72-D28</f>
        <v>-24850</v>
      </c>
      <c r="E116" s="5">
        <f>+E72-E28</f>
        <v>-36710</v>
      </c>
      <c r="F116" s="5">
        <f>+F72-F28</f>
        <v>0</v>
      </c>
      <c r="G116" s="5">
        <f>+G72-G28</f>
        <v>22878</v>
      </c>
      <c r="I116" s="33">
        <f>+I72-I28</f>
        <v>-2.3400000000000018E-3</v>
      </c>
      <c r="J116" s="33">
        <f>+J72-J28</f>
        <v>0</v>
      </c>
      <c r="K116" s="33">
        <f>+K72-K28</f>
        <v>9.3499999999999972E-3</v>
      </c>
      <c r="M116" s="5">
        <f>+M72-M28</f>
        <v>0</v>
      </c>
      <c r="N116" s="5">
        <f>+N72-N28</f>
        <v>0</v>
      </c>
      <c r="O116" s="5">
        <f>+O72-O28</f>
        <v>0</v>
      </c>
    </row>
    <row r="117" spans="1:15" x14ac:dyDescent="0.2">
      <c r="A117" s="1">
        <f t="shared" si="5"/>
        <v>117</v>
      </c>
      <c r="I117" s="33"/>
      <c r="J117" s="33"/>
      <c r="K117" s="33"/>
    </row>
    <row r="118" spans="1:15" x14ac:dyDescent="0.2">
      <c r="A118" s="1">
        <f t="shared" si="5"/>
        <v>118</v>
      </c>
      <c r="B118" t="s">
        <v>62</v>
      </c>
      <c r="C118" s="5">
        <f>+C74-C30</f>
        <v>-30615</v>
      </c>
      <c r="D118" s="5">
        <f>+D74-D30</f>
        <v>-59932</v>
      </c>
      <c r="E118" s="5">
        <f>+E74-E30</f>
        <v>-90547</v>
      </c>
      <c r="F118" s="5">
        <f>+F74-F30</f>
        <v>0</v>
      </c>
      <c r="G118" s="5">
        <f>+G74-G30</f>
        <v>28155</v>
      </c>
      <c r="I118" s="33">
        <f>+I74-I30</f>
        <v>-1.9300000000000012E-3</v>
      </c>
      <c r="J118" s="33">
        <f>+J74-J30</f>
        <v>0</v>
      </c>
      <c r="K118" s="33">
        <f>+K74-K30</f>
        <v>3.8599999999999954E-3</v>
      </c>
      <c r="M118" s="5">
        <f>+M74-M30</f>
        <v>0</v>
      </c>
      <c r="N118" s="5">
        <f>+N74-N30</f>
        <v>0</v>
      </c>
      <c r="O118" s="5">
        <f>+O74-O30</f>
        <v>0</v>
      </c>
    </row>
    <row r="119" spans="1:15" x14ac:dyDescent="0.2">
      <c r="A119" s="1">
        <f t="shared" si="5"/>
        <v>119</v>
      </c>
      <c r="I119" s="33"/>
      <c r="J119" s="33"/>
      <c r="K119" s="33"/>
    </row>
    <row r="120" spans="1:15" x14ac:dyDescent="0.2">
      <c r="A120" s="1">
        <f t="shared" si="5"/>
        <v>120</v>
      </c>
      <c r="B120" t="s">
        <v>63</v>
      </c>
      <c r="C120" s="5">
        <f>+C76-C32</f>
        <v>-46882</v>
      </c>
      <c r="D120" s="5">
        <f>+D76-D32</f>
        <v>-103713</v>
      </c>
      <c r="E120" s="5">
        <f>+E76-E32</f>
        <v>-150595</v>
      </c>
      <c r="F120" s="5">
        <f>+F76-F32</f>
        <v>0</v>
      </c>
      <c r="G120" s="5">
        <f>+G76-G32</f>
        <v>-88012</v>
      </c>
      <c r="I120" s="33">
        <f>+I76-I32</f>
        <v>-1.2600000000000007E-3</v>
      </c>
      <c r="J120" s="33">
        <f>+J76-J32</f>
        <v>0</v>
      </c>
      <c r="K120" s="33">
        <f>+K76-K32</f>
        <v>-4.7699999999999999E-3</v>
      </c>
      <c r="M120" s="5">
        <f>+M76-M32</f>
        <v>0</v>
      </c>
      <c r="N120" s="5">
        <f>+N76-N32</f>
        <v>0</v>
      </c>
      <c r="O120" s="5">
        <f>+O76-O32</f>
        <v>0</v>
      </c>
    </row>
    <row r="121" spans="1:15" x14ac:dyDescent="0.2">
      <c r="A121" s="1">
        <f t="shared" si="5"/>
        <v>121</v>
      </c>
      <c r="I121" s="33"/>
      <c r="J121" s="33"/>
      <c r="K121" s="33"/>
    </row>
    <row r="122" spans="1:15" x14ac:dyDescent="0.2">
      <c r="A122" s="1">
        <f t="shared" si="5"/>
        <v>122</v>
      </c>
      <c r="B122" t="s">
        <v>64</v>
      </c>
      <c r="C122" s="5">
        <f>+C78-C34</f>
        <v>-49219</v>
      </c>
      <c r="D122" s="5">
        <f>+D78-D34</f>
        <v>-104021</v>
      </c>
      <c r="E122" s="5">
        <f>+E78-E34</f>
        <v>-153240</v>
      </c>
      <c r="F122" s="5">
        <f>+F78-F34</f>
        <v>0</v>
      </c>
      <c r="G122" s="5">
        <f>+G78-G34</f>
        <v>75382</v>
      </c>
      <c r="I122" s="33">
        <f>+I78-I34</f>
        <v>-2.1000000000000012E-3</v>
      </c>
      <c r="J122" s="33">
        <f>+J78-J34</f>
        <v>0</v>
      </c>
      <c r="K122" s="33">
        <f>+K78-K34</f>
        <v>6.6300000000000039E-3</v>
      </c>
      <c r="M122" s="5">
        <f>+M78-M34</f>
        <v>0</v>
      </c>
      <c r="N122" s="5">
        <f>+N78-N34</f>
        <v>0</v>
      </c>
      <c r="O122" s="5">
        <f>+O78-O34</f>
        <v>0</v>
      </c>
    </row>
    <row r="123" spans="1:15" x14ac:dyDescent="0.2">
      <c r="A123" s="1">
        <f t="shared" si="5"/>
        <v>123</v>
      </c>
      <c r="I123" s="33"/>
      <c r="J123" s="33"/>
      <c r="K123" s="33"/>
    </row>
    <row r="124" spans="1:15" x14ac:dyDescent="0.2">
      <c r="A124" s="1">
        <f t="shared" si="5"/>
        <v>124</v>
      </c>
      <c r="B124" t="s">
        <v>65</v>
      </c>
      <c r="C124" s="5">
        <f>+C80-C36</f>
        <v>-15523</v>
      </c>
      <c r="D124" s="5">
        <f>+D80-D36</f>
        <v>-32712</v>
      </c>
      <c r="E124" s="5">
        <f>+E80-E36</f>
        <v>-48235</v>
      </c>
      <c r="F124" s="5">
        <f>+F80-F36</f>
        <v>0</v>
      </c>
      <c r="G124" s="5">
        <f>+G80-G36</f>
        <v>-2646</v>
      </c>
      <c r="I124" s="33">
        <f>+I80-I36</f>
        <v>-1.5900000000000011E-3</v>
      </c>
      <c r="J124" s="33">
        <f>+J80-J36</f>
        <v>0</v>
      </c>
      <c r="K124" s="33">
        <f>+K80-K36</f>
        <v>-5.59999999999998E-4</v>
      </c>
      <c r="M124" s="5">
        <f>+M80-M36</f>
        <v>0</v>
      </c>
      <c r="N124" s="5">
        <f>+N80-N36</f>
        <v>0</v>
      </c>
      <c r="O124" s="5">
        <f>+O80-O36</f>
        <v>0</v>
      </c>
    </row>
    <row r="125" spans="1:15" x14ac:dyDescent="0.2">
      <c r="A125" s="1">
        <f t="shared" si="5"/>
        <v>125</v>
      </c>
      <c r="I125" s="33"/>
      <c r="J125" s="33"/>
      <c r="K125" s="33"/>
    </row>
    <row r="126" spans="1:15" x14ac:dyDescent="0.2">
      <c r="A126" s="1">
        <f t="shared" si="5"/>
        <v>126</v>
      </c>
      <c r="B126" t="s">
        <v>66</v>
      </c>
      <c r="C126" s="5">
        <f>+C82-C38</f>
        <v>-21819</v>
      </c>
      <c r="D126" s="5">
        <f>+D82-D38</f>
        <v>-44104</v>
      </c>
      <c r="E126" s="5">
        <f>+E82-E38</f>
        <v>-65923</v>
      </c>
      <c r="F126" s="5">
        <f>+F82-F38</f>
        <v>0</v>
      </c>
      <c r="G126" s="5">
        <f>+G82-G38</f>
        <v>24678</v>
      </c>
      <c r="I126" s="33">
        <f>+I82-I38</f>
        <v>-2.020000000000001E-3</v>
      </c>
      <c r="J126" s="33">
        <f>+J82-J38</f>
        <v>0</v>
      </c>
      <c r="K126" s="33">
        <f>+K82-K38</f>
        <v>5.0400000000000028E-3</v>
      </c>
      <c r="M126" s="5">
        <f>+M82-M38</f>
        <v>0</v>
      </c>
      <c r="N126" s="5">
        <f>+N82-N38</f>
        <v>0</v>
      </c>
      <c r="O126" s="5">
        <f>+O82-O38</f>
        <v>0</v>
      </c>
    </row>
    <row r="127" spans="1:15" x14ac:dyDescent="0.2">
      <c r="A127" s="1">
        <f t="shared" si="5"/>
        <v>127</v>
      </c>
      <c r="I127" s="33"/>
      <c r="J127" s="33"/>
      <c r="K127" s="33"/>
    </row>
    <row r="128" spans="1:15" x14ac:dyDescent="0.2">
      <c r="B128" t="s">
        <v>114</v>
      </c>
      <c r="C128" s="5">
        <f>+C84-C40</f>
        <v>-396178</v>
      </c>
      <c r="D128" s="5">
        <f>+D84-D40</f>
        <v>-810835</v>
      </c>
      <c r="E128" s="5">
        <f>+E84-E40</f>
        <v>-1207013</v>
      </c>
      <c r="F128" s="5">
        <f>+F84-F40</f>
        <v>0</v>
      </c>
      <c r="G128" s="5">
        <f>+G84-G40</f>
        <v>235676</v>
      </c>
      <c r="I128" s="33">
        <f>+I84-I40</f>
        <v>-1.8099999999999991E-3</v>
      </c>
      <c r="J128" s="33">
        <f>+J84-J40</f>
        <v>0</v>
      </c>
      <c r="K128" s="33">
        <f>+K84-K40</f>
        <v>2.2900000000000004E-3</v>
      </c>
      <c r="M128" s="5">
        <f>+M84-M40</f>
        <v>0</v>
      </c>
      <c r="N128" s="5">
        <f>+N84-N40</f>
        <v>0</v>
      </c>
      <c r="O128" s="5">
        <f>+O84-O40</f>
        <v>0</v>
      </c>
    </row>
    <row r="129" spans="2:15" x14ac:dyDescent="0.2">
      <c r="I129" s="33"/>
      <c r="J129" s="33"/>
      <c r="K129" s="33"/>
    </row>
    <row r="130" spans="2:15" x14ac:dyDescent="0.2">
      <c r="B130" t="s">
        <v>179</v>
      </c>
      <c r="C130" s="5">
        <f t="shared" ref="C130:G131" si="10">+C86-C42</f>
        <v>0</v>
      </c>
      <c r="D130" s="5">
        <f t="shared" si="10"/>
        <v>0</v>
      </c>
      <c r="E130" s="5">
        <f t="shared" si="10"/>
        <v>0</v>
      </c>
      <c r="F130" s="5">
        <f t="shared" si="10"/>
        <v>0</v>
      </c>
      <c r="G130" s="5">
        <f t="shared" si="10"/>
        <v>0</v>
      </c>
      <c r="I130" s="33">
        <f t="shared" ref="I130:K131" si="11">+I86-I42</f>
        <v>0</v>
      </c>
      <c r="J130" s="33">
        <f t="shared" si="11"/>
        <v>0</v>
      </c>
      <c r="K130" s="33">
        <f t="shared" si="11"/>
        <v>0</v>
      </c>
      <c r="M130" s="5">
        <f t="shared" ref="M130:O131" si="12">+M86-M42</f>
        <v>0</v>
      </c>
      <c r="N130" s="5">
        <f t="shared" si="12"/>
        <v>0</v>
      </c>
      <c r="O130" s="5">
        <f t="shared" si="12"/>
        <v>0</v>
      </c>
    </row>
    <row r="131" spans="2:15" x14ac:dyDescent="0.2">
      <c r="B131" t="s">
        <v>180</v>
      </c>
      <c r="C131" s="5">
        <f t="shared" si="10"/>
        <v>0</v>
      </c>
      <c r="D131" s="5">
        <f t="shared" si="10"/>
        <v>0</v>
      </c>
      <c r="E131" s="5">
        <f t="shared" si="10"/>
        <v>0</v>
      </c>
      <c r="F131" s="5">
        <f t="shared" si="10"/>
        <v>0</v>
      </c>
      <c r="G131" s="5">
        <f t="shared" si="10"/>
        <v>0</v>
      </c>
      <c r="I131" s="33">
        <f t="shared" si="11"/>
        <v>0</v>
      </c>
      <c r="J131" s="33">
        <f t="shared" si="11"/>
        <v>0</v>
      </c>
      <c r="K131" s="33">
        <f t="shared" si="11"/>
        <v>0</v>
      </c>
      <c r="M131" s="5">
        <f t="shared" si="12"/>
        <v>0</v>
      </c>
      <c r="N131" s="5">
        <f t="shared" si="12"/>
        <v>0</v>
      </c>
      <c r="O131" s="5">
        <f t="shared" si="12"/>
        <v>0</v>
      </c>
    </row>
    <row r="132" spans="2:15" x14ac:dyDescent="0.2">
      <c r="B132" t="s">
        <v>194</v>
      </c>
      <c r="C132" s="5"/>
      <c r="D132" s="5"/>
      <c r="E132" s="5"/>
      <c r="F132" s="5"/>
      <c r="G132" s="5"/>
      <c r="I132" s="33"/>
      <c r="J132" s="33"/>
      <c r="K132" s="33"/>
      <c r="M132" s="5"/>
      <c r="N132" s="5"/>
      <c r="O132" s="5"/>
    </row>
    <row r="133" spans="2:15" x14ac:dyDescent="0.2">
      <c r="B133" t="s">
        <v>195</v>
      </c>
      <c r="C133" s="5">
        <f t="shared" ref="C133:G134" si="13">+C89-C45</f>
        <v>396167</v>
      </c>
      <c r="D133" s="5">
        <f t="shared" si="13"/>
        <v>810830</v>
      </c>
      <c r="E133" s="5">
        <f t="shared" si="13"/>
        <v>1206997</v>
      </c>
      <c r="F133" s="5">
        <f t="shared" si="13"/>
        <v>0</v>
      </c>
      <c r="G133" s="5">
        <f t="shared" si="13"/>
        <v>-231809</v>
      </c>
      <c r="I133" s="33">
        <f t="shared" ref="I133:K134" si="14">+I89-I45</f>
        <v>0</v>
      </c>
      <c r="J133" s="33">
        <f t="shared" si="14"/>
        <v>0</v>
      </c>
      <c r="K133" s="33">
        <f t="shared" si="14"/>
        <v>0</v>
      </c>
      <c r="M133" s="5">
        <f t="shared" ref="M133:O134" si="15">+M89-M45</f>
        <v>0</v>
      </c>
      <c r="N133" s="5">
        <f t="shared" si="15"/>
        <v>0</v>
      </c>
      <c r="O133" s="5">
        <f t="shared" si="15"/>
        <v>0</v>
      </c>
    </row>
    <row r="134" spans="2:15" x14ac:dyDescent="0.2">
      <c r="B134" t="s">
        <v>183</v>
      </c>
      <c r="C134" s="5">
        <f t="shared" si="13"/>
        <v>-396167</v>
      </c>
      <c r="D134" s="5">
        <f t="shared" si="13"/>
        <v>-810830</v>
      </c>
      <c r="E134" s="5">
        <f t="shared" si="13"/>
        <v>-1206997</v>
      </c>
      <c r="F134" s="5">
        <f t="shared" si="13"/>
        <v>0</v>
      </c>
      <c r="G134" s="5">
        <f t="shared" si="13"/>
        <v>231809</v>
      </c>
      <c r="I134" s="33">
        <f t="shared" si="14"/>
        <v>0</v>
      </c>
      <c r="J134" s="33">
        <f t="shared" si="14"/>
        <v>0</v>
      </c>
      <c r="K134" s="33">
        <f t="shared" si="14"/>
        <v>0</v>
      </c>
      <c r="M134" s="5">
        <f t="shared" si="15"/>
        <v>0</v>
      </c>
      <c r="N134" s="5">
        <f t="shared" si="15"/>
        <v>0</v>
      </c>
      <c r="O134" s="5">
        <f t="shared" si="15"/>
        <v>0</v>
      </c>
    </row>
  </sheetData>
  <mergeCells count="9">
    <mergeCell ref="C95:E95"/>
    <mergeCell ref="I95:K95"/>
    <mergeCell ref="M95:O95"/>
    <mergeCell ref="C7:E7"/>
    <mergeCell ref="I7:K7"/>
    <mergeCell ref="M7:O7"/>
    <mergeCell ref="C51:E51"/>
    <mergeCell ref="I51:K51"/>
    <mergeCell ref="M51:O5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Billing Impact</vt:lpstr>
      <vt:lpstr>Calculation on 58MW</vt:lpstr>
      <vt:lpstr>FAC Recalc</vt:lpstr>
      <vt:lpstr>Demand-Energy Alloc - Before</vt:lpstr>
      <vt:lpstr>Demand-Energy Alloc - After</vt:lpstr>
      <vt:lpstr>Surcharge - Members - Before</vt:lpstr>
      <vt:lpstr>Surcharge - Members - After</vt:lpstr>
      <vt:lpstr>Summary</vt:lpstr>
    </vt:vector>
  </TitlesOfParts>
  <Company>East Kentucky Power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Scott</dc:creator>
  <cp:lastModifiedBy>Isaac Scott</cp:lastModifiedBy>
  <cp:lastPrinted>2018-02-01T20:27:46Z</cp:lastPrinted>
  <dcterms:created xsi:type="dcterms:W3CDTF">2017-12-18T14:55:43Z</dcterms:created>
  <dcterms:modified xsi:type="dcterms:W3CDTF">2018-04-25T11:55:07Z</dcterms:modified>
</cp:coreProperties>
</file>