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1650" activeTab="3"/>
  </bookViews>
  <sheets>
    <sheet name="Net Ben - Audit" sheetId="1" r:id="rId1"/>
    <sheet name="Net Ben - HEA Rebate" sheetId="2" r:id="rId2"/>
    <sheet name="Net Ben - LIHEF Replacement" sheetId="3" r:id="rId3"/>
    <sheet name="Summary" sheetId="4" r:id="rId4"/>
  </sheets>
  <definedNames/>
  <calcPr fullCalcOnLoad="1"/>
</workbook>
</file>

<file path=xl/sharedStrings.xml><?xml version="1.0" encoding="utf-8"?>
<sst xmlns="http://schemas.openxmlformats.org/spreadsheetml/2006/main" count="423" uniqueCount="57">
  <si>
    <t>Program Cost</t>
  </si>
  <si>
    <t>Savings</t>
  </si>
  <si>
    <t>Estimated</t>
  </si>
  <si>
    <t>Energy Audit Program</t>
  </si>
  <si>
    <t>Low-Income High Efficiency Furnace Rebate Program</t>
  </si>
  <si>
    <t>PV Factor</t>
  </si>
  <si>
    <t>Discount Rate</t>
  </si>
  <si>
    <t>Columbia Gas of Kentucky</t>
  </si>
  <si>
    <t>Participant Test</t>
  </si>
  <si>
    <t>Participant</t>
  </si>
  <si>
    <t>Costs</t>
  </si>
  <si>
    <t>MCF</t>
  </si>
  <si>
    <t>Benefits</t>
  </si>
  <si>
    <t>Gas</t>
  </si>
  <si>
    <t>PV</t>
  </si>
  <si>
    <t>Columbia Cost (Rebate):</t>
  </si>
  <si>
    <t>Number of Participants</t>
  </si>
  <si>
    <t>Estimated Rebate per Participant</t>
  </si>
  <si>
    <t>Estimated Participant Cost</t>
  </si>
  <si>
    <t>MCF Savings</t>
  </si>
  <si>
    <t>Assumptions:</t>
  </si>
  <si>
    <t>Estimated Consumer Cost per Participant</t>
  </si>
  <si>
    <t>Program Administrator Test</t>
  </si>
  <si>
    <t>Rate Impact Measure</t>
  </si>
  <si>
    <t>Total Resource Cost Test</t>
  </si>
  <si>
    <t>Lost Revenue</t>
  </si>
  <si>
    <t>Avoided</t>
  </si>
  <si>
    <t>Avoided Costs</t>
  </si>
  <si>
    <t>Implementation</t>
  </si>
  <si>
    <t>and Admin</t>
  </si>
  <si>
    <t>Cost</t>
  </si>
  <si>
    <t>Billing</t>
  </si>
  <si>
    <t>Rate</t>
  </si>
  <si>
    <t>Total Resource Test</t>
  </si>
  <si>
    <t>Audit</t>
  </si>
  <si>
    <t>Program</t>
  </si>
  <si>
    <t>High</t>
  </si>
  <si>
    <t>Efficiency</t>
  </si>
  <si>
    <t>Low Income</t>
  </si>
  <si>
    <t>High Efficiency</t>
  </si>
  <si>
    <t>Furnace Replacement</t>
  </si>
  <si>
    <t>Participant Costs</t>
  </si>
  <si>
    <t>Participant Benefits</t>
  </si>
  <si>
    <t>Program Costs</t>
  </si>
  <si>
    <t>Program Administrator Cost</t>
  </si>
  <si>
    <t>Cost/Benefit Test Ratios</t>
  </si>
  <si>
    <t>All</t>
  </si>
  <si>
    <t>Programs</t>
  </si>
  <si>
    <t>California Standard Tests</t>
  </si>
  <si>
    <t>Margin</t>
  </si>
  <si>
    <t>Retained</t>
  </si>
  <si>
    <t>Assumed 2% Annual Customer Retentions for Furnace Rebates and Replacements</t>
  </si>
  <si>
    <t>High Efficiency Appliance Rebate Program</t>
  </si>
  <si>
    <t>Appliance Rebate</t>
  </si>
  <si>
    <t>PV Participant</t>
  </si>
  <si>
    <t>Columbia Cost:</t>
  </si>
  <si>
    <t>Estimated Columbia Cost per Participant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</si>
</sst>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.0000_);_(* \(#,##0.0000\);_(* &quot;-&quot;??_);_(@_)"/>
    <numFmt numFmtId="166" formatCode="_(* #,##0.000000_);_(* \(#,##0.0000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_(&quot;$&quot;* #,##0.0000_);_(&quot;$&quot;* \(#,##0.0000\);_(&quot;$&quot;* &quot;-&quot;??_);_(@_)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_(* #,##0.00000_);_(* \(#,##0.00000\);_(* &quot;-&quot;??_);_(@_)"/>
    <numFmt numFmtId="173" formatCode="0.0%"/>
    <numFmt numFmtId="174" formatCode="_(&quot;$&quot;* #,##0.0_);_(&quot;$&quot;* \(#,##0.0\);_(&quot;$&quot;* &quot;-&quot;??_);_(@_)"/>
    <numFmt numFmtId="175" formatCode="_(* #,##0.0_);_(* \(#,##0.0\);_(* &quot;-&quot;?_);_(@_)"/>
    <numFmt numFmtId="176" formatCode="0.00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_(* #,##0.000_);_(* \(#,##0.000\);_(* &quot;-&quot;?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43" fontId="0" fillId="0" borderId="0" xfId="42" applyNumberFormat="1" applyFont="1" applyAlignment="1">
      <alignment/>
    </xf>
    <xf numFmtId="0" fontId="38" fillId="0" borderId="0" xfId="0" applyFont="1" applyAlignment="1">
      <alignment horizontal="right"/>
    </xf>
    <xf numFmtId="167" fontId="0" fillId="0" borderId="0" xfId="44" applyNumberFormat="1" applyFont="1" applyAlignment="1">
      <alignment/>
    </xf>
    <xf numFmtId="0" fontId="0" fillId="0" borderId="0" xfId="0" applyAlignment="1" quotePrefix="1">
      <alignment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38" fillId="0" borderId="0" xfId="0" applyFont="1" applyAlignment="1">
      <alignment/>
    </xf>
    <xf numFmtId="167" fontId="0" fillId="0" borderId="0" xfId="44" applyNumberFormat="1" applyFont="1" applyAlignment="1">
      <alignment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/>
    </xf>
    <xf numFmtId="168" fontId="0" fillId="0" borderId="0" xfId="42" applyNumberFormat="1" applyFont="1" applyAlignment="1">
      <alignment/>
    </xf>
    <xf numFmtId="10" fontId="0" fillId="0" borderId="0" xfId="59" applyNumberFormat="1" applyFont="1" applyBorder="1" applyAlignment="1">
      <alignment/>
    </xf>
    <xf numFmtId="168" fontId="0" fillId="0" borderId="0" xfId="42" applyNumberFormat="1" applyFont="1" applyFill="1" applyBorder="1" applyAlignment="1">
      <alignment/>
    </xf>
    <xf numFmtId="167" fontId="0" fillId="0" borderId="0" xfId="44" applyNumberFormat="1" applyFont="1" applyFill="1" applyAlignment="1">
      <alignment/>
    </xf>
    <xf numFmtId="168" fontId="0" fillId="0" borderId="0" xfId="42" applyNumberFormat="1" applyFont="1" applyFill="1" applyAlignment="1">
      <alignment/>
    </xf>
    <xf numFmtId="10" fontId="0" fillId="0" borderId="0" xfId="59" applyNumberFormat="1" applyFont="1" applyFill="1" applyAlignment="1">
      <alignment/>
    </xf>
    <xf numFmtId="167" fontId="0" fillId="0" borderId="0" xfId="44" applyNumberFormat="1" applyFont="1" applyFill="1" applyBorder="1" applyAlignment="1">
      <alignment/>
    </xf>
    <xf numFmtId="10" fontId="0" fillId="0" borderId="0" xfId="59" applyNumberFormat="1" applyFont="1" applyFill="1" applyBorder="1" applyAlignment="1">
      <alignment/>
    </xf>
    <xf numFmtId="43" fontId="0" fillId="0" borderId="0" xfId="0" applyNumberFormat="1" applyFill="1" applyAlignment="1">
      <alignment/>
    </xf>
    <xf numFmtId="168" fontId="0" fillId="0" borderId="0" xfId="42" applyNumberFormat="1" applyFont="1" applyFill="1" applyAlignment="1">
      <alignment horizontal="right"/>
    </xf>
    <xf numFmtId="43" fontId="0" fillId="0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">
      <selection activeCell="G45" sqref="G45"/>
    </sheetView>
  </sheetViews>
  <sheetFormatPr defaultColWidth="9.140625" defaultRowHeight="15"/>
  <cols>
    <col min="2" max="2" width="14.00390625" style="0" customWidth="1"/>
    <col min="3" max="3" width="14.140625" style="0" customWidth="1"/>
    <col min="4" max="4" width="14.28125" style="0" customWidth="1"/>
    <col min="5" max="5" width="14.140625" style="0" customWidth="1"/>
    <col min="6" max="6" width="13.8515625" style="0" customWidth="1"/>
    <col min="7" max="7" width="15.00390625" style="0" customWidth="1"/>
    <col min="8" max="8" width="18.140625" style="0" customWidth="1"/>
    <col min="10" max="10" width="13.8515625" style="0" customWidth="1"/>
    <col min="11" max="11" width="12.421875" style="0" customWidth="1"/>
  </cols>
  <sheetData>
    <row r="1" spans="1:2" ht="15.75">
      <c r="A1" s="3" t="s">
        <v>7</v>
      </c>
      <c r="B1" s="3"/>
    </row>
    <row r="2" spans="1:2" ht="15.75">
      <c r="A2" s="3" t="s">
        <v>3</v>
      </c>
      <c r="B2" s="3"/>
    </row>
    <row r="3" ht="15">
      <c r="A3" t="s">
        <v>8</v>
      </c>
    </row>
    <row r="5" ht="15">
      <c r="A5" t="s">
        <v>20</v>
      </c>
    </row>
    <row r="7" spans="1:6" ht="15">
      <c r="A7" t="s">
        <v>15</v>
      </c>
      <c r="D7" s="21">
        <v>200000</v>
      </c>
      <c r="F7" s="6"/>
    </row>
    <row r="8" spans="1:6" ht="15">
      <c r="A8" t="s">
        <v>16</v>
      </c>
      <c r="D8" s="22">
        <f>D7/250</f>
        <v>800</v>
      </c>
      <c r="F8" s="6"/>
    </row>
    <row r="9" spans="1:4" ht="15">
      <c r="A9" t="s">
        <v>17</v>
      </c>
      <c r="D9" s="21">
        <f>D7/D8</f>
        <v>250</v>
      </c>
    </row>
    <row r="10" spans="1:4" ht="15">
      <c r="A10" t="s">
        <v>21</v>
      </c>
      <c r="D10" s="21">
        <v>400</v>
      </c>
    </row>
    <row r="11" spans="1:4" ht="15">
      <c r="A11" t="s">
        <v>18</v>
      </c>
      <c r="D11" s="21">
        <f>D8*D10</f>
        <v>320000</v>
      </c>
    </row>
    <row r="12" spans="1:4" ht="15">
      <c r="A12" t="s">
        <v>6</v>
      </c>
      <c r="D12" s="23">
        <v>0.065</v>
      </c>
    </row>
    <row r="13" spans="1:4" ht="15">
      <c r="A13" t="s">
        <v>19</v>
      </c>
      <c r="D13" s="22">
        <f>D8*55*0.1</f>
        <v>4400</v>
      </c>
    </row>
    <row r="14" ht="15">
      <c r="D14" s="8"/>
    </row>
    <row r="15" ht="15">
      <c r="D15" s="8"/>
    </row>
    <row r="17" spans="2:7" ht="15">
      <c r="B17" s="9"/>
      <c r="C17" s="9"/>
      <c r="D17" s="9" t="s">
        <v>14</v>
      </c>
      <c r="E17" s="9" t="s">
        <v>2</v>
      </c>
      <c r="F17" s="9"/>
      <c r="G17" s="9"/>
    </row>
    <row r="18" spans="2:8" ht="15">
      <c r="B18" s="9"/>
      <c r="C18" s="9" t="s">
        <v>9</v>
      </c>
      <c r="D18" s="9" t="s">
        <v>9</v>
      </c>
      <c r="E18" s="9" t="s">
        <v>11</v>
      </c>
      <c r="F18" s="9" t="s">
        <v>13</v>
      </c>
      <c r="G18" s="9" t="s">
        <v>9</v>
      </c>
      <c r="H18" s="9" t="s">
        <v>54</v>
      </c>
    </row>
    <row r="19" spans="2:8" ht="15">
      <c r="B19" s="9" t="s">
        <v>5</v>
      </c>
      <c r="C19" s="9" t="s">
        <v>10</v>
      </c>
      <c r="D19" s="9" t="s">
        <v>10</v>
      </c>
      <c r="E19" s="9" t="s">
        <v>1</v>
      </c>
      <c r="F19" s="9" t="s">
        <v>10</v>
      </c>
      <c r="G19" s="9" t="s">
        <v>12</v>
      </c>
      <c r="H19" s="9" t="s">
        <v>12</v>
      </c>
    </row>
    <row r="21" spans="1:4" ht="15">
      <c r="A21">
        <v>0</v>
      </c>
      <c r="B21">
        <f>1/(1+$D$12)^A21</f>
        <v>1</v>
      </c>
      <c r="C21" s="6">
        <f>D11</f>
        <v>320000</v>
      </c>
      <c r="D21" s="6">
        <f>B21*C21</f>
        <v>320000</v>
      </c>
    </row>
    <row r="22" spans="1:8" ht="15">
      <c r="A22">
        <v>1</v>
      </c>
      <c r="B22">
        <f aca="true" t="shared" si="0" ref="B22:B41">1/(1+$D$12)^A22</f>
        <v>0.9389671361502347</v>
      </c>
      <c r="D22" s="6">
        <f aca="true" t="shared" si="1" ref="D22:D41">B22*C22</f>
        <v>0</v>
      </c>
      <c r="E22" s="1">
        <f>$D$13</f>
        <v>4400</v>
      </c>
      <c r="F22" s="4">
        <v>8.9685</v>
      </c>
      <c r="G22" s="5">
        <f>E22*F22</f>
        <v>39461.4</v>
      </c>
      <c r="H22" s="26">
        <f>G22*B22</f>
        <v>37052.957746478874</v>
      </c>
    </row>
    <row r="23" spans="1:8" ht="15">
      <c r="A23">
        <v>2</v>
      </c>
      <c r="B23">
        <f t="shared" si="0"/>
        <v>0.8816592827701736</v>
      </c>
      <c r="D23" s="6">
        <f t="shared" si="1"/>
        <v>0</v>
      </c>
      <c r="E23" s="1">
        <f aca="true" t="shared" si="2" ref="E23:E41">$D$13</f>
        <v>4400</v>
      </c>
      <c r="F23" s="12">
        <f aca="true" t="shared" si="3" ref="F23:F41">F22*1.022</f>
        <v>9.165807000000001</v>
      </c>
      <c r="G23" s="5">
        <f aca="true" t="shared" si="4" ref="G23:G41">E23*F23</f>
        <v>40329.550800000005</v>
      </c>
      <c r="H23" s="26">
        <f aca="true" t="shared" si="5" ref="H23:H41">G23*B23</f>
        <v>35556.922832771284</v>
      </c>
    </row>
    <row r="24" spans="1:8" ht="15">
      <c r="A24">
        <v>3</v>
      </c>
      <c r="B24">
        <f t="shared" si="0"/>
        <v>0.8278490918029799</v>
      </c>
      <c r="D24" s="6">
        <f t="shared" si="1"/>
        <v>0</v>
      </c>
      <c r="E24" s="1">
        <f t="shared" si="2"/>
        <v>4400</v>
      </c>
      <c r="F24" s="12">
        <f t="shared" si="3"/>
        <v>9.367454754</v>
      </c>
      <c r="G24" s="5">
        <f t="shared" si="4"/>
        <v>41216.800917600005</v>
      </c>
      <c r="H24" s="26">
        <f t="shared" si="5"/>
        <v>34121.29120665939</v>
      </c>
    </row>
    <row r="25" spans="1:8" ht="15">
      <c r="A25">
        <v>4</v>
      </c>
      <c r="B25">
        <f t="shared" si="0"/>
        <v>0.777323090894817</v>
      </c>
      <c r="D25" s="6">
        <f t="shared" si="1"/>
        <v>0</v>
      </c>
      <c r="E25" s="1">
        <f t="shared" si="2"/>
        <v>4400</v>
      </c>
      <c r="F25" s="12">
        <f t="shared" si="3"/>
        <v>9.573538758588</v>
      </c>
      <c r="G25" s="5">
        <f t="shared" si="4"/>
        <v>42123.5705377872</v>
      </c>
      <c r="H25" s="26">
        <f t="shared" si="5"/>
        <v>32743.624049958595</v>
      </c>
    </row>
    <row r="26" spans="1:8" ht="15">
      <c r="A26">
        <v>5</v>
      </c>
      <c r="B26">
        <f t="shared" si="0"/>
        <v>0.7298808365209549</v>
      </c>
      <c r="D26" s="6">
        <f t="shared" si="1"/>
        <v>0</v>
      </c>
      <c r="E26" s="1">
        <f t="shared" si="2"/>
        <v>4400</v>
      </c>
      <c r="F26" s="12">
        <f t="shared" si="3"/>
        <v>9.784156611276936</v>
      </c>
      <c r="G26" s="5">
        <f t="shared" si="4"/>
        <v>43050.28908961852</v>
      </c>
      <c r="H26" s="26">
        <f t="shared" si="5"/>
        <v>31421.581013199706</v>
      </c>
    </row>
    <row r="27" spans="1:8" ht="15">
      <c r="A27">
        <v>6</v>
      </c>
      <c r="B27">
        <f t="shared" si="0"/>
        <v>0.6853341187990187</v>
      </c>
      <c r="D27" s="6">
        <f t="shared" si="1"/>
        <v>0</v>
      </c>
      <c r="E27" s="1">
        <f t="shared" si="2"/>
        <v>4400</v>
      </c>
      <c r="F27" s="12">
        <f t="shared" si="3"/>
        <v>9.999408056725029</v>
      </c>
      <c r="G27" s="5">
        <f t="shared" si="4"/>
        <v>43997.39544959013</v>
      </c>
      <c r="H27" s="26">
        <f t="shared" si="5"/>
        <v>30152.916239896807</v>
      </c>
    </row>
    <row r="28" spans="1:8" ht="15">
      <c r="A28">
        <v>7</v>
      </c>
      <c r="B28">
        <f t="shared" si="0"/>
        <v>0.6435062148347594</v>
      </c>
      <c r="D28" s="6">
        <f t="shared" si="1"/>
        <v>0</v>
      </c>
      <c r="E28" s="1">
        <f t="shared" si="2"/>
        <v>4400</v>
      </c>
      <c r="F28" s="12">
        <f t="shared" si="3"/>
        <v>10.21939503397298</v>
      </c>
      <c r="G28" s="5">
        <f t="shared" si="4"/>
        <v>44965.33814948111</v>
      </c>
      <c r="H28" s="26">
        <f t="shared" si="5"/>
        <v>28935.474551337596</v>
      </c>
    </row>
    <row r="29" spans="1:8" ht="15">
      <c r="A29">
        <v>8</v>
      </c>
      <c r="B29">
        <f t="shared" si="0"/>
        <v>0.6042311876382719</v>
      </c>
      <c r="D29" s="6">
        <f t="shared" si="1"/>
        <v>0</v>
      </c>
      <c r="E29" s="1">
        <f t="shared" si="2"/>
        <v>4400</v>
      </c>
      <c r="F29" s="12">
        <f t="shared" si="3"/>
        <v>10.444221724720386</v>
      </c>
      <c r="G29" s="5">
        <f t="shared" si="4"/>
        <v>45954.575588769694</v>
      </c>
      <c r="H29" s="26">
        <f t="shared" si="5"/>
        <v>27767.187785415048</v>
      </c>
    </row>
    <row r="30" spans="1:8" ht="15">
      <c r="A30">
        <v>9</v>
      </c>
      <c r="B30">
        <f t="shared" si="0"/>
        <v>0.5673532278293633</v>
      </c>
      <c r="D30" s="6">
        <f t="shared" si="1"/>
        <v>0</v>
      </c>
      <c r="E30" s="1">
        <f t="shared" si="2"/>
        <v>4400</v>
      </c>
      <c r="F30" s="12">
        <f t="shared" si="3"/>
        <v>10.673994602664234</v>
      </c>
      <c r="G30" s="5">
        <f t="shared" si="4"/>
        <v>46965.576251722625</v>
      </c>
      <c r="H30" s="26">
        <f t="shared" si="5"/>
        <v>26646.07128328092</v>
      </c>
    </row>
    <row r="31" spans="1:8" ht="15">
      <c r="A31">
        <v>10</v>
      </c>
      <c r="B31">
        <f t="shared" si="0"/>
        <v>0.5327260355205289</v>
      </c>
      <c r="D31" s="6">
        <f t="shared" si="1"/>
        <v>0</v>
      </c>
      <c r="E31" s="1">
        <f t="shared" si="2"/>
        <v>4400</v>
      </c>
      <c r="F31" s="12">
        <f t="shared" si="3"/>
        <v>10.908822483922847</v>
      </c>
      <c r="G31" s="5">
        <f t="shared" si="4"/>
        <v>47998.81892926053</v>
      </c>
      <c r="H31" s="26">
        <f t="shared" si="5"/>
        <v>25570.22051785268</v>
      </c>
    </row>
    <row r="32" spans="1:8" ht="15">
      <c r="A32">
        <v>11</v>
      </c>
      <c r="B32">
        <f t="shared" si="0"/>
        <v>0.5002122399253793</v>
      </c>
      <c r="D32" s="6">
        <f t="shared" si="1"/>
        <v>0</v>
      </c>
      <c r="E32" s="1">
        <f t="shared" si="2"/>
        <v>4400</v>
      </c>
      <c r="F32" s="12">
        <f t="shared" si="3"/>
        <v>11.14881657856915</v>
      </c>
      <c r="G32" s="5">
        <f t="shared" si="4"/>
        <v>49054.79294570426</v>
      </c>
      <c r="H32" s="26">
        <f t="shared" si="5"/>
        <v>24537.807858446427</v>
      </c>
    </row>
    <row r="33" spans="1:8" ht="15">
      <c r="A33">
        <v>12</v>
      </c>
      <c r="B33">
        <f t="shared" si="0"/>
        <v>0.4696828543900276</v>
      </c>
      <c r="D33" s="6">
        <f t="shared" si="1"/>
        <v>0</v>
      </c>
      <c r="E33" s="1">
        <f t="shared" si="2"/>
        <v>4400</v>
      </c>
      <c r="F33" s="12">
        <f t="shared" si="3"/>
        <v>11.394090543297672</v>
      </c>
      <c r="G33" s="5">
        <f t="shared" si="4"/>
        <v>50133.998390509754</v>
      </c>
      <c r="H33" s="26">
        <f t="shared" si="5"/>
        <v>23547.07946603967</v>
      </c>
    </row>
    <row r="34" spans="1:8" ht="15">
      <c r="A34">
        <v>13</v>
      </c>
      <c r="B34">
        <f t="shared" si="0"/>
        <v>0.4410167646854719</v>
      </c>
      <c r="D34" s="6">
        <f t="shared" si="1"/>
        <v>0</v>
      </c>
      <c r="E34" s="1">
        <f t="shared" si="2"/>
        <v>4400</v>
      </c>
      <c r="F34" s="12">
        <f t="shared" si="3"/>
        <v>11.64476053525022</v>
      </c>
      <c r="G34" s="5">
        <f t="shared" si="4"/>
        <v>51236.94635510097</v>
      </c>
      <c r="H34" s="26">
        <f t="shared" si="5"/>
        <v>22596.35231388971</v>
      </c>
    </row>
    <row r="35" spans="1:8" ht="15">
      <c r="A35">
        <v>14</v>
      </c>
      <c r="B35">
        <f t="shared" si="0"/>
        <v>0.41410024853095956</v>
      </c>
      <c r="D35" s="6">
        <f t="shared" si="1"/>
        <v>0</v>
      </c>
      <c r="E35" s="1">
        <f t="shared" si="2"/>
        <v>4400</v>
      </c>
      <c r="F35" s="12">
        <f t="shared" si="3"/>
        <v>11.900945267025726</v>
      </c>
      <c r="G35" s="5">
        <f t="shared" si="4"/>
        <v>52364.15917491319</v>
      </c>
      <c r="H35" s="26">
        <f t="shared" si="5"/>
        <v>21684.01132844628</v>
      </c>
    </row>
    <row r="36" spans="1:8" ht="15">
      <c r="A36">
        <v>15</v>
      </c>
      <c r="B36">
        <f t="shared" si="0"/>
        <v>0.38882652444221566</v>
      </c>
      <c r="D36" s="6">
        <f t="shared" si="1"/>
        <v>0</v>
      </c>
      <c r="E36" s="1">
        <f t="shared" si="2"/>
        <v>4400</v>
      </c>
      <c r="F36" s="12">
        <f t="shared" si="3"/>
        <v>12.162766062900292</v>
      </c>
      <c r="G36" s="5">
        <f t="shared" si="4"/>
        <v>53516.170676761285</v>
      </c>
      <c r="H36" s="26">
        <f t="shared" si="5"/>
        <v>20808.506645701505</v>
      </c>
    </row>
    <row r="37" spans="1:8" ht="15">
      <c r="A37">
        <v>16</v>
      </c>
      <c r="B37">
        <f t="shared" si="0"/>
        <v>0.3650953281147565</v>
      </c>
      <c r="D37" s="6">
        <f t="shared" si="1"/>
        <v>0</v>
      </c>
      <c r="E37" s="1">
        <f t="shared" si="2"/>
        <v>4400</v>
      </c>
      <c r="F37" s="12">
        <f t="shared" si="3"/>
        <v>12.4303469162841</v>
      </c>
      <c r="G37" s="5">
        <f t="shared" si="4"/>
        <v>54693.52643165004</v>
      </c>
      <c r="H37" s="26">
        <f t="shared" si="5"/>
        <v>19968.35097831638</v>
      </c>
    </row>
    <row r="38" spans="1:8" ht="15">
      <c r="A38">
        <v>17</v>
      </c>
      <c r="B38">
        <f t="shared" si="0"/>
        <v>0.34281251466174323</v>
      </c>
      <c r="D38" s="6">
        <f t="shared" si="1"/>
        <v>0</v>
      </c>
      <c r="E38" s="1">
        <f t="shared" si="2"/>
        <v>4400</v>
      </c>
      <c r="F38" s="12">
        <f t="shared" si="3"/>
        <v>12.70381454844235</v>
      </c>
      <c r="G38" s="5">
        <f t="shared" si="4"/>
        <v>55896.784013146345</v>
      </c>
      <c r="H38" s="26">
        <f t="shared" si="5"/>
        <v>19162.117089051026</v>
      </c>
    </row>
    <row r="39" spans="1:8" ht="15">
      <c r="A39">
        <v>18</v>
      </c>
      <c r="B39">
        <f t="shared" si="0"/>
        <v>0.3218896851283974</v>
      </c>
      <c r="D39" s="6">
        <f t="shared" si="1"/>
        <v>0</v>
      </c>
      <c r="E39" s="1">
        <f t="shared" si="2"/>
        <v>4400</v>
      </c>
      <c r="F39" s="12">
        <f t="shared" si="3"/>
        <v>12.983298468508082</v>
      </c>
      <c r="G39" s="5">
        <f t="shared" si="4"/>
        <v>57126.51326143556</v>
      </c>
      <c r="H39" s="26">
        <f t="shared" si="5"/>
        <v>18388.43536620671</v>
      </c>
    </row>
    <row r="40" spans="1:8" ht="15">
      <c r="A40">
        <v>19</v>
      </c>
      <c r="B40">
        <f t="shared" si="0"/>
        <v>0.30224383580131214</v>
      </c>
      <c r="D40" s="6">
        <f t="shared" si="1"/>
        <v>0</v>
      </c>
      <c r="E40" s="1">
        <f t="shared" si="2"/>
        <v>4400</v>
      </c>
      <c r="F40" s="12">
        <f t="shared" si="3"/>
        <v>13.26893103481526</v>
      </c>
      <c r="G40" s="5">
        <f t="shared" si="4"/>
        <v>58383.296553187145</v>
      </c>
      <c r="H40" s="26">
        <f t="shared" si="5"/>
        <v>17645.991496960807</v>
      </c>
    </row>
    <row r="41" spans="1:8" ht="15">
      <c r="A41">
        <v>20</v>
      </c>
      <c r="B41">
        <f t="shared" si="0"/>
        <v>0.2837970289214199</v>
      </c>
      <c r="D41" s="6">
        <f t="shared" si="1"/>
        <v>0</v>
      </c>
      <c r="E41" s="1">
        <f t="shared" si="2"/>
        <v>4400</v>
      </c>
      <c r="F41" s="12">
        <f t="shared" si="3"/>
        <v>13.560847517581196</v>
      </c>
      <c r="G41" s="5">
        <f t="shared" si="4"/>
        <v>59667.72907735727</v>
      </c>
      <c r="H41" s="26">
        <f t="shared" si="5"/>
        <v>16933.524234642206</v>
      </c>
    </row>
    <row r="43" spans="4:8" ht="15">
      <c r="D43" s="6">
        <f>SUM(D21:D42)</f>
        <v>320000</v>
      </c>
      <c r="G43" s="6">
        <f>SUM(G21:G42)</f>
        <v>978137.2325935956</v>
      </c>
      <c r="H43" s="6">
        <f>SUM(H21:H42)</f>
        <v>515240.4240045517</v>
      </c>
    </row>
    <row r="46" spans="3:4" ht="15">
      <c r="C46" s="11"/>
      <c r="D46" s="10"/>
    </row>
    <row r="47" spans="3:4" ht="15">
      <c r="C47" s="11"/>
      <c r="D47" s="4"/>
    </row>
    <row r="58" spans="1:2" ht="15.75">
      <c r="A58" s="3" t="s">
        <v>7</v>
      </c>
      <c r="B58" s="3"/>
    </row>
    <row r="59" spans="1:2" ht="15.75">
      <c r="A59" s="3" t="s">
        <v>3</v>
      </c>
      <c r="B59" s="3"/>
    </row>
    <row r="60" ht="15">
      <c r="A60" t="s">
        <v>44</v>
      </c>
    </row>
    <row r="62" ht="15">
      <c r="A62" t="s">
        <v>20</v>
      </c>
    </row>
    <row r="64" spans="1:6" ht="15">
      <c r="A64" t="s">
        <v>55</v>
      </c>
      <c r="D64" s="24">
        <v>200000</v>
      </c>
      <c r="F64" s="6"/>
    </row>
    <row r="65" spans="1:6" ht="15">
      <c r="A65" t="s">
        <v>16</v>
      </c>
      <c r="D65" s="20">
        <f>D64/250</f>
        <v>800</v>
      </c>
      <c r="F65" s="6"/>
    </row>
    <row r="66" spans="1:6" ht="15">
      <c r="A66" t="s">
        <v>56</v>
      </c>
      <c r="D66" s="24">
        <f>D64/D65</f>
        <v>250</v>
      </c>
      <c r="F66" s="6"/>
    </row>
    <row r="67" spans="1:6" ht="15">
      <c r="A67" t="s">
        <v>21</v>
      </c>
      <c r="D67" s="24">
        <v>400</v>
      </c>
      <c r="F67" s="6"/>
    </row>
    <row r="68" spans="1:4" ht="15">
      <c r="A68" t="s">
        <v>18</v>
      </c>
      <c r="D68" s="24">
        <f>D65*D67</f>
        <v>320000</v>
      </c>
    </row>
    <row r="69" spans="1:4" ht="15">
      <c r="A69" t="s">
        <v>6</v>
      </c>
      <c r="D69" s="25">
        <v>0.065</v>
      </c>
    </row>
    <row r="70" spans="1:4" ht="15">
      <c r="A70" t="s">
        <v>19</v>
      </c>
      <c r="D70" s="22">
        <f>D13</f>
        <v>4400</v>
      </c>
    </row>
    <row r="71" ht="15">
      <c r="D71" s="19"/>
    </row>
    <row r="72" ht="15">
      <c r="D72" s="20"/>
    </row>
    <row r="73" ht="15">
      <c r="D73" s="8"/>
    </row>
    <row r="74" ht="15">
      <c r="D74" s="8"/>
    </row>
    <row r="75" ht="15">
      <c r="H75" s="9" t="s">
        <v>14</v>
      </c>
    </row>
    <row r="76" spans="2:8" ht="15">
      <c r="B76" s="9"/>
      <c r="C76" s="9" t="s">
        <v>2</v>
      </c>
      <c r="D76" s="9"/>
      <c r="E76" s="9" t="s">
        <v>26</v>
      </c>
      <c r="F76" s="9"/>
      <c r="G76" s="9" t="s">
        <v>28</v>
      </c>
      <c r="H76" s="9" t="s">
        <v>28</v>
      </c>
    </row>
    <row r="77" spans="2:8" ht="15">
      <c r="B77" s="9"/>
      <c r="C77" s="9" t="s">
        <v>11</v>
      </c>
      <c r="D77" s="9" t="s">
        <v>13</v>
      </c>
      <c r="E77" s="9" t="s">
        <v>13</v>
      </c>
      <c r="F77" s="9" t="s">
        <v>14</v>
      </c>
      <c r="G77" s="9" t="s">
        <v>29</v>
      </c>
      <c r="H77" s="9" t="s">
        <v>29</v>
      </c>
    </row>
    <row r="78" spans="2:8" ht="15">
      <c r="B78" s="9" t="s">
        <v>5</v>
      </c>
      <c r="C78" s="9" t="s">
        <v>1</v>
      </c>
      <c r="D78" s="9" t="s">
        <v>30</v>
      </c>
      <c r="E78" s="9" t="s">
        <v>30</v>
      </c>
      <c r="F78" s="9" t="s">
        <v>27</v>
      </c>
      <c r="G78" s="9" t="s">
        <v>10</v>
      </c>
      <c r="H78" s="9" t="s">
        <v>10</v>
      </c>
    </row>
    <row r="80" spans="1:8" ht="15">
      <c r="A80">
        <v>0</v>
      </c>
      <c r="B80">
        <f>1/(1+$D$12)^A80</f>
        <v>1</v>
      </c>
      <c r="F80" s="6"/>
      <c r="G80" s="10">
        <v>200000</v>
      </c>
      <c r="H80" s="6">
        <f>B80*G80</f>
        <v>200000</v>
      </c>
    </row>
    <row r="81" spans="1:8" ht="15">
      <c r="A81">
        <v>1</v>
      </c>
      <c r="B81">
        <f aca="true" t="shared" si="6" ref="B81:B100">1/(1+$D$12)^A81</f>
        <v>0.9389671361502347</v>
      </c>
      <c r="C81" s="1">
        <f>$D$13</f>
        <v>4400</v>
      </c>
      <c r="D81" s="12">
        <f>1.6247+3.7773</f>
        <v>5.402</v>
      </c>
      <c r="E81" s="13">
        <f>C81*D81</f>
        <v>23768.8</v>
      </c>
      <c r="F81" s="6">
        <f>B81*E81</f>
        <v>22318.1220657277</v>
      </c>
      <c r="G81" s="6"/>
      <c r="H81" s="6">
        <f aca="true" t="shared" si="7" ref="H81:H100">B81*G81</f>
        <v>0</v>
      </c>
    </row>
    <row r="82" spans="1:8" ht="15">
      <c r="A82">
        <v>2</v>
      </c>
      <c r="B82">
        <f t="shared" si="6"/>
        <v>0.8816592827701736</v>
      </c>
      <c r="C82" s="1">
        <f aca="true" t="shared" si="8" ref="C82:C100">$D$13</f>
        <v>4400</v>
      </c>
      <c r="D82" s="12">
        <f aca="true" t="shared" si="9" ref="D82:D100">D81*1.022</f>
        <v>5.520844</v>
      </c>
      <c r="E82" s="13">
        <f aca="true" t="shared" si="10" ref="E82:E100">C82*D82</f>
        <v>24291.713600000003</v>
      </c>
      <c r="F82" s="6">
        <f aca="true" t="shared" si="11" ref="F82:F100">B82*E82</f>
        <v>21417.014789834473</v>
      </c>
      <c r="G82" s="6"/>
      <c r="H82" s="6">
        <f t="shared" si="7"/>
        <v>0</v>
      </c>
    </row>
    <row r="83" spans="1:8" ht="15">
      <c r="A83">
        <v>3</v>
      </c>
      <c r="B83">
        <f t="shared" si="6"/>
        <v>0.8278490918029799</v>
      </c>
      <c r="C83" s="1">
        <f t="shared" si="8"/>
        <v>4400</v>
      </c>
      <c r="D83" s="12">
        <f t="shared" si="9"/>
        <v>5.642302568000001</v>
      </c>
      <c r="E83" s="13">
        <f t="shared" si="10"/>
        <v>24826.131299200002</v>
      </c>
      <c r="F83" s="6">
        <f t="shared" si="11"/>
        <v>20552.290249024256</v>
      </c>
      <c r="G83" s="6"/>
      <c r="H83" s="6">
        <f t="shared" si="7"/>
        <v>0</v>
      </c>
    </row>
    <row r="84" spans="1:8" ht="15">
      <c r="A84">
        <v>4</v>
      </c>
      <c r="B84">
        <f t="shared" si="6"/>
        <v>0.777323090894817</v>
      </c>
      <c r="C84" s="1">
        <f t="shared" si="8"/>
        <v>4400</v>
      </c>
      <c r="D84" s="12">
        <f t="shared" si="9"/>
        <v>5.766433224496001</v>
      </c>
      <c r="E84" s="13">
        <f t="shared" si="10"/>
        <v>25372.306187782404</v>
      </c>
      <c r="F84" s="6">
        <f t="shared" si="11"/>
        <v>19722.47946901671</v>
      </c>
      <c r="G84" s="6"/>
      <c r="H84" s="6">
        <f t="shared" si="7"/>
        <v>0</v>
      </c>
    </row>
    <row r="85" spans="1:8" ht="15">
      <c r="A85">
        <v>5</v>
      </c>
      <c r="B85">
        <f t="shared" si="6"/>
        <v>0.7298808365209549</v>
      </c>
      <c r="C85" s="1">
        <f t="shared" si="8"/>
        <v>4400</v>
      </c>
      <c r="D85" s="12">
        <f t="shared" si="9"/>
        <v>5.893294755434913</v>
      </c>
      <c r="E85" s="13">
        <f t="shared" si="10"/>
        <v>25930.496923913615</v>
      </c>
      <c r="F85" s="6">
        <f t="shared" si="11"/>
        <v>18926.17278623012</v>
      </c>
      <c r="G85" s="6"/>
      <c r="H85" s="6">
        <f t="shared" si="7"/>
        <v>0</v>
      </c>
    </row>
    <row r="86" spans="1:8" ht="15">
      <c r="A86">
        <v>6</v>
      </c>
      <c r="B86">
        <f t="shared" si="6"/>
        <v>0.6853341187990187</v>
      </c>
      <c r="C86" s="1">
        <f t="shared" si="8"/>
        <v>4400</v>
      </c>
      <c r="D86" s="12">
        <f t="shared" si="9"/>
        <v>6.0229472400544815</v>
      </c>
      <c r="E86" s="13">
        <f t="shared" si="10"/>
        <v>26500.967856239717</v>
      </c>
      <c r="F86" s="6">
        <f t="shared" si="11"/>
        <v>18162.017453077166</v>
      </c>
      <c r="G86" s="6"/>
      <c r="H86" s="6">
        <f t="shared" si="7"/>
        <v>0</v>
      </c>
    </row>
    <row r="87" spans="1:8" ht="15">
      <c r="A87">
        <v>7</v>
      </c>
      <c r="B87">
        <f t="shared" si="6"/>
        <v>0.6435062148347594</v>
      </c>
      <c r="C87" s="1">
        <f t="shared" si="8"/>
        <v>4400</v>
      </c>
      <c r="D87" s="12">
        <f t="shared" si="9"/>
        <v>6.15545207933568</v>
      </c>
      <c r="E87" s="13">
        <f t="shared" si="10"/>
        <v>27083.98914907699</v>
      </c>
      <c r="F87" s="6">
        <f t="shared" si="11"/>
        <v>17428.715339948234</v>
      </c>
      <c r="G87" s="6"/>
      <c r="H87" s="6">
        <f t="shared" si="7"/>
        <v>0</v>
      </c>
    </row>
    <row r="88" spans="1:8" ht="15">
      <c r="A88">
        <v>8</v>
      </c>
      <c r="B88">
        <f t="shared" si="6"/>
        <v>0.6042311876382719</v>
      </c>
      <c r="C88" s="1">
        <f t="shared" si="8"/>
        <v>4400</v>
      </c>
      <c r="D88" s="12">
        <f t="shared" si="9"/>
        <v>6.290872025081065</v>
      </c>
      <c r="E88" s="13">
        <f t="shared" si="10"/>
        <v>27679.836910356684</v>
      </c>
      <c r="F88" s="6">
        <f t="shared" si="11"/>
        <v>16725.020729978492</v>
      </c>
      <c r="G88" s="6"/>
      <c r="H88" s="6">
        <f t="shared" si="7"/>
        <v>0</v>
      </c>
    </row>
    <row r="89" spans="1:8" ht="15">
      <c r="A89">
        <v>9</v>
      </c>
      <c r="B89">
        <f t="shared" si="6"/>
        <v>0.5673532278293633</v>
      </c>
      <c r="C89" s="1">
        <f t="shared" si="8"/>
        <v>4400</v>
      </c>
      <c r="D89" s="12">
        <f t="shared" si="9"/>
        <v>6.429271209632848</v>
      </c>
      <c r="E89" s="13">
        <f t="shared" si="10"/>
        <v>28288.793322384532</v>
      </c>
      <c r="F89" s="6">
        <f t="shared" si="11"/>
        <v>16049.7382028526</v>
      </c>
      <c r="G89" s="6"/>
      <c r="H89" s="6">
        <f t="shared" si="7"/>
        <v>0</v>
      </c>
    </row>
    <row r="90" spans="1:8" ht="15">
      <c r="A90">
        <v>10</v>
      </c>
      <c r="B90">
        <f t="shared" si="6"/>
        <v>0.5327260355205289</v>
      </c>
      <c r="C90" s="1">
        <f t="shared" si="8"/>
        <v>4400</v>
      </c>
      <c r="D90" s="12">
        <f t="shared" si="9"/>
        <v>6.570715176244771</v>
      </c>
      <c r="E90" s="13">
        <f t="shared" si="10"/>
        <v>28911.14677547699</v>
      </c>
      <c r="F90" s="6">
        <f t="shared" si="11"/>
        <v>15401.72060405198</v>
      </c>
      <c r="G90" s="6"/>
      <c r="H90" s="6">
        <f t="shared" si="7"/>
        <v>0</v>
      </c>
    </row>
    <row r="91" spans="1:8" ht="15">
      <c r="A91">
        <v>11</v>
      </c>
      <c r="B91">
        <f t="shared" si="6"/>
        <v>0.5002122399253793</v>
      </c>
      <c r="C91" s="1">
        <f t="shared" si="8"/>
        <v>4400</v>
      </c>
      <c r="D91" s="12">
        <f t="shared" si="9"/>
        <v>6.715270910122156</v>
      </c>
      <c r="E91" s="13">
        <f t="shared" si="10"/>
        <v>29547.192004537486</v>
      </c>
      <c r="F91" s="6">
        <f t="shared" si="11"/>
        <v>14779.867096094955</v>
      </c>
      <c r="G91" s="6"/>
      <c r="H91" s="6">
        <f t="shared" si="7"/>
        <v>0</v>
      </c>
    </row>
    <row r="92" spans="1:8" ht="15">
      <c r="A92">
        <v>12</v>
      </c>
      <c r="B92">
        <f t="shared" si="6"/>
        <v>0.4696828543900276</v>
      </c>
      <c r="C92" s="1">
        <f t="shared" si="8"/>
        <v>4400</v>
      </c>
      <c r="D92" s="12">
        <f t="shared" si="9"/>
        <v>6.863006870144844</v>
      </c>
      <c r="E92" s="13">
        <f t="shared" si="10"/>
        <v>30197.230228637312</v>
      </c>
      <c r="F92" s="6">
        <f t="shared" si="11"/>
        <v>14183.121288459199</v>
      </c>
      <c r="G92" s="6"/>
      <c r="H92" s="6">
        <f t="shared" si="7"/>
        <v>0</v>
      </c>
    </row>
    <row r="93" spans="1:8" ht="15">
      <c r="A93">
        <v>13</v>
      </c>
      <c r="B93">
        <f t="shared" si="6"/>
        <v>0.4410167646854719</v>
      </c>
      <c r="C93" s="1">
        <f t="shared" si="8"/>
        <v>4400</v>
      </c>
      <c r="D93" s="12">
        <f t="shared" si="9"/>
        <v>7.01399302128803</v>
      </c>
      <c r="E93" s="13">
        <f t="shared" si="10"/>
        <v>30861.569293667333</v>
      </c>
      <c r="F93" s="6">
        <f t="shared" si="11"/>
        <v>13610.469443009672</v>
      </c>
      <c r="G93" s="6"/>
      <c r="H93" s="6">
        <f t="shared" si="7"/>
        <v>0</v>
      </c>
    </row>
    <row r="94" spans="1:8" ht="15">
      <c r="A94">
        <v>14</v>
      </c>
      <c r="B94">
        <f t="shared" si="6"/>
        <v>0.41410024853095956</v>
      </c>
      <c r="C94" s="1">
        <f t="shared" si="8"/>
        <v>4400</v>
      </c>
      <c r="D94" s="12">
        <f t="shared" si="9"/>
        <v>7.168300867756367</v>
      </c>
      <c r="E94" s="13">
        <f t="shared" si="10"/>
        <v>31540.523818128015</v>
      </c>
      <c r="F94" s="6">
        <f t="shared" si="11"/>
        <v>13060.938751883461</v>
      </c>
      <c r="G94" s="6"/>
      <c r="H94" s="6">
        <f t="shared" si="7"/>
        <v>0</v>
      </c>
    </row>
    <row r="95" spans="1:8" ht="15">
      <c r="A95">
        <v>15</v>
      </c>
      <c r="B95">
        <f t="shared" si="6"/>
        <v>0.38882652444221566</v>
      </c>
      <c r="C95" s="1">
        <f t="shared" si="8"/>
        <v>4400</v>
      </c>
      <c r="D95" s="12">
        <f t="shared" si="9"/>
        <v>7.326003486847007</v>
      </c>
      <c r="E95" s="13">
        <f t="shared" si="10"/>
        <v>32234.41534212683</v>
      </c>
      <c r="F95" s="6">
        <f t="shared" si="11"/>
        <v>12533.59568490601</v>
      </c>
      <c r="G95" s="6"/>
      <c r="H95" s="6">
        <f t="shared" si="7"/>
        <v>0</v>
      </c>
    </row>
    <row r="96" spans="1:8" ht="15">
      <c r="A96">
        <v>16</v>
      </c>
      <c r="B96">
        <f t="shared" si="6"/>
        <v>0.3650953281147565</v>
      </c>
      <c r="C96" s="1">
        <f t="shared" si="8"/>
        <v>4400</v>
      </c>
      <c r="D96" s="12">
        <f t="shared" si="9"/>
        <v>7.487175563557641</v>
      </c>
      <c r="E96" s="13">
        <f t="shared" si="10"/>
        <v>32943.57247965362</v>
      </c>
      <c r="F96" s="6">
        <f t="shared" si="11"/>
        <v>12027.544403731401</v>
      </c>
      <c r="G96" s="6"/>
      <c r="H96" s="6">
        <f t="shared" si="7"/>
        <v>0</v>
      </c>
    </row>
    <row r="97" spans="1:8" ht="15">
      <c r="A97">
        <v>17</v>
      </c>
      <c r="B97">
        <f t="shared" si="6"/>
        <v>0.34281251466174323</v>
      </c>
      <c r="C97" s="1">
        <f t="shared" si="8"/>
        <v>4400</v>
      </c>
      <c r="D97" s="12">
        <f t="shared" si="9"/>
        <v>7.651893425955909</v>
      </c>
      <c r="E97" s="13">
        <f t="shared" si="10"/>
        <v>33668.331074206</v>
      </c>
      <c r="F97" s="6">
        <f t="shared" si="11"/>
        <v>11541.92524001267</v>
      </c>
      <c r="G97" s="6"/>
      <c r="H97" s="6">
        <f t="shared" si="7"/>
        <v>0</v>
      </c>
    </row>
    <row r="98" spans="1:8" ht="15">
      <c r="A98">
        <v>18</v>
      </c>
      <c r="B98">
        <f t="shared" si="6"/>
        <v>0.3218896851283974</v>
      </c>
      <c r="C98" s="1">
        <f t="shared" si="8"/>
        <v>4400</v>
      </c>
      <c r="D98" s="12">
        <f t="shared" si="9"/>
        <v>7.820235081326939</v>
      </c>
      <c r="E98" s="13">
        <f t="shared" si="10"/>
        <v>34409.03435783853</v>
      </c>
      <c r="F98" s="6">
        <f t="shared" si="11"/>
        <v>11075.913235016851</v>
      </c>
      <c r="G98" s="6"/>
      <c r="H98" s="6">
        <f t="shared" si="7"/>
        <v>0</v>
      </c>
    </row>
    <row r="99" spans="1:8" ht="15">
      <c r="A99">
        <v>19</v>
      </c>
      <c r="B99">
        <f t="shared" si="6"/>
        <v>0.30224383580131214</v>
      </c>
      <c r="C99" s="1">
        <f t="shared" si="8"/>
        <v>4400</v>
      </c>
      <c r="D99" s="12">
        <f t="shared" si="9"/>
        <v>7.992280253116132</v>
      </c>
      <c r="E99" s="13">
        <f t="shared" si="10"/>
        <v>35166.03311371098</v>
      </c>
      <c r="F99" s="6">
        <f t="shared" si="11"/>
        <v>10628.716738203968</v>
      </c>
      <c r="G99" s="6"/>
      <c r="H99" s="6">
        <f t="shared" si="7"/>
        <v>0</v>
      </c>
    </row>
    <row r="100" spans="1:8" ht="15">
      <c r="A100">
        <v>20</v>
      </c>
      <c r="B100">
        <f t="shared" si="6"/>
        <v>0.2837970289214199</v>
      </c>
      <c r="C100" s="1">
        <f t="shared" si="8"/>
        <v>4400</v>
      </c>
      <c r="D100" s="12">
        <f t="shared" si="9"/>
        <v>8.168110418684687</v>
      </c>
      <c r="E100" s="13">
        <f t="shared" si="10"/>
        <v>35939.685842212624</v>
      </c>
      <c r="F100" s="6">
        <f t="shared" si="11"/>
        <v>10199.576062389162</v>
      </c>
      <c r="G100" s="6"/>
      <c r="H100" s="6">
        <f t="shared" si="7"/>
        <v>0</v>
      </c>
    </row>
    <row r="102" spans="6:8" ht="15">
      <c r="F102" s="1">
        <f>SUM(F81:F101)</f>
        <v>310344.95963344903</v>
      </c>
      <c r="G102" s="6">
        <f>SUM(G101:G101)</f>
        <v>0</v>
      </c>
      <c r="H102" s="1">
        <f>SUM(H80:H101)</f>
        <v>200000</v>
      </c>
    </row>
    <row r="105" spans="3:4" ht="15">
      <c r="C105" s="11"/>
      <c r="D105" s="10"/>
    </row>
    <row r="106" spans="3:4" ht="15">
      <c r="C106" s="11"/>
      <c r="D106" s="4"/>
    </row>
    <row r="121" spans="1:2" ht="15.75">
      <c r="A121" s="3" t="s">
        <v>7</v>
      </c>
      <c r="B121" s="3"/>
    </row>
    <row r="122" spans="1:2" ht="15.75">
      <c r="A122" s="3" t="s">
        <v>3</v>
      </c>
      <c r="B122" s="3"/>
    </row>
    <row r="123" ht="15">
      <c r="A123" t="s">
        <v>23</v>
      </c>
    </row>
    <row r="125" ht="15">
      <c r="A125" t="s">
        <v>20</v>
      </c>
    </row>
    <row r="127" spans="1:6" ht="15">
      <c r="A127" t="s">
        <v>0</v>
      </c>
      <c r="D127" s="21">
        <v>200000</v>
      </c>
      <c r="F127" s="6"/>
    </row>
    <row r="128" spans="1:6" ht="15">
      <c r="A128" t="s">
        <v>16</v>
      </c>
      <c r="D128" s="20">
        <f>D127/250</f>
        <v>800</v>
      </c>
      <c r="F128" s="6"/>
    </row>
    <row r="129" spans="1:6" ht="15">
      <c r="A129" t="s">
        <v>56</v>
      </c>
      <c r="D129" s="24">
        <f>D127/D128</f>
        <v>250</v>
      </c>
      <c r="F129" s="6"/>
    </row>
    <row r="130" spans="1:6" ht="15">
      <c r="A130" t="s">
        <v>21</v>
      </c>
      <c r="D130" s="24">
        <v>400</v>
      </c>
      <c r="F130" s="6"/>
    </row>
    <row r="131" spans="1:4" ht="15">
      <c r="A131" t="s">
        <v>18</v>
      </c>
      <c r="D131" s="24">
        <f>D128*D130</f>
        <v>320000</v>
      </c>
    </row>
    <row r="132" spans="1:4" ht="15">
      <c r="A132" t="s">
        <v>6</v>
      </c>
      <c r="D132" s="25">
        <v>0.065</v>
      </c>
    </row>
    <row r="133" spans="1:4" ht="15">
      <c r="A133" t="s">
        <v>19</v>
      </c>
      <c r="D133" s="22">
        <f>D13</f>
        <v>4400</v>
      </c>
    </row>
    <row r="134" ht="15">
      <c r="D134" s="7"/>
    </row>
    <row r="135" ht="15">
      <c r="D135" s="8"/>
    </row>
    <row r="136" ht="15">
      <c r="D136" s="8"/>
    </row>
    <row r="137" ht="15">
      <c r="D137" s="8"/>
    </row>
    <row r="138" spans="8:9" ht="15">
      <c r="H138" s="9" t="s">
        <v>14</v>
      </c>
      <c r="I138" s="9"/>
    </row>
    <row r="139" spans="2:10" ht="15">
      <c r="B139" s="9"/>
      <c r="C139" s="9" t="s">
        <v>2</v>
      </c>
      <c r="D139" s="9"/>
      <c r="E139" s="9" t="s">
        <v>26</v>
      </c>
      <c r="F139" s="9"/>
      <c r="G139" s="9" t="s">
        <v>28</v>
      </c>
      <c r="H139" s="9" t="s">
        <v>28</v>
      </c>
      <c r="I139" s="9"/>
      <c r="J139" s="9"/>
    </row>
    <row r="140" spans="2:11" ht="15">
      <c r="B140" s="9"/>
      <c r="C140" s="9" t="s">
        <v>11</v>
      </c>
      <c r="D140" s="9" t="s">
        <v>13</v>
      </c>
      <c r="E140" s="9" t="s">
        <v>13</v>
      </c>
      <c r="F140" s="9" t="s">
        <v>14</v>
      </c>
      <c r="G140" s="9" t="s">
        <v>29</v>
      </c>
      <c r="H140" s="9" t="s">
        <v>29</v>
      </c>
      <c r="I140" s="9" t="s">
        <v>31</v>
      </c>
      <c r="J140" s="9"/>
      <c r="K140" s="9" t="s">
        <v>14</v>
      </c>
    </row>
    <row r="141" spans="2:11" ht="15">
      <c r="B141" s="9" t="s">
        <v>5</v>
      </c>
      <c r="C141" s="9" t="s">
        <v>1</v>
      </c>
      <c r="D141" s="9" t="s">
        <v>30</v>
      </c>
      <c r="E141" s="9" t="s">
        <v>30</v>
      </c>
      <c r="F141" s="9" t="s">
        <v>27</v>
      </c>
      <c r="G141" s="9" t="s">
        <v>10</v>
      </c>
      <c r="H141" s="9" t="s">
        <v>10</v>
      </c>
      <c r="I141" s="9" t="s">
        <v>32</v>
      </c>
      <c r="J141" s="9" t="s">
        <v>25</v>
      </c>
      <c r="K141" s="9" t="s">
        <v>25</v>
      </c>
    </row>
    <row r="143" spans="1:8" ht="15">
      <c r="A143">
        <v>0</v>
      </c>
      <c r="B143">
        <f>1/(1+$D$12)^A143</f>
        <v>1</v>
      </c>
      <c r="F143" s="6"/>
      <c r="G143" s="6">
        <f>D127</f>
        <v>200000</v>
      </c>
      <c r="H143" s="6">
        <f>B143*G143</f>
        <v>200000</v>
      </c>
    </row>
    <row r="144" spans="1:11" ht="15">
      <c r="A144">
        <v>1</v>
      </c>
      <c r="B144">
        <f aca="true" t="shared" si="12" ref="B144:B163">1/(1+$D$12)^A144</f>
        <v>0.9389671361502347</v>
      </c>
      <c r="C144" s="1">
        <f>$D$13</f>
        <v>4400</v>
      </c>
      <c r="D144" s="12">
        <f>1.6247+3.7773</f>
        <v>5.402</v>
      </c>
      <c r="E144" s="13">
        <f>C144*D144</f>
        <v>23768.8</v>
      </c>
      <c r="F144" s="6">
        <f>B144*E144</f>
        <v>22318.1220657277</v>
      </c>
      <c r="G144" s="6"/>
      <c r="H144" s="6">
        <f aca="true" t="shared" si="13" ref="H144:H163">B144*G144</f>
        <v>0</v>
      </c>
      <c r="I144" s="12">
        <v>8.9685</v>
      </c>
      <c r="J144" s="5">
        <f>C144*I144</f>
        <v>39461.4</v>
      </c>
      <c r="K144" s="5">
        <f>B144*J144</f>
        <v>37052.957746478874</v>
      </c>
    </row>
    <row r="145" spans="1:11" ht="15">
      <c r="A145">
        <v>2</v>
      </c>
      <c r="B145">
        <f t="shared" si="12"/>
        <v>0.8816592827701736</v>
      </c>
      <c r="C145" s="1">
        <f aca="true" t="shared" si="14" ref="C145:C163">$D$13</f>
        <v>4400</v>
      </c>
      <c r="D145" s="4">
        <f>D144*1.022</f>
        <v>5.520844</v>
      </c>
      <c r="E145" s="13">
        <f aca="true" t="shared" si="15" ref="E145:E163">C145*D145</f>
        <v>24291.713600000003</v>
      </c>
      <c r="F145" s="6">
        <f aca="true" t="shared" si="16" ref="F145:F163">B145*E145</f>
        <v>21417.014789834473</v>
      </c>
      <c r="G145" s="6"/>
      <c r="H145" s="6">
        <f t="shared" si="13"/>
        <v>0</v>
      </c>
      <c r="I145" s="12">
        <f aca="true" t="shared" si="17" ref="I145:I163">I144*1.022</f>
        <v>9.165807000000001</v>
      </c>
      <c r="J145" s="5">
        <f aca="true" t="shared" si="18" ref="J145:J163">C145*I145</f>
        <v>40329.550800000005</v>
      </c>
      <c r="K145" s="5">
        <f aca="true" t="shared" si="19" ref="K145:K163">B145*J145</f>
        <v>35556.922832771284</v>
      </c>
    </row>
    <row r="146" spans="1:11" ht="15">
      <c r="A146">
        <v>3</v>
      </c>
      <c r="B146">
        <f t="shared" si="12"/>
        <v>0.8278490918029799</v>
      </c>
      <c r="C146" s="1">
        <f t="shared" si="14"/>
        <v>4400</v>
      </c>
      <c r="D146" s="12">
        <f aca="true" t="shared" si="20" ref="D146:D163">D145*1.022</f>
        <v>5.642302568000001</v>
      </c>
      <c r="E146" s="13">
        <f t="shared" si="15"/>
        <v>24826.131299200002</v>
      </c>
      <c r="F146" s="6">
        <f t="shared" si="16"/>
        <v>20552.290249024256</v>
      </c>
      <c r="G146" s="6"/>
      <c r="H146" s="6">
        <f t="shared" si="13"/>
        <v>0</v>
      </c>
      <c r="I146" s="12">
        <f t="shared" si="17"/>
        <v>9.367454754</v>
      </c>
      <c r="J146" s="5">
        <f t="shared" si="18"/>
        <v>41216.800917600005</v>
      </c>
      <c r="K146" s="5">
        <f t="shared" si="19"/>
        <v>34121.29120665939</v>
      </c>
    </row>
    <row r="147" spans="1:11" ht="15">
      <c r="A147">
        <v>4</v>
      </c>
      <c r="B147">
        <f t="shared" si="12"/>
        <v>0.777323090894817</v>
      </c>
      <c r="C147" s="1">
        <f t="shared" si="14"/>
        <v>4400</v>
      </c>
      <c r="D147" s="12">
        <f t="shared" si="20"/>
        <v>5.766433224496001</v>
      </c>
      <c r="E147" s="13">
        <f t="shared" si="15"/>
        <v>25372.306187782404</v>
      </c>
      <c r="F147" s="6">
        <f t="shared" si="16"/>
        <v>19722.47946901671</v>
      </c>
      <c r="G147" s="6"/>
      <c r="H147" s="6">
        <f t="shared" si="13"/>
        <v>0</v>
      </c>
      <c r="I147" s="12">
        <f t="shared" si="17"/>
        <v>9.573538758588</v>
      </c>
      <c r="J147" s="5">
        <f t="shared" si="18"/>
        <v>42123.5705377872</v>
      </c>
      <c r="K147" s="5">
        <f t="shared" si="19"/>
        <v>32743.624049958595</v>
      </c>
    </row>
    <row r="148" spans="1:11" ht="15">
      <c r="A148">
        <v>5</v>
      </c>
      <c r="B148">
        <f t="shared" si="12"/>
        <v>0.7298808365209549</v>
      </c>
      <c r="C148" s="1">
        <f t="shared" si="14"/>
        <v>4400</v>
      </c>
      <c r="D148" s="12">
        <f t="shared" si="20"/>
        <v>5.893294755434913</v>
      </c>
      <c r="E148" s="13">
        <f t="shared" si="15"/>
        <v>25930.496923913615</v>
      </c>
      <c r="F148" s="6">
        <f t="shared" si="16"/>
        <v>18926.17278623012</v>
      </c>
      <c r="G148" s="6"/>
      <c r="H148" s="6">
        <f t="shared" si="13"/>
        <v>0</v>
      </c>
      <c r="I148" s="12">
        <f t="shared" si="17"/>
        <v>9.784156611276936</v>
      </c>
      <c r="J148" s="5">
        <f t="shared" si="18"/>
        <v>43050.28908961852</v>
      </c>
      <c r="K148" s="5">
        <f t="shared" si="19"/>
        <v>31421.581013199706</v>
      </c>
    </row>
    <row r="149" spans="1:11" ht="15">
      <c r="A149">
        <v>6</v>
      </c>
      <c r="B149">
        <f t="shared" si="12"/>
        <v>0.6853341187990187</v>
      </c>
      <c r="C149" s="1">
        <f t="shared" si="14"/>
        <v>4400</v>
      </c>
      <c r="D149" s="12">
        <f t="shared" si="20"/>
        <v>6.0229472400544815</v>
      </c>
      <c r="E149" s="13">
        <f t="shared" si="15"/>
        <v>26500.967856239717</v>
      </c>
      <c r="F149" s="6">
        <f t="shared" si="16"/>
        <v>18162.017453077166</v>
      </c>
      <c r="G149" s="6"/>
      <c r="H149" s="6">
        <f t="shared" si="13"/>
        <v>0</v>
      </c>
      <c r="I149" s="12">
        <f t="shared" si="17"/>
        <v>9.999408056725029</v>
      </c>
      <c r="J149" s="5">
        <f t="shared" si="18"/>
        <v>43997.39544959013</v>
      </c>
      <c r="K149" s="5">
        <f t="shared" si="19"/>
        <v>30152.916239896807</v>
      </c>
    </row>
    <row r="150" spans="1:11" ht="15">
      <c r="A150">
        <v>7</v>
      </c>
      <c r="B150">
        <f t="shared" si="12"/>
        <v>0.6435062148347594</v>
      </c>
      <c r="C150" s="1">
        <f t="shared" si="14"/>
        <v>4400</v>
      </c>
      <c r="D150" s="12">
        <f t="shared" si="20"/>
        <v>6.15545207933568</v>
      </c>
      <c r="E150" s="13">
        <f t="shared" si="15"/>
        <v>27083.98914907699</v>
      </c>
      <c r="F150" s="6">
        <f t="shared" si="16"/>
        <v>17428.715339948234</v>
      </c>
      <c r="G150" s="6"/>
      <c r="H150" s="6">
        <f t="shared" si="13"/>
        <v>0</v>
      </c>
      <c r="I150" s="12">
        <f t="shared" si="17"/>
        <v>10.21939503397298</v>
      </c>
      <c r="J150" s="5">
        <f t="shared" si="18"/>
        <v>44965.33814948111</v>
      </c>
      <c r="K150" s="5">
        <f t="shared" si="19"/>
        <v>28935.474551337596</v>
      </c>
    </row>
    <row r="151" spans="1:11" ht="15">
      <c r="A151">
        <v>8</v>
      </c>
      <c r="B151">
        <f t="shared" si="12"/>
        <v>0.6042311876382719</v>
      </c>
      <c r="C151" s="1">
        <f t="shared" si="14"/>
        <v>4400</v>
      </c>
      <c r="D151" s="12">
        <f t="shared" si="20"/>
        <v>6.290872025081065</v>
      </c>
      <c r="E151" s="13">
        <f t="shared" si="15"/>
        <v>27679.836910356684</v>
      </c>
      <c r="F151" s="6">
        <f t="shared" si="16"/>
        <v>16725.020729978492</v>
      </c>
      <c r="G151" s="6"/>
      <c r="H151" s="6">
        <f t="shared" si="13"/>
        <v>0</v>
      </c>
      <c r="I151" s="12">
        <f t="shared" si="17"/>
        <v>10.444221724720386</v>
      </c>
      <c r="J151" s="5">
        <f t="shared" si="18"/>
        <v>45954.575588769694</v>
      </c>
      <c r="K151" s="5">
        <f t="shared" si="19"/>
        <v>27767.187785415048</v>
      </c>
    </row>
    <row r="152" spans="1:11" ht="15">
      <c r="A152">
        <v>9</v>
      </c>
      <c r="B152">
        <f t="shared" si="12"/>
        <v>0.5673532278293633</v>
      </c>
      <c r="C152" s="1">
        <f t="shared" si="14"/>
        <v>4400</v>
      </c>
      <c r="D152" s="12">
        <f t="shared" si="20"/>
        <v>6.429271209632848</v>
      </c>
      <c r="E152" s="13">
        <f t="shared" si="15"/>
        <v>28288.793322384532</v>
      </c>
      <c r="F152" s="6">
        <f t="shared" si="16"/>
        <v>16049.7382028526</v>
      </c>
      <c r="G152" s="6"/>
      <c r="H152" s="6">
        <f t="shared" si="13"/>
        <v>0</v>
      </c>
      <c r="I152" s="12">
        <f t="shared" si="17"/>
        <v>10.673994602664234</v>
      </c>
      <c r="J152" s="5">
        <f t="shared" si="18"/>
        <v>46965.576251722625</v>
      </c>
      <c r="K152" s="5">
        <f t="shared" si="19"/>
        <v>26646.07128328092</v>
      </c>
    </row>
    <row r="153" spans="1:11" ht="15">
      <c r="A153">
        <v>10</v>
      </c>
      <c r="B153">
        <f t="shared" si="12"/>
        <v>0.5327260355205289</v>
      </c>
      <c r="C153" s="1">
        <f t="shared" si="14"/>
        <v>4400</v>
      </c>
      <c r="D153" s="12">
        <f t="shared" si="20"/>
        <v>6.570715176244771</v>
      </c>
      <c r="E153" s="13">
        <f t="shared" si="15"/>
        <v>28911.14677547699</v>
      </c>
      <c r="F153" s="6">
        <f t="shared" si="16"/>
        <v>15401.72060405198</v>
      </c>
      <c r="G153" s="6"/>
      <c r="H153" s="6">
        <f t="shared" si="13"/>
        <v>0</v>
      </c>
      <c r="I153" s="12">
        <f t="shared" si="17"/>
        <v>10.908822483922847</v>
      </c>
      <c r="J153" s="5">
        <f t="shared" si="18"/>
        <v>47998.81892926053</v>
      </c>
      <c r="K153" s="5">
        <f t="shared" si="19"/>
        <v>25570.22051785268</v>
      </c>
    </row>
    <row r="154" spans="1:11" ht="15">
      <c r="A154">
        <v>11</v>
      </c>
      <c r="B154">
        <f t="shared" si="12"/>
        <v>0.5002122399253793</v>
      </c>
      <c r="C154" s="1">
        <f t="shared" si="14"/>
        <v>4400</v>
      </c>
      <c r="D154" s="12">
        <f t="shared" si="20"/>
        <v>6.715270910122156</v>
      </c>
      <c r="E154" s="13">
        <f t="shared" si="15"/>
        <v>29547.192004537486</v>
      </c>
      <c r="F154" s="6">
        <f t="shared" si="16"/>
        <v>14779.867096094955</v>
      </c>
      <c r="G154" s="6"/>
      <c r="H154" s="6">
        <f t="shared" si="13"/>
        <v>0</v>
      </c>
      <c r="I154" s="12">
        <f t="shared" si="17"/>
        <v>11.14881657856915</v>
      </c>
      <c r="J154" s="5">
        <f t="shared" si="18"/>
        <v>49054.79294570426</v>
      </c>
      <c r="K154" s="5">
        <f t="shared" si="19"/>
        <v>24537.807858446427</v>
      </c>
    </row>
    <row r="155" spans="1:11" ht="15">
      <c r="A155">
        <v>12</v>
      </c>
      <c r="B155">
        <f t="shared" si="12"/>
        <v>0.4696828543900276</v>
      </c>
      <c r="C155" s="1">
        <f t="shared" si="14"/>
        <v>4400</v>
      </c>
      <c r="D155" s="12">
        <f t="shared" si="20"/>
        <v>6.863006870144844</v>
      </c>
      <c r="E155" s="13">
        <f t="shared" si="15"/>
        <v>30197.230228637312</v>
      </c>
      <c r="F155" s="6">
        <f t="shared" si="16"/>
        <v>14183.121288459199</v>
      </c>
      <c r="G155" s="6"/>
      <c r="H155" s="6">
        <f t="shared" si="13"/>
        <v>0</v>
      </c>
      <c r="I155" s="12">
        <f t="shared" si="17"/>
        <v>11.394090543297672</v>
      </c>
      <c r="J155" s="5">
        <f t="shared" si="18"/>
        <v>50133.998390509754</v>
      </c>
      <c r="K155" s="5">
        <f t="shared" si="19"/>
        <v>23547.07946603967</v>
      </c>
    </row>
    <row r="156" spans="1:11" ht="15">
      <c r="A156">
        <v>13</v>
      </c>
      <c r="B156">
        <f t="shared" si="12"/>
        <v>0.4410167646854719</v>
      </c>
      <c r="C156" s="1">
        <f t="shared" si="14"/>
        <v>4400</v>
      </c>
      <c r="D156" s="12">
        <f t="shared" si="20"/>
        <v>7.01399302128803</v>
      </c>
      <c r="E156" s="13">
        <f t="shared" si="15"/>
        <v>30861.569293667333</v>
      </c>
      <c r="F156" s="6">
        <f t="shared" si="16"/>
        <v>13610.469443009672</v>
      </c>
      <c r="G156" s="6"/>
      <c r="H156" s="6">
        <f t="shared" si="13"/>
        <v>0</v>
      </c>
      <c r="I156" s="12">
        <f t="shared" si="17"/>
        <v>11.64476053525022</v>
      </c>
      <c r="J156" s="5">
        <f t="shared" si="18"/>
        <v>51236.94635510097</v>
      </c>
      <c r="K156" s="5">
        <f t="shared" si="19"/>
        <v>22596.35231388971</v>
      </c>
    </row>
    <row r="157" spans="1:11" ht="15">
      <c r="A157">
        <v>14</v>
      </c>
      <c r="B157">
        <f t="shared" si="12"/>
        <v>0.41410024853095956</v>
      </c>
      <c r="C157" s="1">
        <f t="shared" si="14"/>
        <v>4400</v>
      </c>
      <c r="D157" s="12">
        <f t="shared" si="20"/>
        <v>7.168300867756367</v>
      </c>
      <c r="E157" s="13">
        <f t="shared" si="15"/>
        <v>31540.523818128015</v>
      </c>
      <c r="F157" s="6">
        <f t="shared" si="16"/>
        <v>13060.938751883461</v>
      </c>
      <c r="G157" s="6"/>
      <c r="H157" s="6">
        <f t="shared" si="13"/>
        <v>0</v>
      </c>
      <c r="I157" s="12">
        <f t="shared" si="17"/>
        <v>11.900945267025726</v>
      </c>
      <c r="J157" s="5">
        <f t="shared" si="18"/>
        <v>52364.15917491319</v>
      </c>
      <c r="K157" s="5">
        <f t="shared" si="19"/>
        <v>21684.01132844628</v>
      </c>
    </row>
    <row r="158" spans="1:11" ht="15">
      <c r="A158">
        <v>15</v>
      </c>
      <c r="B158">
        <f t="shared" si="12"/>
        <v>0.38882652444221566</v>
      </c>
      <c r="C158" s="1">
        <f t="shared" si="14"/>
        <v>4400</v>
      </c>
      <c r="D158" s="12">
        <f t="shared" si="20"/>
        <v>7.326003486847007</v>
      </c>
      <c r="E158" s="13">
        <f t="shared" si="15"/>
        <v>32234.41534212683</v>
      </c>
      <c r="F158" s="6">
        <f t="shared" si="16"/>
        <v>12533.59568490601</v>
      </c>
      <c r="G158" s="6"/>
      <c r="H158" s="6">
        <f t="shared" si="13"/>
        <v>0</v>
      </c>
      <c r="I158" s="12">
        <f t="shared" si="17"/>
        <v>12.162766062900292</v>
      </c>
      <c r="J158" s="5">
        <f t="shared" si="18"/>
        <v>53516.170676761285</v>
      </c>
      <c r="K158" s="5">
        <f t="shared" si="19"/>
        <v>20808.506645701505</v>
      </c>
    </row>
    <row r="159" spans="1:11" ht="15">
      <c r="A159">
        <v>16</v>
      </c>
      <c r="B159">
        <f t="shared" si="12"/>
        <v>0.3650953281147565</v>
      </c>
      <c r="C159" s="1">
        <f t="shared" si="14"/>
        <v>4400</v>
      </c>
      <c r="D159" s="12">
        <f t="shared" si="20"/>
        <v>7.487175563557641</v>
      </c>
      <c r="E159" s="13">
        <f t="shared" si="15"/>
        <v>32943.57247965362</v>
      </c>
      <c r="F159" s="6">
        <f t="shared" si="16"/>
        <v>12027.544403731401</v>
      </c>
      <c r="G159" s="6"/>
      <c r="H159" s="6">
        <f t="shared" si="13"/>
        <v>0</v>
      </c>
      <c r="I159" s="12">
        <f t="shared" si="17"/>
        <v>12.4303469162841</v>
      </c>
      <c r="J159" s="5">
        <f t="shared" si="18"/>
        <v>54693.52643165004</v>
      </c>
      <c r="K159" s="5">
        <f t="shared" si="19"/>
        <v>19968.35097831638</v>
      </c>
    </row>
    <row r="160" spans="1:11" ht="15">
      <c r="A160">
        <v>17</v>
      </c>
      <c r="B160">
        <f t="shared" si="12"/>
        <v>0.34281251466174323</v>
      </c>
      <c r="C160" s="1">
        <f t="shared" si="14"/>
        <v>4400</v>
      </c>
      <c r="D160" s="12">
        <f t="shared" si="20"/>
        <v>7.651893425955909</v>
      </c>
      <c r="E160" s="13">
        <f t="shared" si="15"/>
        <v>33668.331074206</v>
      </c>
      <c r="F160" s="6">
        <f t="shared" si="16"/>
        <v>11541.92524001267</v>
      </c>
      <c r="G160" s="6"/>
      <c r="H160" s="6">
        <f t="shared" si="13"/>
        <v>0</v>
      </c>
      <c r="I160" s="12">
        <f t="shared" si="17"/>
        <v>12.70381454844235</v>
      </c>
      <c r="J160" s="5">
        <f t="shared" si="18"/>
        <v>55896.784013146345</v>
      </c>
      <c r="K160" s="5">
        <f t="shared" si="19"/>
        <v>19162.117089051026</v>
      </c>
    </row>
    <row r="161" spans="1:11" ht="15">
      <c r="A161">
        <v>18</v>
      </c>
      <c r="B161">
        <f t="shared" si="12"/>
        <v>0.3218896851283974</v>
      </c>
      <c r="C161" s="1">
        <f t="shared" si="14"/>
        <v>4400</v>
      </c>
      <c r="D161" s="12">
        <f t="shared" si="20"/>
        <v>7.820235081326939</v>
      </c>
      <c r="E161" s="13">
        <f t="shared" si="15"/>
        <v>34409.03435783853</v>
      </c>
      <c r="F161" s="6">
        <f t="shared" si="16"/>
        <v>11075.913235016851</v>
      </c>
      <c r="G161" s="6"/>
      <c r="H161" s="6">
        <f t="shared" si="13"/>
        <v>0</v>
      </c>
      <c r="I161" s="12">
        <f t="shared" si="17"/>
        <v>12.983298468508082</v>
      </c>
      <c r="J161" s="5">
        <f t="shared" si="18"/>
        <v>57126.51326143556</v>
      </c>
      <c r="K161" s="5">
        <f t="shared" si="19"/>
        <v>18388.43536620671</v>
      </c>
    </row>
    <row r="162" spans="1:11" ht="15">
      <c r="A162">
        <v>19</v>
      </c>
      <c r="B162">
        <f t="shared" si="12"/>
        <v>0.30224383580131214</v>
      </c>
      <c r="C162" s="1">
        <f t="shared" si="14"/>
        <v>4400</v>
      </c>
      <c r="D162" s="12">
        <f t="shared" si="20"/>
        <v>7.992280253116132</v>
      </c>
      <c r="E162" s="13">
        <f t="shared" si="15"/>
        <v>35166.03311371098</v>
      </c>
      <c r="F162" s="6">
        <f t="shared" si="16"/>
        <v>10628.716738203968</v>
      </c>
      <c r="G162" s="6"/>
      <c r="H162" s="6">
        <f t="shared" si="13"/>
        <v>0</v>
      </c>
      <c r="I162" s="12">
        <f t="shared" si="17"/>
        <v>13.26893103481526</v>
      </c>
      <c r="J162" s="5">
        <f t="shared" si="18"/>
        <v>58383.296553187145</v>
      </c>
      <c r="K162" s="5">
        <f t="shared" si="19"/>
        <v>17645.991496960807</v>
      </c>
    </row>
    <row r="163" spans="1:11" ht="15">
      <c r="A163">
        <v>20</v>
      </c>
      <c r="B163">
        <f t="shared" si="12"/>
        <v>0.2837970289214199</v>
      </c>
      <c r="C163" s="1">
        <f t="shared" si="14"/>
        <v>4400</v>
      </c>
      <c r="D163" s="12">
        <f t="shared" si="20"/>
        <v>8.168110418684687</v>
      </c>
      <c r="E163" s="13">
        <f t="shared" si="15"/>
        <v>35939.685842212624</v>
      </c>
      <c r="F163" s="6">
        <f t="shared" si="16"/>
        <v>10199.576062389162</v>
      </c>
      <c r="G163" s="6"/>
      <c r="H163" s="6">
        <f t="shared" si="13"/>
        <v>0</v>
      </c>
      <c r="I163" s="12">
        <f t="shared" si="17"/>
        <v>13.560847517581196</v>
      </c>
      <c r="J163" s="5">
        <f t="shared" si="18"/>
        <v>59667.72907735727</v>
      </c>
      <c r="K163" s="5">
        <f t="shared" si="19"/>
        <v>16933.524234642206</v>
      </c>
    </row>
    <row r="165" spans="6:11" ht="15">
      <c r="F165" s="1">
        <f>SUM(F144:F164)</f>
        <v>310344.95963344903</v>
      </c>
      <c r="G165" s="6">
        <f>SUM(G164:G164)</f>
        <v>0</v>
      </c>
      <c r="H165" s="1">
        <f>SUM(H143:H164)</f>
        <v>200000</v>
      </c>
      <c r="K165" s="6">
        <f>SUM(K143:K164)</f>
        <v>515240.4240045517</v>
      </c>
    </row>
    <row r="168" spans="3:4" ht="15">
      <c r="C168" s="11"/>
      <c r="D168" s="10"/>
    </row>
    <row r="169" spans="3:4" ht="15">
      <c r="C169" s="11"/>
      <c r="D169" s="4"/>
    </row>
    <row r="182" spans="1:2" ht="15.75">
      <c r="A182" s="3" t="s">
        <v>7</v>
      </c>
      <c r="B182" s="3"/>
    </row>
    <row r="183" spans="1:2" ht="15.75">
      <c r="A183" s="3" t="s">
        <v>3</v>
      </c>
      <c r="B183" s="3"/>
    </row>
    <row r="184" ht="15">
      <c r="A184" t="s">
        <v>33</v>
      </c>
    </row>
    <row r="186" ht="15">
      <c r="A186" t="s">
        <v>20</v>
      </c>
    </row>
    <row r="188" spans="1:6" ht="15">
      <c r="A188" t="s">
        <v>0</v>
      </c>
      <c r="D188" s="21">
        <v>200000</v>
      </c>
      <c r="F188" s="6"/>
    </row>
    <row r="189" spans="1:6" ht="15">
      <c r="A189" t="s">
        <v>16</v>
      </c>
      <c r="D189" s="20">
        <f>D188/250</f>
        <v>800</v>
      </c>
      <c r="F189" s="6"/>
    </row>
    <row r="190" spans="1:6" ht="15">
      <c r="A190" t="s">
        <v>56</v>
      </c>
      <c r="D190" s="24">
        <f>D188/D189</f>
        <v>250</v>
      </c>
      <c r="F190" s="6"/>
    </row>
    <row r="191" spans="1:6" ht="15">
      <c r="A191" t="s">
        <v>21</v>
      </c>
      <c r="D191" s="24">
        <v>400</v>
      </c>
      <c r="F191" s="6"/>
    </row>
    <row r="192" spans="1:4" ht="15">
      <c r="A192" t="s">
        <v>18</v>
      </c>
      <c r="D192" s="24">
        <f>D189*D191</f>
        <v>320000</v>
      </c>
    </row>
    <row r="193" spans="1:4" ht="15">
      <c r="A193" t="s">
        <v>6</v>
      </c>
      <c r="D193" s="25">
        <v>0.065</v>
      </c>
    </row>
    <row r="194" spans="1:4" ht="15">
      <c r="A194" t="s">
        <v>19</v>
      </c>
      <c r="D194" s="22">
        <f>D13</f>
        <v>4400</v>
      </c>
    </row>
    <row r="195" ht="15">
      <c r="D195" s="7"/>
    </row>
    <row r="196" ht="15">
      <c r="D196" s="8"/>
    </row>
    <row r="197" ht="15">
      <c r="D197" s="8"/>
    </row>
    <row r="198" ht="15">
      <c r="D198" s="8"/>
    </row>
    <row r="199" spans="8:9" ht="15">
      <c r="H199" s="9" t="s">
        <v>14</v>
      </c>
      <c r="I199" s="9"/>
    </row>
    <row r="200" spans="2:10" ht="15">
      <c r="B200" s="9"/>
      <c r="C200" s="9" t="s">
        <v>2</v>
      </c>
      <c r="D200" s="9"/>
      <c r="E200" s="9" t="s">
        <v>26</v>
      </c>
      <c r="F200" s="9"/>
      <c r="G200" s="9" t="s">
        <v>28</v>
      </c>
      <c r="H200" s="9" t="s">
        <v>28</v>
      </c>
      <c r="I200" s="9"/>
      <c r="J200" s="9"/>
    </row>
    <row r="201" spans="2:11" ht="15">
      <c r="B201" s="9"/>
      <c r="C201" s="9" t="s">
        <v>11</v>
      </c>
      <c r="D201" s="9" t="s">
        <v>13</v>
      </c>
      <c r="E201" s="9" t="s">
        <v>13</v>
      </c>
      <c r="F201" s="9" t="s">
        <v>14</v>
      </c>
      <c r="G201" s="9" t="s">
        <v>29</v>
      </c>
      <c r="H201" s="9" t="s">
        <v>29</v>
      </c>
      <c r="I201" s="9"/>
      <c r="J201" s="9"/>
      <c r="K201" s="9"/>
    </row>
    <row r="202" spans="2:11" ht="15">
      <c r="B202" s="9" t="s">
        <v>5</v>
      </c>
      <c r="C202" s="9" t="s">
        <v>1</v>
      </c>
      <c r="D202" s="9" t="s">
        <v>30</v>
      </c>
      <c r="E202" s="9" t="s">
        <v>30</v>
      </c>
      <c r="F202" s="9" t="s">
        <v>27</v>
      </c>
      <c r="G202" s="9" t="s">
        <v>10</v>
      </c>
      <c r="H202" s="9" t="s">
        <v>10</v>
      </c>
      <c r="I202" s="9"/>
      <c r="J202" s="9"/>
      <c r="K202" s="9"/>
    </row>
    <row r="204" spans="1:8" ht="15">
      <c r="A204">
        <v>0</v>
      </c>
      <c r="B204">
        <f>1/(1+$D$12)^A204</f>
        <v>1</v>
      </c>
      <c r="F204" s="6"/>
      <c r="G204" s="6">
        <f>D192+D188</f>
        <v>520000</v>
      </c>
      <c r="H204" s="6">
        <f>B204*G204</f>
        <v>520000</v>
      </c>
    </row>
    <row r="205" spans="1:11" ht="15">
      <c r="A205">
        <v>1</v>
      </c>
      <c r="B205">
        <f aca="true" t="shared" si="21" ref="B205:B224">1/(1+$D$12)^A205</f>
        <v>0.9389671361502347</v>
      </c>
      <c r="C205" s="1">
        <f>$D$13</f>
        <v>4400</v>
      </c>
      <c r="D205" s="12">
        <f>1.6247+3.7773</f>
        <v>5.402</v>
      </c>
      <c r="E205" s="13">
        <f>C205*D205</f>
        <v>23768.8</v>
      </c>
      <c r="F205" s="6">
        <f>B205*E205</f>
        <v>22318.1220657277</v>
      </c>
      <c r="G205" s="6"/>
      <c r="H205" s="6">
        <f aca="true" t="shared" si="22" ref="H205:H224">B205*G205</f>
        <v>0</v>
      </c>
      <c r="I205" s="1"/>
      <c r="J205" s="5"/>
      <c r="K205" s="5"/>
    </row>
    <row r="206" spans="1:11" ht="15">
      <c r="A206">
        <v>2</v>
      </c>
      <c r="B206">
        <f t="shared" si="21"/>
        <v>0.8816592827701736</v>
      </c>
      <c r="C206" s="1">
        <f aca="true" t="shared" si="23" ref="C206:C224">$D$13</f>
        <v>4400</v>
      </c>
      <c r="D206" s="12">
        <f aca="true" t="shared" si="24" ref="D206:D224">D205*1.022</f>
        <v>5.520844</v>
      </c>
      <c r="E206" s="13">
        <f aca="true" t="shared" si="25" ref="E206:E224">C206*D206</f>
        <v>24291.713600000003</v>
      </c>
      <c r="F206" s="6">
        <f aca="true" t="shared" si="26" ref="F206:F224">B206*E206</f>
        <v>21417.014789834473</v>
      </c>
      <c r="G206" s="6"/>
      <c r="H206" s="6">
        <f t="shared" si="22"/>
        <v>0</v>
      </c>
      <c r="I206" s="4"/>
      <c r="J206" s="5"/>
      <c r="K206" s="5"/>
    </row>
    <row r="207" spans="1:11" ht="15">
      <c r="A207">
        <v>3</v>
      </c>
      <c r="B207">
        <f t="shared" si="21"/>
        <v>0.8278490918029799</v>
      </c>
      <c r="C207" s="1">
        <f t="shared" si="23"/>
        <v>4400</v>
      </c>
      <c r="D207" s="12">
        <f t="shared" si="24"/>
        <v>5.642302568000001</v>
      </c>
      <c r="E207" s="13">
        <f t="shared" si="25"/>
        <v>24826.131299200002</v>
      </c>
      <c r="F207" s="6">
        <f t="shared" si="26"/>
        <v>20552.290249024256</v>
      </c>
      <c r="G207" s="6"/>
      <c r="H207" s="6">
        <f t="shared" si="22"/>
        <v>0</v>
      </c>
      <c r="I207" s="4"/>
      <c r="J207" s="5"/>
      <c r="K207" s="5"/>
    </row>
    <row r="208" spans="1:11" ht="15">
      <c r="A208">
        <v>4</v>
      </c>
      <c r="B208">
        <f t="shared" si="21"/>
        <v>0.777323090894817</v>
      </c>
      <c r="C208" s="1">
        <f t="shared" si="23"/>
        <v>4400</v>
      </c>
      <c r="D208" s="12">
        <f t="shared" si="24"/>
        <v>5.766433224496001</v>
      </c>
      <c r="E208" s="13">
        <f t="shared" si="25"/>
        <v>25372.306187782404</v>
      </c>
      <c r="F208" s="6">
        <f t="shared" si="26"/>
        <v>19722.47946901671</v>
      </c>
      <c r="G208" s="6"/>
      <c r="H208" s="6">
        <f t="shared" si="22"/>
        <v>0</v>
      </c>
      <c r="I208" s="4"/>
      <c r="J208" s="5"/>
      <c r="K208" s="5"/>
    </row>
    <row r="209" spans="1:11" ht="15">
      <c r="A209">
        <v>5</v>
      </c>
      <c r="B209">
        <f t="shared" si="21"/>
        <v>0.7298808365209549</v>
      </c>
      <c r="C209" s="1">
        <f t="shared" si="23"/>
        <v>4400</v>
      </c>
      <c r="D209" s="12">
        <f t="shared" si="24"/>
        <v>5.893294755434913</v>
      </c>
      <c r="E209" s="13">
        <f t="shared" si="25"/>
        <v>25930.496923913615</v>
      </c>
      <c r="F209" s="6">
        <f t="shared" si="26"/>
        <v>18926.17278623012</v>
      </c>
      <c r="G209" s="6"/>
      <c r="H209" s="6">
        <f t="shared" si="22"/>
        <v>0</v>
      </c>
      <c r="I209" s="4"/>
      <c r="J209" s="5"/>
      <c r="K209" s="5"/>
    </row>
    <row r="210" spans="1:11" ht="15">
      <c r="A210">
        <v>6</v>
      </c>
      <c r="B210">
        <f t="shared" si="21"/>
        <v>0.6853341187990187</v>
      </c>
      <c r="C210" s="1">
        <f t="shared" si="23"/>
        <v>4400</v>
      </c>
      <c r="D210" s="12">
        <f t="shared" si="24"/>
        <v>6.0229472400544815</v>
      </c>
      <c r="E210" s="13">
        <f t="shared" si="25"/>
        <v>26500.967856239717</v>
      </c>
      <c r="F210" s="6">
        <f t="shared" si="26"/>
        <v>18162.017453077166</v>
      </c>
      <c r="G210" s="6"/>
      <c r="H210" s="6">
        <f t="shared" si="22"/>
        <v>0</v>
      </c>
      <c r="I210" s="4"/>
      <c r="J210" s="5"/>
      <c r="K210" s="5"/>
    </row>
    <row r="211" spans="1:11" ht="15">
      <c r="A211">
        <v>7</v>
      </c>
      <c r="B211">
        <f t="shared" si="21"/>
        <v>0.6435062148347594</v>
      </c>
      <c r="C211" s="1">
        <f t="shared" si="23"/>
        <v>4400</v>
      </c>
      <c r="D211" s="12">
        <f t="shared" si="24"/>
        <v>6.15545207933568</v>
      </c>
      <c r="E211" s="13">
        <f t="shared" si="25"/>
        <v>27083.98914907699</v>
      </c>
      <c r="F211" s="6">
        <f t="shared" si="26"/>
        <v>17428.715339948234</v>
      </c>
      <c r="G211" s="6"/>
      <c r="H211" s="6">
        <f t="shared" si="22"/>
        <v>0</v>
      </c>
      <c r="I211" s="4"/>
      <c r="J211" s="5"/>
      <c r="K211" s="5"/>
    </row>
    <row r="212" spans="1:11" ht="15">
      <c r="A212">
        <v>8</v>
      </c>
      <c r="B212">
        <f t="shared" si="21"/>
        <v>0.6042311876382719</v>
      </c>
      <c r="C212" s="1">
        <f t="shared" si="23"/>
        <v>4400</v>
      </c>
      <c r="D212" s="12">
        <f t="shared" si="24"/>
        <v>6.290872025081065</v>
      </c>
      <c r="E212" s="13">
        <f t="shared" si="25"/>
        <v>27679.836910356684</v>
      </c>
      <c r="F212" s="6">
        <f t="shared" si="26"/>
        <v>16725.020729978492</v>
      </c>
      <c r="G212" s="6"/>
      <c r="H212" s="6">
        <f t="shared" si="22"/>
        <v>0</v>
      </c>
      <c r="I212" s="4"/>
      <c r="J212" s="5"/>
      <c r="K212" s="5"/>
    </row>
    <row r="213" spans="1:11" ht="15">
      <c r="A213">
        <v>9</v>
      </c>
      <c r="B213">
        <f t="shared" si="21"/>
        <v>0.5673532278293633</v>
      </c>
      <c r="C213" s="1">
        <f t="shared" si="23"/>
        <v>4400</v>
      </c>
      <c r="D213" s="12">
        <f t="shared" si="24"/>
        <v>6.429271209632848</v>
      </c>
      <c r="E213" s="13">
        <f t="shared" si="25"/>
        <v>28288.793322384532</v>
      </c>
      <c r="F213" s="6">
        <f t="shared" si="26"/>
        <v>16049.7382028526</v>
      </c>
      <c r="G213" s="6"/>
      <c r="H213" s="6">
        <f t="shared" si="22"/>
        <v>0</v>
      </c>
      <c r="I213" s="4"/>
      <c r="J213" s="5"/>
      <c r="K213" s="5"/>
    </row>
    <row r="214" spans="1:11" ht="15">
      <c r="A214">
        <v>10</v>
      </c>
      <c r="B214">
        <f t="shared" si="21"/>
        <v>0.5327260355205289</v>
      </c>
      <c r="C214" s="1">
        <f t="shared" si="23"/>
        <v>4400</v>
      </c>
      <c r="D214" s="12">
        <f t="shared" si="24"/>
        <v>6.570715176244771</v>
      </c>
      <c r="E214" s="13">
        <f t="shared" si="25"/>
        <v>28911.14677547699</v>
      </c>
      <c r="F214" s="6">
        <f t="shared" si="26"/>
        <v>15401.72060405198</v>
      </c>
      <c r="G214" s="6"/>
      <c r="H214" s="6">
        <f t="shared" si="22"/>
        <v>0</v>
      </c>
      <c r="I214" s="4"/>
      <c r="J214" s="5"/>
      <c r="K214" s="5"/>
    </row>
    <row r="215" spans="1:11" ht="15">
      <c r="A215">
        <v>11</v>
      </c>
      <c r="B215">
        <f t="shared" si="21"/>
        <v>0.5002122399253793</v>
      </c>
      <c r="C215" s="1">
        <f t="shared" si="23"/>
        <v>4400</v>
      </c>
      <c r="D215" s="12">
        <f t="shared" si="24"/>
        <v>6.715270910122156</v>
      </c>
      <c r="E215" s="13">
        <f t="shared" si="25"/>
        <v>29547.192004537486</v>
      </c>
      <c r="F215" s="6">
        <f t="shared" si="26"/>
        <v>14779.867096094955</v>
      </c>
      <c r="G215" s="6"/>
      <c r="H215" s="6">
        <f t="shared" si="22"/>
        <v>0</v>
      </c>
      <c r="I215" s="4"/>
      <c r="J215" s="5"/>
      <c r="K215" s="5"/>
    </row>
    <row r="216" spans="1:11" ht="15">
      <c r="A216">
        <v>12</v>
      </c>
      <c r="B216">
        <f t="shared" si="21"/>
        <v>0.4696828543900276</v>
      </c>
      <c r="C216" s="1">
        <f t="shared" si="23"/>
        <v>4400</v>
      </c>
      <c r="D216" s="12">
        <f t="shared" si="24"/>
        <v>6.863006870144844</v>
      </c>
      <c r="E216" s="13">
        <f t="shared" si="25"/>
        <v>30197.230228637312</v>
      </c>
      <c r="F216" s="6">
        <f t="shared" si="26"/>
        <v>14183.121288459199</v>
      </c>
      <c r="G216" s="6"/>
      <c r="H216" s="6">
        <f t="shared" si="22"/>
        <v>0</v>
      </c>
      <c r="I216" s="4"/>
      <c r="J216" s="5"/>
      <c r="K216" s="5"/>
    </row>
    <row r="217" spans="1:11" ht="15">
      <c r="A217">
        <v>13</v>
      </c>
      <c r="B217">
        <f t="shared" si="21"/>
        <v>0.4410167646854719</v>
      </c>
      <c r="C217" s="1">
        <f t="shared" si="23"/>
        <v>4400</v>
      </c>
      <c r="D217" s="12">
        <f t="shared" si="24"/>
        <v>7.01399302128803</v>
      </c>
      <c r="E217" s="13">
        <f t="shared" si="25"/>
        <v>30861.569293667333</v>
      </c>
      <c r="F217" s="6">
        <f t="shared" si="26"/>
        <v>13610.469443009672</v>
      </c>
      <c r="G217" s="6"/>
      <c r="H217" s="6">
        <f t="shared" si="22"/>
        <v>0</v>
      </c>
      <c r="I217" s="4"/>
      <c r="J217" s="5"/>
      <c r="K217" s="5"/>
    </row>
    <row r="218" spans="1:11" ht="15">
      <c r="A218">
        <v>14</v>
      </c>
      <c r="B218">
        <f t="shared" si="21"/>
        <v>0.41410024853095956</v>
      </c>
      <c r="C218" s="1">
        <f t="shared" si="23"/>
        <v>4400</v>
      </c>
      <c r="D218" s="12">
        <f t="shared" si="24"/>
        <v>7.168300867756367</v>
      </c>
      <c r="E218" s="13">
        <f t="shared" si="25"/>
        <v>31540.523818128015</v>
      </c>
      <c r="F218" s="6">
        <f t="shared" si="26"/>
        <v>13060.938751883461</v>
      </c>
      <c r="G218" s="6"/>
      <c r="H218" s="6">
        <f t="shared" si="22"/>
        <v>0</v>
      </c>
      <c r="I218" s="4"/>
      <c r="J218" s="5"/>
      <c r="K218" s="5"/>
    </row>
    <row r="219" spans="1:11" ht="15">
      <c r="A219">
        <v>15</v>
      </c>
      <c r="B219">
        <f t="shared" si="21"/>
        <v>0.38882652444221566</v>
      </c>
      <c r="C219" s="1">
        <f t="shared" si="23"/>
        <v>4400</v>
      </c>
      <c r="D219" s="12">
        <f t="shared" si="24"/>
        <v>7.326003486847007</v>
      </c>
      <c r="E219" s="13">
        <f t="shared" si="25"/>
        <v>32234.41534212683</v>
      </c>
      <c r="F219" s="6">
        <f t="shared" si="26"/>
        <v>12533.59568490601</v>
      </c>
      <c r="G219" s="6"/>
      <c r="H219" s="6">
        <f t="shared" si="22"/>
        <v>0</v>
      </c>
      <c r="I219" s="4"/>
      <c r="J219" s="5"/>
      <c r="K219" s="5"/>
    </row>
    <row r="220" spans="1:11" ht="15">
      <c r="A220">
        <v>16</v>
      </c>
      <c r="B220">
        <f t="shared" si="21"/>
        <v>0.3650953281147565</v>
      </c>
      <c r="C220" s="1">
        <f t="shared" si="23"/>
        <v>4400</v>
      </c>
      <c r="D220" s="12">
        <f t="shared" si="24"/>
        <v>7.487175563557641</v>
      </c>
      <c r="E220" s="13">
        <f t="shared" si="25"/>
        <v>32943.57247965362</v>
      </c>
      <c r="F220" s="6">
        <f t="shared" si="26"/>
        <v>12027.544403731401</v>
      </c>
      <c r="G220" s="6"/>
      <c r="H220" s="6">
        <f t="shared" si="22"/>
        <v>0</v>
      </c>
      <c r="I220" s="4"/>
      <c r="J220" s="5"/>
      <c r="K220" s="5"/>
    </row>
    <row r="221" spans="1:11" ht="15">
      <c r="A221">
        <v>17</v>
      </c>
      <c r="B221">
        <f t="shared" si="21"/>
        <v>0.34281251466174323</v>
      </c>
      <c r="C221" s="1">
        <f t="shared" si="23"/>
        <v>4400</v>
      </c>
      <c r="D221" s="12">
        <f t="shared" si="24"/>
        <v>7.651893425955909</v>
      </c>
      <c r="E221" s="13">
        <f t="shared" si="25"/>
        <v>33668.331074206</v>
      </c>
      <c r="F221" s="6">
        <f t="shared" si="26"/>
        <v>11541.92524001267</v>
      </c>
      <c r="G221" s="6"/>
      <c r="H221" s="6">
        <f t="shared" si="22"/>
        <v>0</v>
      </c>
      <c r="I221" s="4"/>
      <c r="J221" s="5"/>
      <c r="K221" s="5"/>
    </row>
    <row r="222" spans="1:11" ht="15">
      <c r="A222">
        <v>18</v>
      </c>
      <c r="B222">
        <f t="shared" si="21"/>
        <v>0.3218896851283974</v>
      </c>
      <c r="C222" s="1">
        <f t="shared" si="23"/>
        <v>4400</v>
      </c>
      <c r="D222" s="12">
        <f t="shared" si="24"/>
        <v>7.820235081326939</v>
      </c>
      <c r="E222" s="13">
        <f t="shared" si="25"/>
        <v>34409.03435783853</v>
      </c>
      <c r="F222" s="6">
        <f t="shared" si="26"/>
        <v>11075.913235016851</v>
      </c>
      <c r="G222" s="6"/>
      <c r="H222" s="6">
        <f t="shared" si="22"/>
        <v>0</v>
      </c>
      <c r="I222" s="4"/>
      <c r="J222" s="5"/>
      <c r="K222" s="5"/>
    </row>
    <row r="223" spans="1:11" ht="15">
      <c r="A223">
        <v>19</v>
      </c>
      <c r="B223">
        <f t="shared" si="21"/>
        <v>0.30224383580131214</v>
      </c>
      <c r="C223" s="1">
        <f t="shared" si="23"/>
        <v>4400</v>
      </c>
      <c r="D223" s="12">
        <f t="shared" si="24"/>
        <v>7.992280253116132</v>
      </c>
      <c r="E223" s="13">
        <f t="shared" si="25"/>
        <v>35166.03311371098</v>
      </c>
      <c r="F223" s="6">
        <f t="shared" si="26"/>
        <v>10628.716738203968</v>
      </c>
      <c r="G223" s="6"/>
      <c r="H223" s="6">
        <f t="shared" si="22"/>
        <v>0</v>
      </c>
      <c r="I223" s="4"/>
      <c r="J223" s="5"/>
      <c r="K223" s="5"/>
    </row>
    <row r="224" spans="1:11" ht="15">
      <c r="A224">
        <v>20</v>
      </c>
      <c r="B224">
        <f t="shared" si="21"/>
        <v>0.2837970289214199</v>
      </c>
      <c r="C224" s="1">
        <f t="shared" si="23"/>
        <v>4400</v>
      </c>
      <c r="D224" s="12">
        <f t="shared" si="24"/>
        <v>8.168110418684687</v>
      </c>
      <c r="E224" s="13">
        <f t="shared" si="25"/>
        <v>35939.685842212624</v>
      </c>
      <c r="F224" s="6">
        <f t="shared" si="26"/>
        <v>10199.576062389162</v>
      </c>
      <c r="G224" s="6"/>
      <c r="H224" s="6">
        <f t="shared" si="22"/>
        <v>0</v>
      </c>
      <c r="I224" s="4"/>
      <c r="J224" s="5"/>
      <c r="K224" s="5"/>
    </row>
    <row r="226" spans="6:11" ht="15">
      <c r="F226" s="1">
        <f>SUM(F205:F225)</f>
        <v>310344.95963344903</v>
      </c>
      <c r="G226" s="6">
        <f>SUM(G225:G225)</f>
        <v>0</v>
      </c>
      <c r="H226" s="1">
        <f>SUM(H204:H225)</f>
        <v>520000</v>
      </c>
      <c r="K226" s="6"/>
    </row>
    <row r="229" spans="3:4" ht="15">
      <c r="C229" s="11"/>
      <c r="D229" s="10"/>
    </row>
    <row r="230" spans="3:4" ht="15">
      <c r="C230" s="11"/>
      <c r="D230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4"/>
  <sheetViews>
    <sheetView zoomScalePageLayoutView="0" workbookViewId="0" topLeftCell="A1">
      <selection activeCell="D184" sqref="D184:D190"/>
    </sheetView>
  </sheetViews>
  <sheetFormatPr defaultColWidth="9.140625" defaultRowHeight="15"/>
  <cols>
    <col min="2" max="2" width="14.00390625" style="0" customWidth="1"/>
    <col min="3" max="3" width="14.140625" style="0" customWidth="1"/>
    <col min="4" max="4" width="14.28125" style="0" customWidth="1"/>
    <col min="5" max="5" width="14.140625" style="0" customWidth="1"/>
    <col min="6" max="6" width="13.8515625" style="0" customWidth="1"/>
    <col min="7" max="8" width="15.8515625" style="0" customWidth="1"/>
    <col min="9" max="9" width="14.28125" style="0" customWidth="1"/>
    <col min="10" max="11" width="14.8515625" style="0" customWidth="1"/>
    <col min="13" max="13" width="15.421875" style="0" customWidth="1"/>
    <col min="14" max="14" width="14.7109375" style="0" customWidth="1"/>
  </cols>
  <sheetData>
    <row r="1" spans="1:2" ht="15.75">
      <c r="A1" s="3" t="s">
        <v>7</v>
      </c>
      <c r="B1" s="3"/>
    </row>
    <row r="2" spans="1:2" ht="15.75">
      <c r="A2" s="3" t="s">
        <v>52</v>
      </c>
      <c r="B2" s="3"/>
    </row>
    <row r="3" ht="15">
      <c r="A3" t="s">
        <v>8</v>
      </c>
    </row>
    <row r="5" ht="15">
      <c r="A5" t="s">
        <v>20</v>
      </c>
    </row>
    <row r="7" spans="1:6" ht="15">
      <c r="A7" t="s">
        <v>15</v>
      </c>
      <c r="D7" s="21">
        <v>400000</v>
      </c>
      <c r="F7" s="6"/>
    </row>
    <row r="8" spans="1:6" ht="15">
      <c r="A8" t="s">
        <v>16</v>
      </c>
      <c r="D8" s="22">
        <f>D7/320</f>
        <v>1250</v>
      </c>
      <c r="F8" s="6"/>
    </row>
    <row r="9" spans="1:4" ht="15">
      <c r="A9" t="s">
        <v>17</v>
      </c>
      <c r="D9" s="21">
        <f>D7/D8</f>
        <v>320</v>
      </c>
    </row>
    <row r="10" spans="1:4" ht="15">
      <c r="A10" t="s">
        <v>21</v>
      </c>
      <c r="D10" s="21">
        <v>903</v>
      </c>
    </row>
    <row r="11" spans="1:4" ht="15">
      <c r="A11" t="s">
        <v>18</v>
      </c>
      <c r="D11" s="21">
        <f>D8*D10</f>
        <v>1128750</v>
      </c>
    </row>
    <row r="12" spans="1:4" ht="15">
      <c r="A12" t="s">
        <v>6</v>
      </c>
      <c r="D12" s="23">
        <v>0.065</v>
      </c>
    </row>
    <row r="13" spans="1:4" ht="15">
      <c r="A13" t="s">
        <v>19</v>
      </c>
      <c r="D13" s="22">
        <v>7055</v>
      </c>
    </row>
    <row r="14" ht="15">
      <c r="D14" s="8"/>
    </row>
    <row r="15" ht="15">
      <c r="D15" s="8"/>
    </row>
    <row r="17" spans="2:7" ht="15">
      <c r="B17" s="9"/>
      <c r="C17" s="9"/>
      <c r="D17" s="9" t="s">
        <v>14</v>
      </c>
      <c r="E17" s="9" t="s">
        <v>2</v>
      </c>
      <c r="F17" s="9"/>
      <c r="G17" s="9"/>
    </row>
    <row r="18" spans="2:8" ht="15">
      <c r="B18" s="9"/>
      <c r="C18" s="9" t="s">
        <v>9</v>
      </c>
      <c r="D18" s="9" t="s">
        <v>9</v>
      </c>
      <c r="E18" s="9" t="s">
        <v>11</v>
      </c>
      <c r="F18" s="9" t="s">
        <v>13</v>
      </c>
      <c r="G18" s="9" t="s">
        <v>9</v>
      </c>
      <c r="H18" s="9" t="s">
        <v>54</v>
      </c>
    </row>
    <row r="19" spans="2:8" ht="15">
      <c r="B19" s="9" t="s">
        <v>5</v>
      </c>
      <c r="C19" s="9" t="s">
        <v>10</v>
      </c>
      <c r="D19" s="9" t="s">
        <v>10</v>
      </c>
      <c r="E19" s="9" t="s">
        <v>1</v>
      </c>
      <c r="F19" s="9" t="s">
        <v>10</v>
      </c>
      <c r="G19" s="9" t="s">
        <v>12</v>
      </c>
      <c r="H19" s="9" t="s">
        <v>12</v>
      </c>
    </row>
    <row r="21" spans="1:4" ht="15">
      <c r="A21">
        <v>0</v>
      </c>
      <c r="B21">
        <f>1/(1+$D$12)^A21</f>
        <v>1</v>
      </c>
      <c r="C21" s="6">
        <f>D11</f>
        <v>1128750</v>
      </c>
      <c r="D21" s="6">
        <f>B21*C21</f>
        <v>1128750</v>
      </c>
    </row>
    <row r="22" spans="1:8" ht="15">
      <c r="A22">
        <v>1</v>
      </c>
      <c r="B22">
        <f aca="true" t="shared" si="0" ref="B22:B41">1/(1+$D$12)^A22</f>
        <v>0.9389671361502347</v>
      </c>
      <c r="D22" s="6">
        <f aca="true" t="shared" si="1" ref="D22:D41">B22*C22</f>
        <v>0</v>
      </c>
      <c r="E22" s="1">
        <f>$D$13</f>
        <v>7055</v>
      </c>
      <c r="F22" s="12">
        <v>8.9685</v>
      </c>
      <c r="G22" s="5">
        <f>E22*F22</f>
        <v>63272.7675</v>
      </c>
      <c r="H22" s="26">
        <f>G22*B22</f>
        <v>59411.04929577465</v>
      </c>
    </row>
    <row r="23" spans="1:8" ht="15">
      <c r="A23">
        <v>2</v>
      </c>
      <c r="B23">
        <f t="shared" si="0"/>
        <v>0.8816592827701736</v>
      </c>
      <c r="D23" s="6">
        <f t="shared" si="1"/>
        <v>0</v>
      </c>
      <c r="E23" s="1">
        <f aca="true" t="shared" si="2" ref="E23:E41">$D$13</f>
        <v>7055</v>
      </c>
      <c r="F23" s="12">
        <f aca="true" t="shared" si="3" ref="F23:F41">F22*1.022</f>
        <v>9.165807000000001</v>
      </c>
      <c r="G23" s="5">
        <f aca="true" t="shared" si="4" ref="G23:G41">E23*F23</f>
        <v>64664.768385</v>
      </c>
      <c r="H23" s="26">
        <f aca="true" t="shared" si="5" ref="H23:H41">G23*B23</f>
        <v>57012.2933148185</v>
      </c>
    </row>
    <row r="24" spans="1:8" ht="15">
      <c r="A24">
        <v>3</v>
      </c>
      <c r="B24">
        <f t="shared" si="0"/>
        <v>0.8278490918029799</v>
      </c>
      <c r="D24" s="6">
        <f t="shared" si="1"/>
        <v>0</v>
      </c>
      <c r="E24" s="1">
        <f t="shared" si="2"/>
        <v>7055</v>
      </c>
      <c r="F24" s="12">
        <f t="shared" si="3"/>
        <v>9.367454754</v>
      </c>
      <c r="G24" s="5">
        <f t="shared" si="4"/>
        <v>66087.39328947</v>
      </c>
      <c r="H24" s="26">
        <f t="shared" si="5"/>
        <v>54710.38851431409</v>
      </c>
    </row>
    <row r="25" spans="1:8" ht="15">
      <c r="A25">
        <v>4</v>
      </c>
      <c r="B25">
        <f t="shared" si="0"/>
        <v>0.777323090894817</v>
      </c>
      <c r="D25" s="6">
        <f t="shared" si="1"/>
        <v>0</v>
      </c>
      <c r="E25" s="1">
        <f t="shared" si="2"/>
        <v>7055</v>
      </c>
      <c r="F25" s="12">
        <f t="shared" si="3"/>
        <v>9.573538758588</v>
      </c>
      <c r="G25" s="5">
        <f t="shared" si="4"/>
        <v>67541.31594183834</v>
      </c>
      <c r="H25" s="26">
        <f t="shared" si="5"/>
        <v>52501.42447101316</v>
      </c>
    </row>
    <row r="26" spans="1:8" ht="15">
      <c r="A26">
        <v>5</v>
      </c>
      <c r="B26">
        <f t="shared" si="0"/>
        <v>0.7298808365209549</v>
      </c>
      <c r="D26" s="6">
        <f t="shared" si="1"/>
        <v>0</v>
      </c>
      <c r="E26" s="1">
        <f t="shared" si="2"/>
        <v>7055</v>
      </c>
      <c r="F26" s="12">
        <f t="shared" si="3"/>
        <v>9.784156611276936</v>
      </c>
      <c r="G26" s="5">
        <f t="shared" si="4"/>
        <v>69027.22489255878</v>
      </c>
      <c r="H26" s="26">
        <f t="shared" si="5"/>
        <v>50381.648647300884</v>
      </c>
    </row>
    <row r="27" spans="1:8" ht="15">
      <c r="A27">
        <v>6</v>
      </c>
      <c r="B27">
        <f t="shared" si="0"/>
        <v>0.6853341187990187</v>
      </c>
      <c r="D27" s="6">
        <f t="shared" si="1"/>
        <v>0</v>
      </c>
      <c r="E27" s="1">
        <f t="shared" si="2"/>
        <v>7055</v>
      </c>
      <c r="F27" s="12">
        <f t="shared" si="3"/>
        <v>9.999408056725029</v>
      </c>
      <c r="G27" s="5">
        <f t="shared" si="4"/>
        <v>70545.82384019508</v>
      </c>
      <c r="H27" s="26">
        <f t="shared" si="5"/>
        <v>48347.460016470905</v>
      </c>
    </row>
    <row r="28" spans="1:8" ht="15">
      <c r="A28">
        <v>7</v>
      </c>
      <c r="B28">
        <f t="shared" si="0"/>
        <v>0.6435062148347594</v>
      </c>
      <c r="D28" s="6">
        <f t="shared" si="1"/>
        <v>0</v>
      </c>
      <c r="E28" s="1">
        <f t="shared" si="2"/>
        <v>7055</v>
      </c>
      <c r="F28" s="12">
        <f t="shared" si="3"/>
        <v>10.21939503397298</v>
      </c>
      <c r="G28" s="5">
        <f t="shared" si="4"/>
        <v>72097.83196467937</v>
      </c>
      <c r="H28" s="26">
        <f t="shared" si="5"/>
        <v>46395.40294538335</v>
      </c>
    </row>
    <row r="29" spans="1:8" ht="15">
      <c r="A29">
        <v>8</v>
      </c>
      <c r="B29">
        <f t="shared" si="0"/>
        <v>0.6042311876382719</v>
      </c>
      <c r="D29" s="6">
        <f t="shared" si="1"/>
        <v>0</v>
      </c>
      <c r="E29" s="1">
        <f t="shared" si="2"/>
        <v>7055</v>
      </c>
      <c r="F29" s="12">
        <f t="shared" si="3"/>
        <v>10.444221724720386</v>
      </c>
      <c r="G29" s="5">
        <f t="shared" si="4"/>
        <v>73683.98426790233</v>
      </c>
      <c r="H29" s="26">
        <f t="shared" si="5"/>
        <v>44522.161324114364</v>
      </c>
    </row>
    <row r="30" spans="1:8" ht="15">
      <c r="A30">
        <v>9</v>
      </c>
      <c r="B30">
        <f t="shared" si="0"/>
        <v>0.5673532278293633</v>
      </c>
      <c r="D30" s="6">
        <f t="shared" si="1"/>
        <v>0</v>
      </c>
      <c r="E30" s="1">
        <f t="shared" si="2"/>
        <v>7055</v>
      </c>
      <c r="F30" s="12">
        <f t="shared" si="3"/>
        <v>10.673994602664234</v>
      </c>
      <c r="G30" s="5">
        <f t="shared" si="4"/>
        <v>75305.03192179617</v>
      </c>
      <c r="H30" s="26">
        <f t="shared" si="5"/>
        <v>42724.55293262429</v>
      </c>
    </row>
    <row r="31" spans="1:8" ht="15">
      <c r="A31">
        <v>10</v>
      </c>
      <c r="B31">
        <f t="shared" si="0"/>
        <v>0.5327260355205289</v>
      </c>
      <c r="D31" s="6">
        <f t="shared" si="1"/>
        <v>0</v>
      </c>
      <c r="E31" s="1">
        <f t="shared" si="2"/>
        <v>7055</v>
      </c>
      <c r="F31" s="12">
        <f t="shared" si="3"/>
        <v>10.908822483922847</v>
      </c>
      <c r="G31" s="5">
        <f t="shared" si="4"/>
        <v>76961.74262407569</v>
      </c>
      <c r="H31" s="26">
        <f t="shared" si="5"/>
        <v>40999.52403487515</v>
      </c>
    </row>
    <row r="32" spans="1:8" ht="15">
      <c r="A32">
        <v>11</v>
      </c>
      <c r="B32">
        <f t="shared" si="0"/>
        <v>0.5002122399253793</v>
      </c>
      <c r="D32" s="6">
        <f t="shared" si="1"/>
        <v>0</v>
      </c>
      <c r="E32" s="1">
        <f t="shared" si="2"/>
        <v>7055</v>
      </c>
      <c r="F32" s="12">
        <f t="shared" si="3"/>
        <v>11.14881657856915</v>
      </c>
      <c r="G32" s="5">
        <f t="shared" si="4"/>
        <v>78654.90096180535</v>
      </c>
      <c r="H32" s="26">
        <f t="shared" si="5"/>
        <v>39344.14419121353</v>
      </c>
    </row>
    <row r="33" spans="1:8" ht="15">
      <c r="A33">
        <v>12</v>
      </c>
      <c r="B33">
        <f t="shared" si="0"/>
        <v>0.4696828543900276</v>
      </c>
      <c r="D33" s="6">
        <f t="shared" si="1"/>
        <v>0</v>
      </c>
      <c r="E33" s="1">
        <f t="shared" si="2"/>
        <v>7055</v>
      </c>
      <c r="F33" s="12">
        <f t="shared" si="3"/>
        <v>11.394090543297672</v>
      </c>
      <c r="G33" s="5">
        <f t="shared" si="4"/>
        <v>80385.30878296508</v>
      </c>
      <c r="H33" s="26">
        <f t="shared" si="5"/>
        <v>37755.60128020679</v>
      </c>
    </row>
    <row r="34" spans="1:8" ht="15">
      <c r="A34">
        <v>13</v>
      </c>
      <c r="B34">
        <f t="shared" si="0"/>
        <v>0.4410167646854719</v>
      </c>
      <c r="D34" s="6">
        <f t="shared" si="1"/>
        <v>0</v>
      </c>
      <c r="E34" s="1">
        <f t="shared" si="2"/>
        <v>7055</v>
      </c>
      <c r="F34" s="12">
        <f t="shared" si="3"/>
        <v>11.64476053525022</v>
      </c>
      <c r="G34" s="5">
        <f t="shared" si="4"/>
        <v>82153.7855761903</v>
      </c>
      <c r="H34" s="26">
        <f t="shared" si="5"/>
        <v>36231.19672147543</v>
      </c>
    </row>
    <row r="35" spans="1:8" ht="15">
      <c r="A35">
        <v>14</v>
      </c>
      <c r="B35">
        <f t="shared" si="0"/>
        <v>0.41410024853095956</v>
      </c>
      <c r="D35" s="6">
        <f t="shared" si="1"/>
        <v>0</v>
      </c>
      <c r="E35" s="1">
        <f t="shared" si="2"/>
        <v>7055</v>
      </c>
      <c r="F35" s="12">
        <f t="shared" si="3"/>
        <v>11.900945267025726</v>
      </c>
      <c r="G35" s="5">
        <f t="shared" si="4"/>
        <v>83961.1688588665</v>
      </c>
      <c r="H35" s="26">
        <f t="shared" si="5"/>
        <v>34768.34089140648</v>
      </c>
    </row>
    <row r="36" spans="1:8" ht="15">
      <c r="A36">
        <v>15</v>
      </c>
      <c r="B36">
        <f t="shared" si="0"/>
        <v>0.38882652444221566</v>
      </c>
      <c r="D36" s="6">
        <f t="shared" si="1"/>
        <v>0</v>
      </c>
      <c r="E36" s="1">
        <f t="shared" si="2"/>
        <v>7055</v>
      </c>
      <c r="F36" s="12">
        <f t="shared" si="3"/>
        <v>12.162766062900292</v>
      </c>
      <c r="G36" s="5">
        <f t="shared" si="4"/>
        <v>85808.31457376157</v>
      </c>
      <c r="H36" s="26">
        <f t="shared" si="5"/>
        <v>33364.54872396003</v>
      </c>
    </row>
    <row r="37" spans="1:8" ht="15">
      <c r="A37">
        <v>16</v>
      </c>
      <c r="B37">
        <f t="shared" si="0"/>
        <v>0.3650953281147565</v>
      </c>
      <c r="D37" s="6">
        <f t="shared" si="1"/>
        <v>0</v>
      </c>
      <c r="E37" s="1">
        <f t="shared" si="2"/>
        <v>7055</v>
      </c>
      <c r="F37" s="12">
        <f t="shared" si="3"/>
        <v>12.4303469162841</v>
      </c>
      <c r="G37" s="5">
        <f t="shared" si="4"/>
        <v>87696.09749438432</v>
      </c>
      <c r="H37" s="26">
        <f t="shared" si="5"/>
        <v>32017.435489095915</v>
      </c>
    </row>
    <row r="38" spans="1:8" ht="15">
      <c r="A38">
        <v>17</v>
      </c>
      <c r="B38">
        <f t="shared" si="0"/>
        <v>0.34281251466174323</v>
      </c>
      <c r="D38" s="6">
        <f t="shared" si="1"/>
        <v>0</v>
      </c>
      <c r="E38" s="1">
        <f t="shared" si="2"/>
        <v>7055</v>
      </c>
      <c r="F38" s="12">
        <f t="shared" si="3"/>
        <v>12.70381454844235</v>
      </c>
      <c r="G38" s="5">
        <f t="shared" si="4"/>
        <v>89625.41163926078</v>
      </c>
      <c r="H38" s="26">
        <f t="shared" si="5"/>
        <v>30724.71274164886</v>
      </c>
    </row>
    <row r="39" spans="1:8" ht="15">
      <c r="A39">
        <v>18</v>
      </c>
      <c r="B39">
        <f t="shared" si="0"/>
        <v>0.3218896851283974</v>
      </c>
      <c r="D39" s="6">
        <f t="shared" si="1"/>
        <v>0</v>
      </c>
      <c r="E39" s="1">
        <f t="shared" si="2"/>
        <v>7055</v>
      </c>
      <c r="F39" s="12">
        <f t="shared" si="3"/>
        <v>12.983298468508082</v>
      </c>
      <c r="G39" s="5">
        <f t="shared" si="4"/>
        <v>91597.17069532452</v>
      </c>
      <c r="H39" s="26">
        <f t="shared" si="5"/>
        <v>29484.184433770075</v>
      </c>
    </row>
    <row r="40" spans="1:8" ht="15">
      <c r="A40">
        <v>19</v>
      </c>
      <c r="B40">
        <f t="shared" si="0"/>
        <v>0.30224383580131214</v>
      </c>
      <c r="D40" s="6">
        <f t="shared" si="1"/>
        <v>0</v>
      </c>
      <c r="E40" s="1">
        <f t="shared" si="2"/>
        <v>7055</v>
      </c>
      <c r="F40" s="12">
        <f t="shared" si="3"/>
        <v>13.26893103481526</v>
      </c>
      <c r="G40" s="5">
        <f t="shared" si="4"/>
        <v>93612.30845062165</v>
      </c>
      <c r="H40" s="26">
        <f t="shared" si="5"/>
        <v>28293.743184331477</v>
      </c>
    </row>
    <row r="41" spans="1:8" ht="15">
      <c r="A41">
        <v>20</v>
      </c>
      <c r="B41">
        <f t="shared" si="0"/>
        <v>0.2837970289214199</v>
      </c>
      <c r="D41" s="6">
        <f t="shared" si="1"/>
        <v>0</v>
      </c>
      <c r="E41" s="1">
        <f t="shared" si="2"/>
        <v>7055</v>
      </c>
      <c r="F41" s="12">
        <f t="shared" si="3"/>
        <v>13.560847517581196</v>
      </c>
      <c r="G41" s="5">
        <f t="shared" si="4"/>
        <v>95671.77923653534</v>
      </c>
      <c r="H41" s="26">
        <f t="shared" si="5"/>
        <v>27151.36669895472</v>
      </c>
    </row>
    <row r="43" spans="4:8" ht="15">
      <c r="D43" s="6">
        <f>SUM(D21:D42)</f>
        <v>1128750</v>
      </c>
      <c r="G43" s="6">
        <f>SUM(G21:G42)</f>
        <v>1568354.130897231</v>
      </c>
      <c r="H43" s="6">
        <f>SUM(H21:H42)</f>
        <v>826141.1798527528</v>
      </c>
    </row>
    <row r="46" spans="3:4" ht="15">
      <c r="C46" s="11"/>
      <c r="D46" s="10"/>
    </row>
    <row r="47" spans="3:4" ht="15">
      <c r="C47" s="11"/>
      <c r="D47" s="4"/>
    </row>
    <row r="58" spans="1:2" ht="15.75">
      <c r="A58" s="3" t="s">
        <v>7</v>
      </c>
      <c r="B58" s="3"/>
    </row>
    <row r="59" spans="1:2" ht="15.75">
      <c r="A59" s="3" t="s">
        <v>52</v>
      </c>
      <c r="B59" s="3"/>
    </row>
    <row r="60" ht="15">
      <c r="A60" t="s">
        <v>44</v>
      </c>
    </row>
    <row r="62" ht="15">
      <c r="A62" t="s">
        <v>20</v>
      </c>
    </row>
    <row r="64" spans="1:6" ht="15">
      <c r="A64" t="s">
        <v>15</v>
      </c>
      <c r="D64" s="21">
        <v>400000</v>
      </c>
      <c r="F64" s="6"/>
    </row>
    <row r="65" spans="1:6" ht="15">
      <c r="A65" t="s">
        <v>16</v>
      </c>
      <c r="D65" s="22">
        <v>1250</v>
      </c>
      <c r="F65" s="6"/>
    </row>
    <row r="66" spans="1:4" ht="15">
      <c r="A66" t="s">
        <v>17</v>
      </c>
      <c r="D66" s="21">
        <f>D64/D65</f>
        <v>320</v>
      </c>
    </row>
    <row r="67" spans="1:4" ht="15">
      <c r="A67" t="s">
        <v>21</v>
      </c>
      <c r="D67" s="21">
        <f>D10</f>
        <v>903</v>
      </c>
    </row>
    <row r="68" spans="1:4" ht="15">
      <c r="A68" t="s">
        <v>18</v>
      </c>
      <c r="D68" s="21">
        <f>D65*D67</f>
        <v>1128750</v>
      </c>
    </row>
    <row r="69" spans="1:4" ht="15">
      <c r="A69" t="s">
        <v>6</v>
      </c>
      <c r="D69" s="23">
        <v>0.065</v>
      </c>
    </row>
    <row r="70" spans="1:4" ht="15">
      <c r="A70" t="s">
        <v>19</v>
      </c>
      <c r="D70" s="22">
        <f>D13</f>
        <v>7055</v>
      </c>
    </row>
    <row r="71" ht="15">
      <c r="D71" s="8"/>
    </row>
    <row r="72" ht="15">
      <c r="D72" s="8"/>
    </row>
    <row r="73" ht="15">
      <c r="K73" s="9" t="s">
        <v>14</v>
      </c>
    </row>
    <row r="74" spans="2:11" ht="15">
      <c r="B74" s="9"/>
      <c r="C74" s="9" t="s">
        <v>2</v>
      </c>
      <c r="D74" s="9"/>
      <c r="E74" s="9" t="s">
        <v>26</v>
      </c>
      <c r="F74" s="9"/>
      <c r="I74" s="9" t="s">
        <v>14</v>
      </c>
      <c r="J74" s="9" t="s">
        <v>28</v>
      </c>
      <c r="K74" s="9" t="s">
        <v>28</v>
      </c>
    </row>
    <row r="75" spans="2:11" ht="15">
      <c r="B75" s="9"/>
      <c r="C75" s="9" t="s">
        <v>11</v>
      </c>
      <c r="D75" s="9" t="s">
        <v>13</v>
      </c>
      <c r="E75" s="9" t="s">
        <v>13</v>
      </c>
      <c r="F75" s="9" t="s">
        <v>14</v>
      </c>
      <c r="G75" s="9" t="s">
        <v>50</v>
      </c>
      <c r="H75" s="9"/>
      <c r="I75" s="9" t="s">
        <v>50</v>
      </c>
      <c r="J75" s="9" t="s">
        <v>29</v>
      </c>
      <c r="K75" s="9" t="s">
        <v>29</v>
      </c>
    </row>
    <row r="76" spans="2:11" ht="15">
      <c r="B76" s="9" t="s">
        <v>5</v>
      </c>
      <c r="C76" s="9" t="s">
        <v>1</v>
      </c>
      <c r="D76" s="9" t="s">
        <v>30</v>
      </c>
      <c r="E76" s="9" t="s">
        <v>30</v>
      </c>
      <c r="F76" s="9" t="s">
        <v>27</v>
      </c>
      <c r="G76" s="9" t="s">
        <v>11</v>
      </c>
      <c r="H76" s="9" t="s">
        <v>49</v>
      </c>
      <c r="I76" s="9" t="s">
        <v>49</v>
      </c>
      <c r="J76" s="9" t="s">
        <v>10</v>
      </c>
      <c r="K76" s="9" t="s">
        <v>10</v>
      </c>
    </row>
    <row r="78" spans="1:11" ht="15">
      <c r="A78">
        <v>0</v>
      </c>
      <c r="B78">
        <f>1/(1+$D$12)^A78</f>
        <v>1</v>
      </c>
      <c r="F78" s="6"/>
      <c r="J78" s="6">
        <f>D64</f>
        <v>400000</v>
      </c>
      <c r="K78" s="6">
        <f aca="true" t="shared" si="6" ref="K78:K98">B78*J78</f>
        <v>400000</v>
      </c>
    </row>
    <row r="79" spans="1:11" ht="15">
      <c r="A79">
        <v>1</v>
      </c>
      <c r="B79">
        <f aca="true" t="shared" si="7" ref="B79:B98">1/(1+$D$12)^A79</f>
        <v>0.9389671361502347</v>
      </c>
      <c r="C79" s="1">
        <f>$D$13</f>
        <v>7055</v>
      </c>
      <c r="D79" s="12">
        <f>1.6247+3.7773</f>
        <v>5.402</v>
      </c>
      <c r="E79" s="13">
        <f>C79*D79</f>
        <v>38111.11</v>
      </c>
      <c r="F79" s="6">
        <f>B79*E79</f>
        <v>35785.079812206575</v>
      </c>
      <c r="G79" s="18">
        <f>ROUND($D$65*0.02,2)*A79*40*D79</f>
        <v>5402</v>
      </c>
      <c r="H79" s="1">
        <f aca="true" t="shared" si="8" ref="H79:H98">L140-D140</f>
        <v>3.5665000000000004</v>
      </c>
      <c r="I79" s="1">
        <f>B79*G79*H79</f>
        <v>18090.359624413148</v>
      </c>
      <c r="J79" s="6"/>
      <c r="K79" s="6">
        <f t="shared" si="6"/>
        <v>0</v>
      </c>
    </row>
    <row r="80" spans="1:11" ht="15">
      <c r="A80">
        <v>2</v>
      </c>
      <c r="B80">
        <f t="shared" si="7"/>
        <v>0.8816592827701736</v>
      </c>
      <c r="C80" s="1">
        <f aca="true" t="shared" si="9" ref="C80:C98">$D$13</f>
        <v>7055</v>
      </c>
      <c r="D80" s="12">
        <f aca="true" t="shared" si="10" ref="D80:D98">D79*1.022</f>
        <v>5.520844</v>
      </c>
      <c r="E80" s="13">
        <f aca="true" t="shared" si="11" ref="E80:E98">C80*D80</f>
        <v>38949.55442</v>
      </c>
      <c r="F80" s="6">
        <f aca="true" t="shared" si="12" ref="F80:F98">B80*E80</f>
        <v>34340.23621415505</v>
      </c>
      <c r="G80" s="18">
        <f aca="true" t="shared" si="13" ref="G80:G98">ROUND($D$65*0.02,2)*A80*40*D80</f>
        <v>11041.688</v>
      </c>
      <c r="H80" s="1">
        <f t="shared" si="8"/>
        <v>3.6449630000000006</v>
      </c>
      <c r="I80" s="1">
        <f aca="true" t="shared" si="14" ref="I80:I98">B80*G80*H80</f>
        <v>35483.73930881793</v>
      </c>
      <c r="J80" s="6"/>
      <c r="K80" s="6">
        <f t="shared" si="6"/>
        <v>0</v>
      </c>
    </row>
    <row r="81" spans="1:11" ht="15">
      <c r="A81">
        <v>3</v>
      </c>
      <c r="B81">
        <f t="shared" si="7"/>
        <v>0.8278490918029799</v>
      </c>
      <c r="C81" s="1">
        <f t="shared" si="9"/>
        <v>7055</v>
      </c>
      <c r="D81" s="12">
        <f t="shared" si="10"/>
        <v>5.642302568000001</v>
      </c>
      <c r="E81" s="13">
        <f t="shared" si="11"/>
        <v>39806.444617240006</v>
      </c>
      <c r="F81" s="6">
        <f t="shared" si="12"/>
        <v>32953.72902428776</v>
      </c>
      <c r="G81" s="18">
        <f t="shared" si="13"/>
        <v>16926.907704</v>
      </c>
      <c r="H81" s="1">
        <f t="shared" si="8"/>
        <v>3.725152186</v>
      </c>
      <c r="I81" s="1">
        <f t="shared" si="14"/>
        <v>52200.2788284949</v>
      </c>
      <c r="J81" s="6"/>
      <c r="K81" s="6">
        <f t="shared" si="6"/>
        <v>0</v>
      </c>
    </row>
    <row r="82" spans="1:11" ht="15">
      <c r="A82">
        <v>4</v>
      </c>
      <c r="B82">
        <f t="shared" si="7"/>
        <v>0.777323090894817</v>
      </c>
      <c r="C82" s="1">
        <f t="shared" si="9"/>
        <v>7055</v>
      </c>
      <c r="D82" s="12">
        <f t="shared" si="10"/>
        <v>5.766433224496001</v>
      </c>
      <c r="E82" s="13">
        <f t="shared" si="11"/>
        <v>40682.186398819285</v>
      </c>
      <c r="F82" s="6">
        <f t="shared" si="12"/>
        <v>31623.202875889292</v>
      </c>
      <c r="G82" s="18">
        <f t="shared" si="13"/>
        <v>23065.732897984002</v>
      </c>
      <c r="H82" s="1">
        <f t="shared" si="8"/>
        <v>3.807105534092</v>
      </c>
      <c r="I82" s="1">
        <f t="shared" si="14"/>
        <v>68259.60066591759</v>
      </c>
      <c r="J82" s="6"/>
      <c r="K82" s="6">
        <f t="shared" si="6"/>
        <v>0</v>
      </c>
    </row>
    <row r="83" spans="1:11" ht="15">
      <c r="A83">
        <v>5</v>
      </c>
      <c r="B83">
        <f t="shared" si="7"/>
        <v>0.7298808365209549</v>
      </c>
      <c r="C83" s="1">
        <f t="shared" si="9"/>
        <v>7055</v>
      </c>
      <c r="D83" s="12">
        <f t="shared" si="10"/>
        <v>5.893294755434913</v>
      </c>
      <c r="E83" s="13">
        <f t="shared" si="11"/>
        <v>41577.19449959331</v>
      </c>
      <c r="F83" s="6">
        <f t="shared" si="12"/>
        <v>30346.39750155761</v>
      </c>
      <c r="G83" s="18">
        <f t="shared" si="13"/>
        <v>29466.473777174564</v>
      </c>
      <c r="H83" s="1">
        <f t="shared" si="8"/>
        <v>3.890861855842023</v>
      </c>
      <c r="I83" s="1">
        <f t="shared" si="14"/>
        <v>83680.82246706604</v>
      </c>
      <c r="J83" s="6"/>
      <c r="K83" s="6">
        <f t="shared" si="6"/>
        <v>0</v>
      </c>
    </row>
    <row r="84" spans="1:11" ht="15">
      <c r="A84">
        <v>6</v>
      </c>
      <c r="B84">
        <f t="shared" si="7"/>
        <v>0.6853341187990187</v>
      </c>
      <c r="C84" s="1">
        <f t="shared" si="9"/>
        <v>7055</v>
      </c>
      <c r="D84" s="12">
        <f t="shared" si="10"/>
        <v>6.0229472400544815</v>
      </c>
      <c r="E84" s="13">
        <f t="shared" si="11"/>
        <v>42491.89277858437</v>
      </c>
      <c r="F84" s="6">
        <f t="shared" si="12"/>
        <v>29121.14389351351</v>
      </c>
      <c r="G84" s="18">
        <f t="shared" si="13"/>
        <v>36137.68344032689</v>
      </c>
      <c r="H84" s="1">
        <f t="shared" si="8"/>
        <v>3.9764608166705475</v>
      </c>
      <c r="I84" s="1">
        <f t="shared" si="14"/>
        <v>98482.5692097927</v>
      </c>
      <c r="J84" s="6"/>
      <c r="K84" s="6">
        <f t="shared" si="6"/>
        <v>0</v>
      </c>
    </row>
    <row r="85" spans="1:11" ht="15">
      <c r="A85">
        <v>7</v>
      </c>
      <c r="B85">
        <f t="shared" si="7"/>
        <v>0.6435062148347594</v>
      </c>
      <c r="C85" s="1">
        <f t="shared" si="9"/>
        <v>7055</v>
      </c>
      <c r="D85" s="12">
        <f t="shared" si="10"/>
        <v>6.15545207933568</v>
      </c>
      <c r="E85" s="13">
        <f t="shared" si="11"/>
        <v>43426.71441971322</v>
      </c>
      <c r="F85" s="6">
        <f t="shared" si="12"/>
        <v>27945.36061893972</v>
      </c>
      <c r="G85" s="18">
        <f t="shared" si="13"/>
        <v>43088.16455534976</v>
      </c>
      <c r="H85" s="1">
        <f t="shared" si="8"/>
        <v>4.0639429546373</v>
      </c>
      <c r="I85" s="1">
        <f t="shared" si="14"/>
        <v>112682.9850907117</v>
      </c>
      <c r="J85" s="6"/>
      <c r="K85" s="6">
        <f t="shared" si="6"/>
        <v>0</v>
      </c>
    </row>
    <row r="86" spans="1:11" ht="15">
      <c r="A86">
        <v>8</v>
      </c>
      <c r="B86">
        <f t="shared" si="7"/>
        <v>0.6042311876382719</v>
      </c>
      <c r="C86" s="1">
        <f t="shared" si="9"/>
        <v>7055</v>
      </c>
      <c r="D86" s="12">
        <f t="shared" si="10"/>
        <v>6.290872025081065</v>
      </c>
      <c r="E86" s="13">
        <f t="shared" si="11"/>
        <v>44382.10213694691</v>
      </c>
      <c r="F86" s="6">
        <f t="shared" si="12"/>
        <v>26817.050284090514</v>
      </c>
      <c r="G86" s="18">
        <f t="shared" si="13"/>
        <v>50326.97620064852</v>
      </c>
      <c r="H86" s="1">
        <f t="shared" si="8"/>
        <v>4.153349699639321</v>
      </c>
      <c r="I86" s="1">
        <f t="shared" si="14"/>
        <v>126299.74513694108</v>
      </c>
      <c r="J86" s="6"/>
      <c r="K86" s="6">
        <f t="shared" si="6"/>
        <v>0</v>
      </c>
    </row>
    <row r="87" spans="1:11" ht="15">
      <c r="A87">
        <v>9</v>
      </c>
      <c r="B87">
        <f t="shared" si="7"/>
        <v>0.5673532278293633</v>
      </c>
      <c r="C87" s="1">
        <f t="shared" si="9"/>
        <v>7055</v>
      </c>
      <c r="D87" s="12">
        <f t="shared" si="10"/>
        <v>6.429271209632848</v>
      </c>
      <c r="E87" s="13">
        <f t="shared" si="11"/>
        <v>45358.50838395974</v>
      </c>
      <c r="F87" s="6">
        <f t="shared" si="12"/>
        <v>25734.296141164796</v>
      </c>
      <c r="G87" s="18">
        <f t="shared" si="13"/>
        <v>57863.44088669563</v>
      </c>
      <c r="H87" s="1">
        <f t="shared" si="8"/>
        <v>4.244723393031386</v>
      </c>
      <c r="I87" s="1">
        <f t="shared" si="14"/>
        <v>139350.0665488867</v>
      </c>
      <c r="J87" s="6"/>
      <c r="K87" s="6">
        <f t="shared" si="6"/>
        <v>0</v>
      </c>
    </row>
    <row r="88" spans="1:11" ht="15">
      <c r="A88">
        <v>10</v>
      </c>
      <c r="B88">
        <f t="shared" si="7"/>
        <v>0.5327260355205289</v>
      </c>
      <c r="C88" s="1">
        <f t="shared" si="9"/>
        <v>7055</v>
      </c>
      <c r="D88" s="12">
        <f t="shared" si="10"/>
        <v>6.570715176244771</v>
      </c>
      <c r="E88" s="13">
        <f t="shared" si="11"/>
        <v>46356.39556840686</v>
      </c>
      <c r="F88" s="6">
        <f t="shared" si="12"/>
        <v>24695.2588321788</v>
      </c>
      <c r="G88" s="18">
        <f t="shared" si="13"/>
        <v>65707.15176244771</v>
      </c>
      <c r="H88" s="1">
        <f t="shared" si="8"/>
        <v>4.338107307678077</v>
      </c>
      <c r="I88" s="1">
        <f t="shared" si="14"/>
        <v>151850.7197801225</v>
      </c>
      <c r="J88" s="6"/>
      <c r="K88" s="6">
        <f t="shared" si="6"/>
        <v>0</v>
      </c>
    </row>
    <row r="89" spans="1:11" ht="15">
      <c r="A89">
        <v>11</v>
      </c>
      <c r="B89">
        <f t="shared" si="7"/>
        <v>0.5002122399253793</v>
      </c>
      <c r="C89" s="1">
        <f t="shared" si="9"/>
        <v>7055</v>
      </c>
      <c r="D89" s="12">
        <f t="shared" si="10"/>
        <v>6.715270910122156</v>
      </c>
      <c r="E89" s="13">
        <f t="shared" si="11"/>
        <v>47376.23627091181</v>
      </c>
      <c r="F89" s="6">
        <f t="shared" si="12"/>
        <v>23698.173264306795</v>
      </c>
      <c r="G89" s="18">
        <f t="shared" si="13"/>
        <v>73867.98001134371</v>
      </c>
      <c r="H89" s="1">
        <f t="shared" si="8"/>
        <v>4.433545668446994</v>
      </c>
      <c r="I89" s="1">
        <f t="shared" si="14"/>
        <v>163818.0393602851</v>
      </c>
      <c r="J89" s="6"/>
      <c r="K89" s="6">
        <f t="shared" si="6"/>
        <v>0</v>
      </c>
    </row>
    <row r="90" spans="1:11" ht="15">
      <c r="A90">
        <v>12</v>
      </c>
      <c r="B90">
        <f t="shared" si="7"/>
        <v>0.4696828543900276</v>
      </c>
      <c r="C90" s="1">
        <f t="shared" si="9"/>
        <v>7055</v>
      </c>
      <c r="D90" s="12">
        <f t="shared" si="10"/>
        <v>6.863006870144844</v>
      </c>
      <c r="E90" s="13">
        <f t="shared" si="11"/>
        <v>48418.513468871875</v>
      </c>
      <c r="F90" s="6">
        <f t="shared" si="12"/>
        <v>22741.34561138174</v>
      </c>
      <c r="G90" s="18">
        <f t="shared" si="13"/>
        <v>82356.08244173812</v>
      </c>
      <c r="H90" s="1">
        <f t="shared" si="8"/>
        <v>4.531083673152828</v>
      </c>
      <c r="I90" s="1">
        <f t="shared" si="14"/>
        <v>175267.93446677396</v>
      </c>
      <c r="J90" s="6"/>
      <c r="K90" s="6">
        <f t="shared" si="6"/>
        <v>0</v>
      </c>
    </row>
    <row r="91" spans="1:11" ht="15">
      <c r="A91">
        <v>13</v>
      </c>
      <c r="B91">
        <f t="shared" si="7"/>
        <v>0.4410167646854719</v>
      </c>
      <c r="C91" s="1">
        <f t="shared" si="9"/>
        <v>7055</v>
      </c>
      <c r="D91" s="12">
        <f t="shared" si="10"/>
        <v>7.01399302128803</v>
      </c>
      <c r="E91" s="13">
        <f t="shared" si="11"/>
        <v>49483.720765187056</v>
      </c>
      <c r="F91" s="6">
        <f t="shared" si="12"/>
        <v>21823.1504364621</v>
      </c>
      <c r="G91" s="18">
        <f t="shared" si="13"/>
        <v>91181.9092767444</v>
      </c>
      <c r="H91" s="1">
        <f t="shared" si="8"/>
        <v>4.630767513962191</v>
      </c>
      <c r="I91" s="1">
        <f t="shared" si="14"/>
        <v>186215.89925091714</v>
      </c>
      <c r="J91" s="6"/>
      <c r="K91" s="6">
        <f t="shared" si="6"/>
        <v>0</v>
      </c>
    </row>
    <row r="92" spans="1:11" ht="15">
      <c r="A92">
        <v>14</v>
      </c>
      <c r="B92">
        <f t="shared" si="7"/>
        <v>0.41410024853095956</v>
      </c>
      <c r="C92" s="1">
        <f t="shared" si="9"/>
        <v>7055</v>
      </c>
      <c r="D92" s="12">
        <f t="shared" si="10"/>
        <v>7.168300867756367</v>
      </c>
      <c r="E92" s="13">
        <f t="shared" si="11"/>
        <v>50572.362622021166</v>
      </c>
      <c r="F92" s="6">
        <f t="shared" si="12"/>
        <v>20942.027930576776</v>
      </c>
      <c r="G92" s="18">
        <f t="shared" si="13"/>
        <v>100356.21214858914</v>
      </c>
      <c r="H92" s="1">
        <f t="shared" si="8"/>
        <v>4.732644399269359</v>
      </c>
      <c r="I92" s="1">
        <f t="shared" si="14"/>
        <v>196677.0229241408</v>
      </c>
      <c r="J92" s="6"/>
      <c r="K92" s="6">
        <f t="shared" si="6"/>
        <v>0</v>
      </c>
    </row>
    <row r="93" spans="1:11" ht="15">
      <c r="A93">
        <v>15</v>
      </c>
      <c r="B93">
        <f t="shared" si="7"/>
        <v>0.38882652444221566</v>
      </c>
      <c r="C93" s="1">
        <f t="shared" si="9"/>
        <v>7055</v>
      </c>
      <c r="D93" s="12">
        <f t="shared" si="10"/>
        <v>7.326003486847007</v>
      </c>
      <c r="E93" s="13">
        <f t="shared" si="11"/>
        <v>51684.954599705634</v>
      </c>
      <c r="F93" s="6">
        <f t="shared" si="12"/>
        <v>20096.481262957248</v>
      </c>
      <c r="G93" s="18">
        <f t="shared" si="13"/>
        <v>109890.05230270511</v>
      </c>
      <c r="H93" s="1">
        <f t="shared" si="8"/>
        <v>4.836762576053285</v>
      </c>
      <c r="I93" s="1">
        <f t="shared" si="14"/>
        <v>206665.99960955567</v>
      </c>
      <c r="J93" s="6"/>
      <c r="K93" s="6">
        <f t="shared" si="6"/>
        <v>0</v>
      </c>
    </row>
    <row r="94" spans="1:11" ht="15">
      <c r="A94">
        <v>16</v>
      </c>
      <c r="B94">
        <f t="shared" si="7"/>
        <v>0.3650953281147565</v>
      </c>
      <c r="C94" s="1">
        <f t="shared" si="9"/>
        <v>7055</v>
      </c>
      <c r="D94" s="12">
        <f t="shared" si="10"/>
        <v>7.487175563557641</v>
      </c>
      <c r="E94" s="13">
        <f t="shared" si="11"/>
        <v>52822.023600899156</v>
      </c>
      <c r="F94" s="6">
        <f t="shared" si="12"/>
        <v>19285.074038255687</v>
      </c>
      <c r="G94" s="18">
        <f t="shared" si="13"/>
        <v>119794.80901692226</v>
      </c>
      <c r="H94" s="1">
        <f t="shared" si="8"/>
        <v>4.943171352726458</v>
      </c>
      <c r="I94" s="1">
        <f t="shared" si="14"/>
        <v>216197.1379642563</v>
      </c>
      <c r="J94" s="6"/>
      <c r="K94" s="6">
        <f t="shared" si="6"/>
        <v>0</v>
      </c>
    </row>
    <row r="95" spans="1:11" ht="15">
      <c r="A95">
        <v>17</v>
      </c>
      <c r="B95">
        <f t="shared" si="7"/>
        <v>0.34281251466174323</v>
      </c>
      <c r="C95" s="1">
        <f t="shared" si="9"/>
        <v>7055</v>
      </c>
      <c r="D95" s="12">
        <f t="shared" si="10"/>
        <v>7.651893425955909</v>
      </c>
      <c r="E95" s="13">
        <f t="shared" si="11"/>
        <v>53984.10812011894</v>
      </c>
      <c r="F95" s="6">
        <f t="shared" si="12"/>
        <v>18506.427856429404</v>
      </c>
      <c r="G95" s="18">
        <f t="shared" si="13"/>
        <v>130082.18824125045</v>
      </c>
      <c r="H95" s="1">
        <f t="shared" si="8"/>
        <v>5.0519211224864415</v>
      </c>
      <c r="I95" s="1">
        <f t="shared" si="14"/>
        <v>225284.3705775113</v>
      </c>
      <c r="J95" s="6"/>
      <c r="K95" s="6">
        <f t="shared" si="6"/>
        <v>0</v>
      </c>
    </row>
    <row r="96" spans="1:11" ht="15">
      <c r="A96">
        <v>18</v>
      </c>
      <c r="B96">
        <f t="shared" si="7"/>
        <v>0.3218896851283974</v>
      </c>
      <c r="C96" s="1">
        <f t="shared" si="9"/>
        <v>7055</v>
      </c>
      <c r="D96" s="12">
        <f t="shared" si="10"/>
        <v>7.820235081326939</v>
      </c>
      <c r="E96" s="13">
        <f t="shared" si="11"/>
        <v>55171.758498761556</v>
      </c>
      <c r="F96" s="6">
        <f t="shared" si="12"/>
        <v>17759.21997114634</v>
      </c>
      <c r="G96" s="18">
        <f t="shared" si="13"/>
        <v>140764.2314638849</v>
      </c>
      <c r="H96" s="1">
        <f t="shared" si="8"/>
        <v>5.163063387181142</v>
      </c>
      <c r="I96" s="1">
        <f t="shared" si="14"/>
        <v>233941.26314990682</v>
      </c>
      <c r="J96" s="6"/>
      <c r="K96" s="6">
        <f t="shared" si="6"/>
        <v>0</v>
      </c>
    </row>
    <row r="97" spans="1:11" ht="15">
      <c r="A97">
        <v>19</v>
      </c>
      <c r="B97">
        <f t="shared" si="7"/>
        <v>0.30224383580131214</v>
      </c>
      <c r="C97" s="1">
        <f t="shared" si="9"/>
        <v>7055</v>
      </c>
      <c r="D97" s="12">
        <f t="shared" si="10"/>
        <v>7.992280253116132</v>
      </c>
      <c r="E97" s="13">
        <f t="shared" si="11"/>
        <v>56385.537185734305</v>
      </c>
      <c r="F97" s="6">
        <f t="shared" si="12"/>
        <v>17042.18104273386</v>
      </c>
      <c r="G97" s="18">
        <f t="shared" si="13"/>
        <v>151853.3248092065</v>
      </c>
      <c r="H97" s="1">
        <f t="shared" si="8"/>
        <v>5.276650781699129</v>
      </c>
      <c r="I97" s="1">
        <f t="shared" si="14"/>
        <v>242181.02345839748</v>
      </c>
      <c r="J97" s="6"/>
      <c r="K97" s="6">
        <f t="shared" si="6"/>
        <v>0</v>
      </c>
    </row>
    <row r="98" spans="1:11" ht="15">
      <c r="A98">
        <v>20</v>
      </c>
      <c r="B98">
        <f t="shared" si="7"/>
        <v>0.2837970289214199</v>
      </c>
      <c r="C98" s="1">
        <f t="shared" si="9"/>
        <v>7055</v>
      </c>
      <c r="D98" s="12">
        <f t="shared" si="10"/>
        <v>8.168110418684687</v>
      </c>
      <c r="E98" s="13">
        <f t="shared" si="11"/>
        <v>57626.01900382047</v>
      </c>
      <c r="F98" s="6">
        <f t="shared" si="12"/>
        <v>16354.09298185353</v>
      </c>
      <c r="G98" s="18">
        <f t="shared" si="13"/>
        <v>163362.20837369375</v>
      </c>
      <c r="H98" s="1">
        <f t="shared" si="8"/>
        <v>5.392737098896509</v>
      </c>
      <c r="I98" s="1">
        <f t="shared" si="14"/>
        <v>250016.51011210366</v>
      </c>
      <c r="J98" s="6"/>
      <c r="K98" s="6">
        <f t="shared" si="6"/>
        <v>0</v>
      </c>
    </row>
    <row r="100" spans="6:11" ht="15">
      <c r="F100" s="1">
        <f>SUM(F79:F99)</f>
        <v>497609.929594087</v>
      </c>
      <c r="I100" s="1">
        <f>SUM(I78:I99)</f>
        <v>2982646.0875350125</v>
      </c>
      <c r="J100" s="6">
        <f>SUM(J99:J99)</f>
        <v>0</v>
      </c>
      <c r="K100" s="1">
        <f>SUM(K78:K99)</f>
        <v>400000</v>
      </c>
    </row>
    <row r="103" spans="3:4" ht="15">
      <c r="C103" s="11"/>
      <c r="D103" s="10"/>
    </row>
    <row r="104" spans="3:4" ht="15">
      <c r="C104" s="11"/>
      <c r="D104" s="4"/>
    </row>
    <row r="119" spans="1:2" ht="15.75">
      <c r="A119" s="3" t="s">
        <v>7</v>
      </c>
      <c r="B119" s="3"/>
    </row>
    <row r="120" spans="1:2" ht="15.75">
      <c r="A120" s="3" t="s">
        <v>52</v>
      </c>
      <c r="B120" s="3"/>
    </row>
    <row r="121" ht="15">
      <c r="A121" t="s">
        <v>23</v>
      </c>
    </row>
    <row r="123" ht="15">
      <c r="A123" t="s">
        <v>20</v>
      </c>
    </row>
    <row r="125" spans="1:6" ht="15">
      <c r="A125" t="s">
        <v>15</v>
      </c>
      <c r="D125" s="21">
        <v>400000</v>
      </c>
      <c r="F125" s="6"/>
    </row>
    <row r="126" spans="1:6" ht="15">
      <c r="A126" t="s">
        <v>16</v>
      </c>
      <c r="D126" s="22">
        <f>D125/320</f>
        <v>1250</v>
      </c>
      <c r="F126" s="6"/>
    </row>
    <row r="127" spans="1:6" ht="15">
      <c r="A127" t="s">
        <v>17</v>
      </c>
      <c r="D127" s="21">
        <f>D125/D126</f>
        <v>320</v>
      </c>
      <c r="F127" s="6"/>
    </row>
    <row r="128" spans="1:4" ht="15">
      <c r="A128" t="s">
        <v>21</v>
      </c>
      <c r="D128" s="21">
        <f>D10</f>
        <v>903</v>
      </c>
    </row>
    <row r="129" spans="1:4" ht="15">
      <c r="A129" t="s">
        <v>18</v>
      </c>
      <c r="D129" s="21">
        <f>D126*D128</f>
        <v>1128750</v>
      </c>
    </row>
    <row r="130" spans="1:4" ht="15">
      <c r="A130" t="s">
        <v>6</v>
      </c>
      <c r="D130" s="23">
        <v>0.065</v>
      </c>
    </row>
    <row r="131" spans="1:4" ht="15">
      <c r="A131" t="s">
        <v>19</v>
      </c>
      <c r="D131" s="27">
        <f>D13</f>
        <v>7055</v>
      </c>
    </row>
    <row r="132" ht="15">
      <c r="D132" s="8"/>
    </row>
    <row r="133" ht="15">
      <c r="D133" s="8"/>
    </row>
    <row r="134" spans="11:12" ht="15">
      <c r="K134" s="9" t="s">
        <v>14</v>
      </c>
      <c r="L134" s="9"/>
    </row>
    <row r="135" spans="2:13" ht="15">
      <c r="B135" s="9"/>
      <c r="C135" s="9" t="s">
        <v>2</v>
      </c>
      <c r="D135" s="9"/>
      <c r="E135" s="9" t="s">
        <v>26</v>
      </c>
      <c r="F135" s="9"/>
      <c r="I135" s="9" t="s">
        <v>14</v>
      </c>
      <c r="J135" s="9" t="s">
        <v>28</v>
      </c>
      <c r="K135" s="9" t="s">
        <v>28</v>
      </c>
      <c r="L135" s="9"/>
      <c r="M135" s="9"/>
    </row>
    <row r="136" spans="2:14" ht="15">
      <c r="B136" s="9"/>
      <c r="C136" s="9" t="s">
        <v>11</v>
      </c>
      <c r="D136" s="9" t="s">
        <v>13</v>
      </c>
      <c r="E136" s="9" t="s">
        <v>13</v>
      </c>
      <c r="F136" s="9" t="s">
        <v>14</v>
      </c>
      <c r="G136" s="9" t="s">
        <v>50</v>
      </c>
      <c r="H136" s="9"/>
      <c r="I136" s="9" t="s">
        <v>50</v>
      </c>
      <c r="J136" s="9" t="s">
        <v>29</v>
      </c>
      <c r="K136" s="9" t="s">
        <v>29</v>
      </c>
      <c r="L136" s="9" t="s">
        <v>31</v>
      </c>
      <c r="M136" s="9"/>
      <c r="N136" s="9" t="s">
        <v>14</v>
      </c>
    </row>
    <row r="137" spans="2:14" ht="15">
      <c r="B137" s="9" t="s">
        <v>5</v>
      </c>
      <c r="C137" s="9" t="s">
        <v>1</v>
      </c>
      <c r="D137" s="9" t="s">
        <v>30</v>
      </c>
      <c r="E137" s="9" t="s">
        <v>30</v>
      </c>
      <c r="F137" s="9" t="s">
        <v>27</v>
      </c>
      <c r="G137" s="9" t="s">
        <v>11</v>
      </c>
      <c r="H137" s="9" t="s">
        <v>49</v>
      </c>
      <c r="I137" s="9" t="s">
        <v>49</v>
      </c>
      <c r="J137" s="9" t="s">
        <v>10</v>
      </c>
      <c r="K137" s="9" t="s">
        <v>10</v>
      </c>
      <c r="L137" s="9" t="s">
        <v>32</v>
      </c>
      <c r="M137" s="9" t="s">
        <v>25</v>
      </c>
      <c r="N137" s="9" t="s">
        <v>25</v>
      </c>
    </row>
    <row r="139" spans="1:11" ht="15">
      <c r="A139">
        <v>0</v>
      </c>
      <c r="B139">
        <f>1/(1+$D$12)^A139</f>
        <v>1</v>
      </c>
      <c r="F139" s="6"/>
      <c r="J139" s="6">
        <f>D125</f>
        <v>400000</v>
      </c>
      <c r="K139" s="6">
        <f aca="true" t="shared" si="15" ref="K139:K159">B139*J139</f>
        <v>400000</v>
      </c>
    </row>
    <row r="140" spans="1:14" ht="15">
      <c r="A140">
        <v>1</v>
      </c>
      <c r="B140">
        <f aca="true" t="shared" si="16" ref="B140:B159">1/(1+$D$12)^A140</f>
        <v>0.9389671361502347</v>
      </c>
      <c r="C140" s="1">
        <f>$D$13</f>
        <v>7055</v>
      </c>
      <c r="D140" s="12">
        <f>1.6247+3.7773</f>
        <v>5.402</v>
      </c>
      <c r="E140" s="13">
        <f>C140*D140</f>
        <v>38111.11</v>
      </c>
      <c r="F140" s="6">
        <f>B140*E140</f>
        <v>35785.079812206575</v>
      </c>
      <c r="G140" s="18">
        <f>ROUND($D$65*0.02,2)*A140*40*D140</f>
        <v>5402</v>
      </c>
      <c r="H140" s="1">
        <f aca="true" t="shared" si="17" ref="H140:H159">H79</f>
        <v>3.5665000000000004</v>
      </c>
      <c r="I140" s="1">
        <f>B140*G140*H140</f>
        <v>18090.359624413148</v>
      </c>
      <c r="J140" s="6"/>
      <c r="K140" s="6">
        <f t="shared" si="15"/>
        <v>0</v>
      </c>
      <c r="L140" s="12">
        <v>8.9685</v>
      </c>
      <c r="M140" s="5">
        <f aca="true" t="shared" si="18" ref="M140:M159">C140*L140</f>
        <v>63272.7675</v>
      </c>
      <c r="N140" s="5">
        <f aca="true" t="shared" si="19" ref="N140:N159">B140*M140</f>
        <v>59411.04929577465</v>
      </c>
    </row>
    <row r="141" spans="1:14" ht="15">
      <c r="A141">
        <v>2</v>
      </c>
      <c r="B141">
        <f t="shared" si="16"/>
        <v>0.8816592827701736</v>
      </c>
      <c r="C141" s="1">
        <f aca="true" t="shared" si="20" ref="C141:C159">$D$13</f>
        <v>7055</v>
      </c>
      <c r="D141" s="12">
        <f aca="true" t="shared" si="21" ref="D141:D159">D140*1.022</f>
        <v>5.520844</v>
      </c>
      <c r="E141" s="13">
        <f aca="true" t="shared" si="22" ref="E141:E159">C141*D141</f>
        <v>38949.55442</v>
      </c>
      <c r="F141" s="6">
        <f aca="true" t="shared" si="23" ref="F141:F159">B141*E141</f>
        <v>34340.23621415505</v>
      </c>
      <c r="G141" s="18">
        <f aca="true" t="shared" si="24" ref="G141:G159">ROUND($D$65*0.02,2)*A141*40*D141</f>
        <v>11041.688</v>
      </c>
      <c r="H141" s="1">
        <f t="shared" si="17"/>
        <v>3.6449630000000006</v>
      </c>
      <c r="I141" s="1">
        <f aca="true" t="shared" si="25" ref="I141:I159">B141*G141*H141</f>
        <v>35483.73930881793</v>
      </c>
      <c r="J141" s="6"/>
      <c r="K141" s="6">
        <f t="shared" si="15"/>
        <v>0</v>
      </c>
      <c r="L141" s="12">
        <f aca="true" t="shared" si="26" ref="L141:L159">L140*1.022</f>
        <v>9.165807000000001</v>
      </c>
      <c r="M141" s="5">
        <f t="shared" si="18"/>
        <v>64664.768385</v>
      </c>
      <c r="N141" s="5">
        <f t="shared" si="19"/>
        <v>57012.2933148185</v>
      </c>
    </row>
    <row r="142" spans="1:14" ht="15">
      <c r="A142">
        <v>3</v>
      </c>
      <c r="B142">
        <f t="shared" si="16"/>
        <v>0.8278490918029799</v>
      </c>
      <c r="C142" s="1">
        <f t="shared" si="20"/>
        <v>7055</v>
      </c>
      <c r="D142" s="12">
        <f t="shared" si="21"/>
        <v>5.642302568000001</v>
      </c>
      <c r="E142" s="13">
        <f t="shared" si="22"/>
        <v>39806.444617240006</v>
      </c>
      <c r="F142" s="6">
        <f t="shared" si="23"/>
        <v>32953.72902428776</v>
      </c>
      <c r="G142" s="18">
        <f t="shared" si="24"/>
        <v>16926.907704</v>
      </c>
      <c r="H142" s="1">
        <f t="shared" si="17"/>
        <v>3.725152186</v>
      </c>
      <c r="I142" s="1">
        <f t="shared" si="25"/>
        <v>52200.2788284949</v>
      </c>
      <c r="J142" s="6"/>
      <c r="K142" s="6">
        <f t="shared" si="15"/>
        <v>0</v>
      </c>
      <c r="L142" s="12">
        <f t="shared" si="26"/>
        <v>9.367454754</v>
      </c>
      <c r="M142" s="5">
        <f t="shared" si="18"/>
        <v>66087.39328947</v>
      </c>
      <c r="N142" s="5">
        <f t="shared" si="19"/>
        <v>54710.38851431409</v>
      </c>
    </row>
    <row r="143" spans="1:14" ht="15">
      <c r="A143">
        <v>4</v>
      </c>
      <c r="B143">
        <f t="shared" si="16"/>
        <v>0.777323090894817</v>
      </c>
      <c r="C143" s="1">
        <f t="shared" si="20"/>
        <v>7055</v>
      </c>
      <c r="D143" s="12">
        <f t="shared" si="21"/>
        <v>5.766433224496001</v>
      </c>
      <c r="E143" s="13">
        <f t="shared" si="22"/>
        <v>40682.186398819285</v>
      </c>
      <c r="F143" s="6">
        <f t="shared" si="23"/>
        <v>31623.202875889292</v>
      </c>
      <c r="G143" s="18">
        <f t="shared" si="24"/>
        <v>23065.732897984002</v>
      </c>
      <c r="H143" s="1">
        <f t="shared" si="17"/>
        <v>3.807105534092</v>
      </c>
      <c r="I143" s="1">
        <f t="shared" si="25"/>
        <v>68259.60066591759</v>
      </c>
      <c r="J143" s="6"/>
      <c r="K143" s="6">
        <f t="shared" si="15"/>
        <v>0</v>
      </c>
      <c r="L143" s="12">
        <f t="shared" si="26"/>
        <v>9.573538758588</v>
      </c>
      <c r="M143" s="5">
        <f t="shared" si="18"/>
        <v>67541.31594183834</v>
      </c>
      <c r="N143" s="5">
        <f t="shared" si="19"/>
        <v>52501.42447101316</v>
      </c>
    </row>
    <row r="144" spans="1:14" ht="15">
      <c r="A144">
        <v>5</v>
      </c>
      <c r="B144">
        <f t="shared" si="16"/>
        <v>0.7298808365209549</v>
      </c>
      <c r="C144" s="1">
        <f t="shared" si="20"/>
        <v>7055</v>
      </c>
      <c r="D144" s="12">
        <f t="shared" si="21"/>
        <v>5.893294755434913</v>
      </c>
      <c r="E144" s="13">
        <f t="shared" si="22"/>
        <v>41577.19449959331</v>
      </c>
      <c r="F144" s="6">
        <f t="shared" si="23"/>
        <v>30346.39750155761</v>
      </c>
      <c r="G144" s="18">
        <f t="shared" si="24"/>
        <v>29466.473777174564</v>
      </c>
      <c r="H144" s="1">
        <f t="shared" si="17"/>
        <v>3.890861855842023</v>
      </c>
      <c r="I144" s="1">
        <f t="shared" si="25"/>
        <v>83680.82246706604</v>
      </c>
      <c r="J144" s="6"/>
      <c r="K144" s="6">
        <f t="shared" si="15"/>
        <v>0</v>
      </c>
      <c r="L144" s="12">
        <f t="shared" si="26"/>
        <v>9.784156611276936</v>
      </c>
      <c r="M144" s="5">
        <f t="shared" si="18"/>
        <v>69027.22489255878</v>
      </c>
      <c r="N144" s="5">
        <f t="shared" si="19"/>
        <v>50381.648647300884</v>
      </c>
    </row>
    <row r="145" spans="1:14" ht="15">
      <c r="A145">
        <v>6</v>
      </c>
      <c r="B145">
        <f t="shared" si="16"/>
        <v>0.6853341187990187</v>
      </c>
      <c r="C145" s="1">
        <f t="shared" si="20"/>
        <v>7055</v>
      </c>
      <c r="D145" s="12">
        <f t="shared" si="21"/>
        <v>6.0229472400544815</v>
      </c>
      <c r="E145" s="13">
        <f t="shared" si="22"/>
        <v>42491.89277858437</v>
      </c>
      <c r="F145" s="6">
        <f t="shared" si="23"/>
        <v>29121.14389351351</v>
      </c>
      <c r="G145" s="18">
        <f t="shared" si="24"/>
        <v>36137.68344032689</v>
      </c>
      <c r="H145" s="1">
        <f t="shared" si="17"/>
        <v>3.9764608166705475</v>
      </c>
      <c r="I145" s="1">
        <f t="shared" si="25"/>
        <v>98482.5692097927</v>
      </c>
      <c r="J145" s="6"/>
      <c r="K145" s="6">
        <f t="shared" si="15"/>
        <v>0</v>
      </c>
      <c r="L145" s="12">
        <f t="shared" si="26"/>
        <v>9.999408056725029</v>
      </c>
      <c r="M145" s="5">
        <f t="shared" si="18"/>
        <v>70545.82384019508</v>
      </c>
      <c r="N145" s="5">
        <f t="shared" si="19"/>
        <v>48347.460016470905</v>
      </c>
    </row>
    <row r="146" spans="1:14" ht="15">
      <c r="A146">
        <v>7</v>
      </c>
      <c r="B146">
        <f t="shared" si="16"/>
        <v>0.6435062148347594</v>
      </c>
      <c r="C146" s="1">
        <f t="shared" si="20"/>
        <v>7055</v>
      </c>
      <c r="D146" s="12">
        <f t="shared" si="21"/>
        <v>6.15545207933568</v>
      </c>
      <c r="E146" s="13">
        <f t="shared" si="22"/>
        <v>43426.71441971322</v>
      </c>
      <c r="F146" s="6">
        <f t="shared" si="23"/>
        <v>27945.36061893972</v>
      </c>
      <c r="G146" s="18">
        <f t="shared" si="24"/>
        <v>43088.16455534976</v>
      </c>
      <c r="H146" s="1">
        <f t="shared" si="17"/>
        <v>4.0639429546373</v>
      </c>
      <c r="I146" s="1">
        <f t="shared" si="25"/>
        <v>112682.9850907117</v>
      </c>
      <c r="J146" s="6"/>
      <c r="K146" s="6">
        <f t="shared" si="15"/>
        <v>0</v>
      </c>
      <c r="L146" s="12">
        <f t="shared" si="26"/>
        <v>10.21939503397298</v>
      </c>
      <c r="M146" s="5">
        <f t="shared" si="18"/>
        <v>72097.83196467937</v>
      </c>
      <c r="N146" s="5">
        <f t="shared" si="19"/>
        <v>46395.40294538335</v>
      </c>
    </row>
    <row r="147" spans="1:14" ht="15">
      <c r="A147">
        <v>8</v>
      </c>
      <c r="B147">
        <f t="shared" si="16"/>
        <v>0.6042311876382719</v>
      </c>
      <c r="C147" s="1">
        <f t="shared" si="20"/>
        <v>7055</v>
      </c>
      <c r="D147" s="12">
        <f t="shared" si="21"/>
        <v>6.290872025081065</v>
      </c>
      <c r="E147" s="13">
        <f t="shared" si="22"/>
        <v>44382.10213694691</v>
      </c>
      <c r="F147" s="6">
        <f t="shared" si="23"/>
        <v>26817.050284090514</v>
      </c>
      <c r="G147" s="18">
        <f t="shared" si="24"/>
        <v>50326.97620064852</v>
      </c>
      <c r="H147" s="1">
        <f t="shared" si="17"/>
        <v>4.153349699639321</v>
      </c>
      <c r="I147" s="1">
        <f t="shared" si="25"/>
        <v>126299.74513694108</v>
      </c>
      <c r="J147" s="6"/>
      <c r="K147" s="6">
        <f t="shared" si="15"/>
        <v>0</v>
      </c>
      <c r="L147" s="12">
        <f t="shared" si="26"/>
        <v>10.444221724720386</v>
      </c>
      <c r="M147" s="5">
        <f t="shared" si="18"/>
        <v>73683.98426790233</v>
      </c>
      <c r="N147" s="5">
        <f t="shared" si="19"/>
        <v>44522.161324114364</v>
      </c>
    </row>
    <row r="148" spans="1:14" ht="15">
      <c r="A148">
        <v>9</v>
      </c>
      <c r="B148">
        <f t="shared" si="16"/>
        <v>0.5673532278293633</v>
      </c>
      <c r="C148" s="1">
        <f t="shared" si="20"/>
        <v>7055</v>
      </c>
      <c r="D148" s="12">
        <f t="shared" si="21"/>
        <v>6.429271209632848</v>
      </c>
      <c r="E148" s="13">
        <f t="shared" si="22"/>
        <v>45358.50838395974</v>
      </c>
      <c r="F148" s="6">
        <f t="shared" si="23"/>
        <v>25734.296141164796</v>
      </c>
      <c r="G148" s="18">
        <f t="shared" si="24"/>
        <v>57863.44088669563</v>
      </c>
      <c r="H148" s="1">
        <f t="shared" si="17"/>
        <v>4.244723393031386</v>
      </c>
      <c r="I148" s="1">
        <f t="shared" si="25"/>
        <v>139350.0665488867</v>
      </c>
      <c r="J148" s="6"/>
      <c r="K148" s="6">
        <f t="shared" si="15"/>
        <v>0</v>
      </c>
      <c r="L148" s="12">
        <f t="shared" si="26"/>
        <v>10.673994602664234</v>
      </c>
      <c r="M148" s="5">
        <f t="shared" si="18"/>
        <v>75305.03192179617</v>
      </c>
      <c r="N148" s="5">
        <f t="shared" si="19"/>
        <v>42724.55293262429</v>
      </c>
    </row>
    <row r="149" spans="1:14" ht="15">
      <c r="A149">
        <v>10</v>
      </c>
      <c r="B149">
        <f t="shared" si="16"/>
        <v>0.5327260355205289</v>
      </c>
      <c r="C149" s="1">
        <f t="shared" si="20"/>
        <v>7055</v>
      </c>
      <c r="D149" s="12">
        <f t="shared" si="21"/>
        <v>6.570715176244771</v>
      </c>
      <c r="E149" s="13">
        <f t="shared" si="22"/>
        <v>46356.39556840686</v>
      </c>
      <c r="F149" s="6">
        <f t="shared" si="23"/>
        <v>24695.2588321788</v>
      </c>
      <c r="G149" s="18">
        <f t="shared" si="24"/>
        <v>65707.15176244771</v>
      </c>
      <c r="H149" s="1">
        <f t="shared" si="17"/>
        <v>4.338107307678077</v>
      </c>
      <c r="I149" s="1">
        <f t="shared" si="25"/>
        <v>151850.7197801225</v>
      </c>
      <c r="J149" s="6"/>
      <c r="K149" s="6">
        <f t="shared" si="15"/>
        <v>0</v>
      </c>
      <c r="L149" s="12">
        <f t="shared" si="26"/>
        <v>10.908822483922847</v>
      </c>
      <c r="M149" s="5">
        <f t="shared" si="18"/>
        <v>76961.74262407569</v>
      </c>
      <c r="N149" s="5">
        <f t="shared" si="19"/>
        <v>40999.52403487515</v>
      </c>
    </row>
    <row r="150" spans="1:14" ht="15">
      <c r="A150">
        <v>11</v>
      </c>
      <c r="B150">
        <f t="shared" si="16"/>
        <v>0.5002122399253793</v>
      </c>
      <c r="C150" s="1">
        <f t="shared" si="20"/>
        <v>7055</v>
      </c>
      <c r="D150" s="12">
        <f t="shared" si="21"/>
        <v>6.715270910122156</v>
      </c>
      <c r="E150" s="13">
        <f t="shared" si="22"/>
        <v>47376.23627091181</v>
      </c>
      <c r="F150" s="6">
        <f t="shared" si="23"/>
        <v>23698.173264306795</v>
      </c>
      <c r="G150" s="18">
        <f t="shared" si="24"/>
        <v>73867.98001134371</v>
      </c>
      <c r="H150" s="1">
        <f t="shared" si="17"/>
        <v>4.433545668446994</v>
      </c>
      <c r="I150" s="1">
        <f t="shared" si="25"/>
        <v>163818.0393602851</v>
      </c>
      <c r="J150" s="6"/>
      <c r="K150" s="6">
        <f t="shared" si="15"/>
        <v>0</v>
      </c>
      <c r="L150" s="12">
        <f t="shared" si="26"/>
        <v>11.14881657856915</v>
      </c>
      <c r="M150" s="5">
        <f t="shared" si="18"/>
        <v>78654.90096180535</v>
      </c>
      <c r="N150" s="5">
        <f t="shared" si="19"/>
        <v>39344.14419121353</v>
      </c>
    </row>
    <row r="151" spans="1:14" ht="15">
      <c r="A151">
        <v>12</v>
      </c>
      <c r="B151">
        <f t="shared" si="16"/>
        <v>0.4696828543900276</v>
      </c>
      <c r="C151" s="1">
        <f t="shared" si="20"/>
        <v>7055</v>
      </c>
      <c r="D151" s="12">
        <f t="shared" si="21"/>
        <v>6.863006870144844</v>
      </c>
      <c r="E151" s="13">
        <f t="shared" si="22"/>
        <v>48418.513468871875</v>
      </c>
      <c r="F151" s="6">
        <f t="shared" si="23"/>
        <v>22741.34561138174</v>
      </c>
      <c r="G151" s="18">
        <f t="shared" si="24"/>
        <v>82356.08244173812</v>
      </c>
      <c r="H151" s="1">
        <f t="shared" si="17"/>
        <v>4.531083673152828</v>
      </c>
      <c r="I151" s="1">
        <f t="shared" si="25"/>
        <v>175267.93446677396</v>
      </c>
      <c r="J151" s="6"/>
      <c r="K151" s="6">
        <f t="shared" si="15"/>
        <v>0</v>
      </c>
      <c r="L151" s="12">
        <f t="shared" si="26"/>
        <v>11.394090543297672</v>
      </c>
      <c r="M151" s="5">
        <f t="shared" si="18"/>
        <v>80385.30878296508</v>
      </c>
      <c r="N151" s="5">
        <f t="shared" si="19"/>
        <v>37755.60128020679</v>
      </c>
    </row>
    <row r="152" spans="1:14" ht="15">
      <c r="A152">
        <v>13</v>
      </c>
      <c r="B152">
        <f t="shared" si="16"/>
        <v>0.4410167646854719</v>
      </c>
      <c r="C152" s="1">
        <f t="shared" si="20"/>
        <v>7055</v>
      </c>
      <c r="D152" s="12">
        <f t="shared" si="21"/>
        <v>7.01399302128803</v>
      </c>
      <c r="E152" s="13">
        <f t="shared" si="22"/>
        <v>49483.720765187056</v>
      </c>
      <c r="F152" s="6">
        <f t="shared" si="23"/>
        <v>21823.1504364621</v>
      </c>
      <c r="G152" s="18">
        <f t="shared" si="24"/>
        <v>91181.9092767444</v>
      </c>
      <c r="H152" s="1">
        <f t="shared" si="17"/>
        <v>4.630767513962191</v>
      </c>
      <c r="I152" s="1">
        <f t="shared" si="25"/>
        <v>186215.89925091714</v>
      </c>
      <c r="J152" s="6"/>
      <c r="K152" s="6">
        <f t="shared" si="15"/>
        <v>0</v>
      </c>
      <c r="L152" s="12">
        <f t="shared" si="26"/>
        <v>11.64476053525022</v>
      </c>
      <c r="M152" s="5">
        <f t="shared" si="18"/>
        <v>82153.7855761903</v>
      </c>
      <c r="N152" s="5">
        <f t="shared" si="19"/>
        <v>36231.19672147543</v>
      </c>
    </row>
    <row r="153" spans="1:14" ht="15">
      <c r="A153">
        <v>14</v>
      </c>
      <c r="B153">
        <f t="shared" si="16"/>
        <v>0.41410024853095956</v>
      </c>
      <c r="C153" s="1">
        <f t="shared" si="20"/>
        <v>7055</v>
      </c>
      <c r="D153" s="12">
        <f t="shared" si="21"/>
        <v>7.168300867756367</v>
      </c>
      <c r="E153" s="13">
        <f t="shared" si="22"/>
        <v>50572.362622021166</v>
      </c>
      <c r="F153" s="6">
        <f t="shared" si="23"/>
        <v>20942.027930576776</v>
      </c>
      <c r="G153" s="18">
        <f t="shared" si="24"/>
        <v>100356.21214858914</v>
      </c>
      <c r="H153" s="1">
        <f t="shared" si="17"/>
        <v>4.732644399269359</v>
      </c>
      <c r="I153" s="1">
        <f t="shared" si="25"/>
        <v>196677.0229241408</v>
      </c>
      <c r="J153" s="6"/>
      <c r="K153" s="6">
        <f t="shared" si="15"/>
        <v>0</v>
      </c>
      <c r="L153" s="12">
        <f t="shared" si="26"/>
        <v>11.900945267025726</v>
      </c>
      <c r="M153" s="5">
        <f t="shared" si="18"/>
        <v>83961.1688588665</v>
      </c>
      <c r="N153" s="5">
        <f t="shared" si="19"/>
        <v>34768.34089140648</v>
      </c>
    </row>
    <row r="154" spans="1:14" ht="15">
      <c r="A154">
        <v>15</v>
      </c>
      <c r="B154">
        <f t="shared" si="16"/>
        <v>0.38882652444221566</v>
      </c>
      <c r="C154" s="1">
        <f t="shared" si="20"/>
        <v>7055</v>
      </c>
      <c r="D154" s="12">
        <f t="shared" si="21"/>
        <v>7.326003486847007</v>
      </c>
      <c r="E154" s="13">
        <f t="shared" si="22"/>
        <v>51684.954599705634</v>
      </c>
      <c r="F154" s="6">
        <f t="shared" si="23"/>
        <v>20096.481262957248</v>
      </c>
      <c r="G154" s="18">
        <f t="shared" si="24"/>
        <v>109890.05230270511</v>
      </c>
      <c r="H154" s="1">
        <f t="shared" si="17"/>
        <v>4.836762576053285</v>
      </c>
      <c r="I154" s="1">
        <f t="shared" si="25"/>
        <v>206665.99960955567</v>
      </c>
      <c r="J154" s="6"/>
      <c r="K154" s="6">
        <f t="shared" si="15"/>
        <v>0</v>
      </c>
      <c r="L154" s="12">
        <f t="shared" si="26"/>
        <v>12.162766062900292</v>
      </c>
      <c r="M154" s="5">
        <f t="shared" si="18"/>
        <v>85808.31457376157</v>
      </c>
      <c r="N154" s="5">
        <f t="shared" si="19"/>
        <v>33364.54872396003</v>
      </c>
    </row>
    <row r="155" spans="1:14" ht="15">
      <c r="A155">
        <v>16</v>
      </c>
      <c r="B155">
        <f t="shared" si="16"/>
        <v>0.3650953281147565</v>
      </c>
      <c r="C155" s="1">
        <f t="shared" si="20"/>
        <v>7055</v>
      </c>
      <c r="D155" s="12">
        <f t="shared" si="21"/>
        <v>7.487175563557641</v>
      </c>
      <c r="E155" s="13">
        <f t="shared" si="22"/>
        <v>52822.023600899156</v>
      </c>
      <c r="F155" s="6">
        <f t="shared" si="23"/>
        <v>19285.074038255687</v>
      </c>
      <c r="G155" s="18">
        <f t="shared" si="24"/>
        <v>119794.80901692226</v>
      </c>
      <c r="H155" s="1">
        <f t="shared" si="17"/>
        <v>4.943171352726458</v>
      </c>
      <c r="I155" s="1">
        <f t="shared" si="25"/>
        <v>216197.1379642563</v>
      </c>
      <c r="J155" s="6"/>
      <c r="K155" s="6">
        <f t="shared" si="15"/>
        <v>0</v>
      </c>
      <c r="L155" s="12">
        <f t="shared" si="26"/>
        <v>12.4303469162841</v>
      </c>
      <c r="M155" s="5">
        <f t="shared" si="18"/>
        <v>87696.09749438432</v>
      </c>
      <c r="N155" s="5">
        <f t="shared" si="19"/>
        <v>32017.435489095915</v>
      </c>
    </row>
    <row r="156" spans="1:14" ht="15">
      <c r="A156">
        <v>17</v>
      </c>
      <c r="B156">
        <f t="shared" si="16"/>
        <v>0.34281251466174323</v>
      </c>
      <c r="C156" s="1">
        <f t="shared" si="20"/>
        <v>7055</v>
      </c>
      <c r="D156" s="12">
        <f t="shared" si="21"/>
        <v>7.651893425955909</v>
      </c>
      <c r="E156" s="13">
        <f t="shared" si="22"/>
        <v>53984.10812011894</v>
      </c>
      <c r="F156" s="6">
        <f t="shared" si="23"/>
        <v>18506.427856429404</v>
      </c>
      <c r="G156" s="18">
        <f t="shared" si="24"/>
        <v>130082.18824125045</v>
      </c>
      <c r="H156" s="1">
        <f t="shared" si="17"/>
        <v>5.0519211224864415</v>
      </c>
      <c r="I156" s="1">
        <f t="shared" si="25"/>
        <v>225284.3705775113</v>
      </c>
      <c r="J156" s="6"/>
      <c r="K156" s="6">
        <f t="shared" si="15"/>
        <v>0</v>
      </c>
      <c r="L156" s="12">
        <f t="shared" si="26"/>
        <v>12.70381454844235</v>
      </c>
      <c r="M156" s="5">
        <f t="shared" si="18"/>
        <v>89625.41163926078</v>
      </c>
      <c r="N156" s="5">
        <f t="shared" si="19"/>
        <v>30724.71274164886</v>
      </c>
    </row>
    <row r="157" spans="1:14" ht="15">
      <c r="A157">
        <v>18</v>
      </c>
      <c r="B157">
        <f t="shared" si="16"/>
        <v>0.3218896851283974</v>
      </c>
      <c r="C157" s="1">
        <f t="shared" si="20"/>
        <v>7055</v>
      </c>
      <c r="D157" s="12">
        <f t="shared" si="21"/>
        <v>7.820235081326939</v>
      </c>
      <c r="E157" s="13">
        <f t="shared" si="22"/>
        <v>55171.758498761556</v>
      </c>
      <c r="F157" s="6">
        <f t="shared" si="23"/>
        <v>17759.21997114634</v>
      </c>
      <c r="G157" s="18">
        <f t="shared" si="24"/>
        <v>140764.2314638849</v>
      </c>
      <c r="H157" s="1">
        <f t="shared" si="17"/>
        <v>5.163063387181142</v>
      </c>
      <c r="I157" s="1">
        <f t="shared" si="25"/>
        <v>233941.26314990682</v>
      </c>
      <c r="J157" s="6"/>
      <c r="K157" s="6">
        <f t="shared" si="15"/>
        <v>0</v>
      </c>
      <c r="L157" s="12">
        <f t="shared" si="26"/>
        <v>12.983298468508082</v>
      </c>
      <c r="M157" s="5">
        <f t="shared" si="18"/>
        <v>91597.17069532452</v>
      </c>
      <c r="N157" s="5">
        <f t="shared" si="19"/>
        <v>29484.184433770075</v>
      </c>
    </row>
    <row r="158" spans="1:14" ht="15">
      <c r="A158">
        <v>19</v>
      </c>
      <c r="B158">
        <f t="shared" si="16"/>
        <v>0.30224383580131214</v>
      </c>
      <c r="C158" s="1">
        <f t="shared" si="20"/>
        <v>7055</v>
      </c>
      <c r="D158" s="12">
        <f t="shared" si="21"/>
        <v>7.992280253116132</v>
      </c>
      <c r="E158" s="13">
        <f t="shared" si="22"/>
        <v>56385.537185734305</v>
      </c>
      <c r="F158" s="6">
        <f t="shared" si="23"/>
        <v>17042.18104273386</v>
      </c>
      <c r="G158" s="18">
        <f t="shared" si="24"/>
        <v>151853.3248092065</v>
      </c>
      <c r="H158" s="1">
        <f t="shared" si="17"/>
        <v>5.276650781699129</v>
      </c>
      <c r="I158" s="1">
        <f t="shared" si="25"/>
        <v>242181.02345839748</v>
      </c>
      <c r="J158" s="6"/>
      <c r="K158" s="6">
        <f t="shared" si="15"/>
        <v>0</v>
      </c>
      <c r="L158" s="12">
        <f t="shared" si="26"/>
        <v>13.26893103481526</v>
      </c>
      <c r="M158" s="5">
        <f t="shared" si="18"/>
        <v>93612.30845062165</v>
      </c>
      <c r="N158" s="5">
        <f t="shared" si="19"/>
        <v>28293.743184331477</v>
      </c>
    </row>
    <row r="159" spans="1:14" ht="15">
      <c r="A159">
        <v>20</v>
      </c>
      <c r="B159">
        <f t="shared" si="16"/>
        <v>0.2837970289214199</v>
      </c>
      <c r="C159" s="1">
        <f t="shared" si="20"/>
        <v>7055</v>
      </c>
      <c r="D159" s="12">
        <f t="shared" si="21"/>
        <v>8.168110418684687</v>
      </c>
      <c r="E159" s="13">
        <f t="shared" si="22"/>
        <v>57626.01900382047</v>
      </c>
      <c r="F159" s="6">
        <f t="shared" si="23"/>
        <v>16354.09298185353</v>
      </c>
      <c r="G159" s="18">
        <f t="shared" si="24"/>
        <v>163362.20837369375</v>
      </c>
      <c r="H159" s="1">
        <f t="shared" si="17"/>
        <v>5.392737098896509</v>
      </c>
      <c r="I159" s="1">
        <f t="shared" si="25"/>
        <v>250016.51011210366</v>
      </c>
      <c r="J159" s="6"/>
      <c r="K159" s="6">
        <f t="shared" si="15"/>
        <v>0</v>
      </c>
      <c r="L159" s="12">
        <f t="shared" si="26"/>
        <v>13.560847517581196</v>
      </c>
      <c r="M159" s="5">
        <f t="shared" si="18"/>
        <v>95671.77923653534</v>
      </c>
      <c r="N159" s="5">
        <f t="shared" si="19"/>
        <v>27151.36669895472</v>
      </c>
    </row>
    <row r="161" spans="6:14" ht="15">
      <c r="F161" s="1">
        <f>SUM(F140:F160)</f>
        <v>497609.929594087</v>
      </c>
      <c r="I161" s="1">
        <f>SUM(I139:I160)</f>
        <v>2982646.0875350125</v>
      </c>
      <c r="J161" s="6">
        <f>SUM(J160:J160)</f>
        <v>0</v>
      </c>
      <c r="K161" s="1">
        <f>SUM(K139:K160)</f>
        <v>400000</v>
      </c>
      <c r="N161" s="6">
        <f>SUM(N139:N160)</f>
        <v>826141.1798527528</v>
      </c>
    </row>
    <row r="164" spans="3:4" ht="15">
      <c r="C164" s="11"/>
      <c r="D164" s="10"/>
    </row>
    <row r="165" spans="3:4" ht="15">
      <c r="C165" s="11"/>
      <c r="D165" s="4"/>
    </row>
    <row r="178" spans="1:2" ht="15.75">
      <c r="A178" s="3" t="s">
        <v>7</v>
      </c>
      <c r="B178" s="3"/>
    </row>
    <row r="179" spans="1:2" ht="15.75">
      <c r="A179" s="3" t="s">
        <v>52</v>
      </c>
      <c r="B179" s="3"/>
    </row>
    <row r="180" ht="15">
      <c r="A180" t="s">
        <v>33</v>
      </c>
    </row>
    <row r="182" ht="15">
      <c r="A182" t="s">
        <v>20</v>
      </c>
    </row>
    <row r="184" spans="1:6" ht="15">
      <c r="A184" t="s">
        <v>15</v>
      </c>
      <c r="D184" s="21">
        <v>400000</v>
      </c>
      <c r="F184" s="6"/>
    </row>
    <row r="185" spans="1:6" ht="15">
      <c r="A185" t="s">
        <v>16</v>
      </c>
      <c r="D185" s="22">
        <f>D184/320</f>
        <v>1250</v>
      </c>
      <c r="F185" s="6"/>
    </row>
    <row r="186" spans="1:6" ht="15">
      <c r="A186" t="s">
        <v>17</v>
      </c>
      <c r="D186" s="21">
        <f>D184/D185</f>
        <v>320</v>
      </c>
      <c r="F186" s="6"/>
    </row>
    <row r="187" spans="1:4" ht="15">
      <c r="A187" t="s">
        <v>21</v>
      </c>
      <c r="D187" s="21">
        <f>D10</f>
        <v>903</v>
      </c>
    </row>
    <row r="188" spans="1:4" ht="15">
      <c r="A188" t="s">
        <v>18</v>
      </c>
      <c r="D188" s="21">
        <f>D185*D187</f>
        <v>1128750</v>
      </c>
    </row>
    <row r="189" spans="1:4" ht="15">
      <c r="A189" t="s">
        <v>6</v>
      </c>
      <c r="D189" s="23">
        <v>0.065</v>
      </c>
    </row>
    <row r="190" spans="1:4" ht="15">
      <c r="A190" t="s">
        <v>19</v>
      </c>
      <c r="D190" s="27">
        <f>D13</f>
        <v>7055</v>
      </c>
    </row>
    <row r="191" ht="15">
      <c r="D191" s="8"/>
    </row>
    <row r="192" ht="15">
      <c r="D192" s="8"/>
    </row>
    <row r="193" spans="9:11" ht="15">
      <c r="I193" s="9"/>
      <c r="K193" s="9" t="s">
        <v>14</v>
      </c>
    </row>
    <row r="194" spans="2:11" ht="15">
      <c r="B194" s="9"/>
      <c r="C194" s="9" t="s">
        <v>2</v>
      </c>
      <c r="D194" s="9"/>
      <c r="E194" s="9" t="s">
        <v>26</v>
      </c>
      <c r="F194" s="9"/>
      <c r="I194" s="9" t="s">
        <v>14</v>
      </c>
      <c r="J194" s="9" t="s">
        <v>28</v>
      </c>
      <c r="K194" s="9" t="s">
        <v>28</v>
      </c>
    </row>
    <row r="195" spans="2:11" ht="15">
      <c r="B195" s="9"/>
      <c r="C195" s="9" t="s">
        <v>11</v>
      </c>
      <c r="D195" s="9" t="s">
        <v>13</v>
      </c>
      <c r="E195" s="9" t="s">
        <v>13</v>
      </c>
      <c r="F195" s="9" t="s">
        <v>14</v>
      </c>
      <c r="G195" s="9" t="s">
        <v>50</v>
      </c>
      <c r="H195" s="9" t="s">
        <v>50</v>
      </c>
      <c r="I195" s="9" t="s">
        <v>50</v>
      </c>
      <c r="J195" s="9" t="s">
        <v>29</v>
      </c>
      <c r="K195" s="9" t="s">
        <v>29</v>
      </c>
    </row>
    <row r="196" spans="2:11" ht="15">
      <c r="B196" s="9" t="s">
        <v>5</v>
      </c>
      <c r="C196" s="9" t="s">
        <v>1</v>
      </c>
      <c r="D196" s="9" t="s">
        <v>30</v>
      </c>
      <c r="E196" s="9" t="s">
        <v>30</v>
      </c>
      <c r="F196" s="9" t="s">
        <v>27</v>
      </c>
      <c r="G196" s="9" t="s">
        <v>11</v>
      </c>
      <c r="H196" s="9" t="s">
        <v>49</v>
      </c>
      <c r="I196" s="9" t="s">
        <v>49</v>
      </c>
      <c r="J196" s="9" t="s">
        <v>10</v>
      </c>
      <c r="K196" s="9" t="s">
        <v>10</v>
      </c>
    </row>
    <row r="198" spans="1:11" ht="15">
      <c r="A198">
        <v>0</v>
      </c>
      <c r="B198">
        <f>1/(1+$D$12)^A198</f>
        <v>1</v>
      </c>
      <c r="F198" s="6"/>
      <c r="J198" s="6">
        <f>D184+D188</f>
        <v>1528750</v>
      </c>
      <c r="K198" s="6">
        <f aca="true" t="shared" si="27" ref="K198:K218">B198*J198</f>
        <v>1528750</v>
      </c>
    </row>
    <row r="199" spans="1:11" ht="15">
      <c r="A199">
        <v>1</v>
      </c>
      <c r="B199">
        <f aca="true" t="shared" si="28" ref="B199:B218">1/(1+$D$12)^A199</f>
        <v>0.9389671361502347</v>
      </c>
      <c r="C199" s="1">
        <f>$D$13</f>
        <v>7055</v>
      </c>
      <c r="D199" s="12">
        <f>1.6247+3.7773</f>
        <v>5.402</v>
      </c>
      <c r="E199" s="13">
        <f>C199*D199</f>
        <v>38111.11</v>
      </c>
      <c r="F199" s="6">
        <f>B199*E199</f>
        <v>35785.079812206575</v>
      </c>
      <c r="G199" s="18">
        <f>ROUND($D$65*0.02,2)*A199*40*D199</f>
        <v>5402</v>
      </c>
      <c r="H199" s="1">
        <f aca="true" t="shared" si="29" ref="H199:H218">H140</f>
        <v>3.5665000000000004</v>
      </c>
      <c r="I199" s="1">
        <f>B199*G199*H199</f>
        <v>18090.359624413148</v>
      </c>
      <c r="J199" s="6"/>
      <c r="K199" s="6">
        <f t="shared" si="27"/>
        <v>0</v>
      </c>
    </row>
    <row r="200" spans="1:11" ht="15">
      <c r="A200">
        <v>2</v>
      </c>
      <c r="B200">
        <f t="shared" si="28"/>
        <v>0.8816592827701736</v>
      </c>
      <c r="C200" s="1">
        <f aca="true" t="shared" si="30" ref="C200:C218">$D$13</f>
        <v>7055</v>
      </c>
      <c r="D200" s="12">
        <f aca="true" t="shared" si="31" ref="D200:D218">D199*1.022</f>
        <v>5.520844</v>
      </c>
      <c r="E200" s="13">
        <f aca="true" t="shared" si="32" ref="E200:E218">C200*D200</f>
        <v>38949.55442</v>
      </c>
      <c r="F200" s="6">
        <f aca="true" t="shared" si="33" ref="F200:F218">B200*E200</f>
        <v>34340.23621415505</v>
      </c>
      <c r="G200" s="18">
        <f aca="true" t="shared" si="34" ref="G200:G218">ROUND($D$65*0.02,2)*A200*40*D200</f>
        <v>11041.688</v>
      </c>
      <c r="H200" s="1">
        <f t="shared" si="29"/>
        <v>3.6449630000000006</v>
      </c>
      <c r="I200" s="1">
        <f aca="true" t="shared" si="35" ref="I200:I218">B200*G200*H200</f>
        <v>35483.73930881793</v>
      </c>
      <c r="J200" s="6"/>
      <c r="K200" s="6">
        <f t="shared" si="27"/>
        <v>0</v>
      </c>
    </row>
    <row r="201" spans="1:11" ht="15">
      <c r="A201">
        <v>3</v>
      </c>
      <c r="B201">
        <f t="shared" si="28"/>
        <v>0.8278490918029799</v>
      </c>
      <c r="C201" s="1">
        <f t="shared" si="30"/>
        <v>7055</v>
      </c>
      <c r="D201" s="12">
        <f t="shared" si="31"/>
        <v>5.642302568000001</v>
      </c>
      <c r="E201" s="13">
        <f t="shared" si="32"/>
        <v>39806.444617240006</v>
      </c>
      <c r="F201" s="6">
        <f t="shared" si="33"/>
        <v>32953.72902428776</v>
      </c>
      <c r="G201" s="18">
        <f t="shared" si="34"/>
        <v>16926.907704</v>
      </c>
      <c r="H201" s="1">
        <f t="shared" si="29"/>
        <v>3.725152186</v>
      </c>
      <c r="I201" s="1">
        <f t="shared" si="35"/>
        <v>52200.2788284949</v>
      </c>
      <c r="J201" s="6"/>
      <c r="K201" s="6">
        <f t="shared" si="27"/>
        <v>0</v>
      </c>
    </row>
    <row r="202" spans="1:11" ht="15">
      <c r="A202">
        <v>4</v>
      </c>
      <c r="B202">
        <f t="shared" si="28"/>
        <v>0.777323090894817</v>
      </c>
      <c r="C202" s="1">
        <f t="shared" si="30"/>
        <v>7055</v>
      </c>
      <c r="D202" s="12">
        <f t="shared" si="31"/>
        <v>5.766433224496001</v>
      </c>
      <c r="E202" s="13">
        <f t="shared" si="32"/>
        <v>40682.186398819285</v>
      </c>
      <c r="F202" s="6">
        <f t="shared" si="33"/>
        <v>31623.202875889292</v>
      </c>
      <c r="G202" s="18">
        <f t="shared" si="34"/>
        <v>23065.732897984002</v>
      </c>
      <c r="H202" s="1">
        <f t="shared" si="29"/>
        <v>3.807105534092</v>
      </c>
      <c r="I202" s="1">
        <f t="shared" si="35"/>
        <v>68259.60066591759</v>
      </c>
      <c r="J202" s="6"/>
      <c r="K202" s="6">
        <f t="shared" si="27"/>
        <v>0</v>
      </c>
    </row>
    <row r="203" spans="1:11" ht="15">
      <c r="A203">
        <v>5</v>
      </c>
      <c r="B203">
        <f t="shared" si="28"/>
        <v>0.7298808365209549</v>
      </c>
      <c r="C203" s="1">
        <f t="shared" si="30"/>
        <v>7055</v>
      </c>
      <c r="D203" s="12">
        <f t="shared" si="31"/>
        <v>5.893294755434913</v>
      </c>
      <c r="E203" s="13">
        <f t="shared" si="32"/>
        <v>41577.19449959331</v>
      </c>
      <c r="F203" s="6">
        <f t="shared" si="33"/>
        <v>30346.39750155761</v>
      </c>
      <c r="G203" s="18">
        <f t="shared" si="34"/>
        <v>29466.473777174564</v>
      </c>
      <c r="H203" s="1">
        <f t="shared" si="29"/>
        <v>3.890861855842023</v>
      </c>
      <c r="I203" s="1">
        <f t="shared" si="35"/>
        <v>83680.82246706604</v>
      </c>
      <c r="J203" s="6"/>
      <c r="K203" s="6">
        <f t="shared" si="27"/>
        <v>0</v>
      </c>
    </row>
    <row r="204" spans="1:11" ht="15">
      <c r="A204">
        <v>6</v>
      </c>
      <c r="B204">
        <f t="shared" si="28"/>
        <v>0.6853341187990187</v>
      </c>
      <c r="C204" s="1">
        <f t="shared" si="30"/>
        <v>7055</v>
      </c>
      <c r="D204" s="12">
        <f t="shared" si="31"/>
        <v>6.0229472400544815</v>
      </c>
      <c r="E204" s="13">
        <f t="shared" si="32"/>
        <v>42491.89277858437</v>
      </c>
      <c r="F204" s="6">
        <f t="shared" si="33"/>
        <v>29121.14389351351</v>
      </c>
      <c r="G204" s="18">
        <f t="shared" si="34"/>
        <v>36137.68344032689</v>
      </c>
      <c r="H204" s="1">
        <f t="shared" si="29"/>
        <v>3.9764608166705475</v>
      </c>
      <c r="I204" s="1">
        <f t="shared" si="35"/>
        <v>98482.5692097927</v>
      </c>
      <c r="J204" s="6"/>
      <c r="K204" s="6">
        <f t="shared" si="27"/>
        <v>0</v>
      </c>
    </row>
    <row r="205" spans="1:11" ht="15">
      <c r="A205">
        <v>7</v>
      </c>
      <c r="B205">
        <f t="shared" si="28"/>
        <v>0.6435062148347594</v>
      </c>
      <c r="C205" s="1">
        <f t="shared" si="30"/>
        <v>7055</v>
      </c>
      <c r="D205" s="12">
        <f t="shared" si="31"/>
        <v>6.15545207933568</v>
      </c>
      <c r="E205" s="13">
        <f t="shared" si="32"/>
        <v>43426.71441971322</v>
      </c>
      <c r="F205" s="6">
        <f t="shared" si="33"/>
        <v>27945.36061893972</v>
      </c>
      <c r="G205" s="18">
        <f t="shared" si="34"/>
        <v>43088.16455534976</v>
      </c>
      <c r="H205" s="1">
        <f t="shared" si="29"/>
        <v>4.0639429546373</v>
      </c>
      <c r="I205" s="1">
        <f t="shared" si="35"/>
        <v>112682.9850907117</v>
      </c>
      <c r="J205" s="6"/>
      <c r="K205" s="6">
        <f t="shared" si="27"/>
        <v>0</v>
      </c>
    </row>
    <row r="206" spans="1:11" ht="15">
      <c r="A206">
        <v>8</v>
      </c>
      <c r="B206">
        <f t="shared" si="28"/>
        <v>0.6042311876382719</v>
      </c>
      <c r="C206" s="1">
        <f t="shared" si="30"/>
        <v>7055</v>
      </c>
      <c r="D206" s="12">
        <f t="shared" si="31"/>
        <v>6.290872025081065</v>
      </c>
      <c r="E206" s="13">
        <f t="shared" si="32"/>
        <v>44382.10213694691</v>
      </c>
      <c r="F206" s="6">
        <f t="shared" si="33"/>
        <v>26817.050284090514</v>
      </c>
      <c r="G206" s="18">
        <f t="shared" si="34"/>
        <v>50326.97620064852</v>
      </c>
      <c r="H206" s="1">
        <f t="shared" si="29"/>
        <v>4.153349699639321</v>
      </c>
      <c r="I206" s="1">
        <f t="shared" si="35"/>
        <v>126299.74513694108</v>
      </c>
      <c r="J206" s="6"/>
      <c r="K206" s="6">
        <f t="shared" si="27"/>
        <v>0</v>
      </c>
    </row>
    <row r="207" spans="1:11" ht="15">
      <c r="A207">
        <v>9</v>
      </c>
      <c r="B207">
        <f t="shared" si="28"/>
        <v>0.5673532278293633</v>
      </c>
      <c r="C207" s="1">
        <f t="shared" si="30"/>
        <v>7055</v>
      </c>
      <c r="D207" s="12">
        <f t="shared" si="31"/>
        <v>6.429271209632848</v>
      </c>
      <c r="E207" s="13">
        <f t="shared" si="32"/>
        <v>45358.50838395974</v>
      </c>
      <c r="F207" s="6">
        <f t="shared" si="33"/>
        <v>25734.296141164796</v>
      </c>
      <c r="G207" s="18">
        <f t="shared" si="34"/>
        <v>57863.44088669563</v>
      </c>
      <c r="H207" s="1">
        <f t="shared" si="29"/>
        <v>4.244723393031386</v>
      </c>
      <c r="I207" s="1">
        <f t="shared" si="35"/>
        <v>139350.0665488867</v>
      </c>
      <c r="J207" s="6"/>
      <c r="K207" s="6">
        <f t="shared" si="27"/>
        <v>0</v>
      </c>
    </row>
    <row r="208" spans="1:11" ht="15">
      <c r="A208">
        <v>10</v>
      </c>
      <c r="B208">
        <f t="shared" si="28"/>
        <v>0.5327260355205289</v>
      </c>
      <c r="C208" s="1">
        <f t="shared" si="30"/>
        <v>7055</v>
      </c>
      <c r="D208" s="12">
        <f t="shared" si="31"/>
        <v>6.570715176244771</v>
      </c>
      <c r="E208" s="13">
        <f t="shared" si="32"/>
        <v>46356.39556840686</v>
      </c>
      <c r="F208" s="6">
        <f t="shared" si="33"/>
        <v>24695.2588321788</v>
      </c>
      <c r="G208" s="18">
        <f t="shared" si="34"/>
        <v>65707.15176244771</v>
      </c>
      <c r="H208" s="1">
        <f t="shared" si="29"/>
        <v>4.338107307678077</v>
      </c>
      <c r="I208" s="1">
        <f t="shared" si="35"/>
        <v>151850.7197801225</v>
      </c>
      <c r="J208" s="6"/>
      <c r="K208" s="6">
        <f t="shared" si="27"/>
        <v>0</v>
      </c>
    </row>
    <row r="209" spans="1:11" ht="15">
      <c r="A209">
        <v>11</v>
      </c>
      <c r="B209">
        <f t="shared" si="28"/>
        <v>0.5002122399253793</v>
      </c>
      <c r="C209" s="1">
        <f t="shared" si="30"/>
        <v>7055</v>
      </c>
      <c r="D209" s="12">
        <f t="shared" si="31"/>
        <v>6.715270910122156</v>
      </c>
      <c r="E209" s="13">
        <f t="shared" si="32"/>
        <v>47376.23627091181</v>
      </c>
      <c r="F209" s="6">
        <f t="shared" si="33"/>
        <v>23698.173264306795</v>
      </c>
      <c r="G209" s="18">
        <f t="shared" si="34"/>
        <v>73867.98001134371</v>
      </c>
      <c r="H209" s="1">
        <f t="shared" si="29"/>
        <v>4.433545668446994</v>
      </c>
      <c r="I209" s="1">
        <f t="shared" si="35"/>
        <v>163818.0393602851</v>
      </c>
      <c r="J209" s="6"/>
      <c r="K209" s="6">
        <f t="shared" si="27"/>
        <v>0</v>
      </c>
    </row>
    <row r="210" spans="1:11" ht="15">
      <c r="A210">
        <v>12</v>
      </c>
      <c r="B210">
        <f t="shared" si="28"/>
        <v>0.4696828543900276</v>
      </c>
      <c r="C210" s="1">
        <f t="shared" si="30"/>
        <v>7055</v>
      </c>
      <c r="D210" s="12">
        <f t="shared" si="31"/>
        <v>6.863006870144844</v>
      </c>
      <c r="E210" s="13">
        <f t="shared" si="32"/>
        <v>48418.513468871875</v>
      </c>
      <c r="F210" s="6">
        <f t="shared" si="33"/>
        <v>22741.34561138174</v>
      </c>
      <c r="G210" s="18">
        <f t="shared" si="34"/>
        <v>82356.08244173812</v>
      </c>
      <c r="H210" s="1">
        <f t="shared" si="29"/>
        <v>4.531083673152828</v>
      </c>
      <c r="I210" s="1">
        <f t="shared" si="35"/>
        <v>175267.93446677396</v>
      </c>
      <c r="J210" s="6"/>
      <c r="K210" s="6">
        <f t="shared" si="27"/>
        <v>0</v>
      </c>
    </row>
    <row r="211" spans="1:11" ht="15">
      <c r="A211">
        <v>13</v>
      </c>
      <c r="B211">
        <f t="shared" si="28"/>
        <v>0.4410167646854719</v>
      </c>
      <c r="C211" s="1">
        <f t="shared" si="30"/>
        <v>7055</v>
      </c>
      <c r="D211" s="12">
        <f t="shared" si="31"/>
        <v>7.01399302128803</v>
      </c>
      <c r="E211" s="13">
        <f t="shared" si="32"/>
        <v>49483.720765187056</v>
      </c>
      <c r="F211" s="6">
        <f t="shared" si="33"/>
        <v>21823.1504364621</v>
      </c>
      <c r="G211" s="18">
        <f t="shared" si="34"/>
        <v>91181.9092767444</v>
      </c>
      <c r="H211" s="1">
        <f t="shared" si="29"/>
        <v>4.630767513962191</v>
      </c>
      <c r="I211" s="1">
        <f t="shared" si="35"/>
        <v>186215.89925091714</v>
      </c>
      <c r="J211" s="6"/>
      <c r="K211" s="6">
        <f t="shared" si="27"/>
        <v>0</v>
      </c>
    </row>
    <row r="212" spans="1:11" ht="15">
      <c r="A212">
        <v>14</v>
      </c>
      <c r="B212">
        <f t="shared" si="28"/>
        <v>0.41410024853095956</v>
      </c>
      <c r="C212" s="1">
        <f t="shared" si="30"/>
        <v>7055</v>
      </c>
      <c r="D212" s="12">
        <f t="shared" si="31"/>
        <v>7.168300867756367</v>
      </c>
      <c r="E212" s="13">
        <f t="shared" si="32"/>
        <v>50572.362622021166</v>
      </c>
      <c r="F212" s="6">
        <f t="shared" si="33"/>
        <v>20942.027930576776</v>
      </c>
      <c r="G212" s="18">
        <f t="shared" si="34"/>
        <v>100356.21214858914</v>
      </c>
      <c r="H212" s="1">
        <f t="shared" si="29"/>
        <v>4.732644399269359</v>
      </c>
      <c r="I212" s="1">
        <f t="shared" si="35"/>
        <v>196677.0229241408</v>
      </c>
      <c r="J212" s="6"/>
      <c r="K212" s="6">
        <f t="shared" si="27"/>
        <v>0</v>
      </c>
    </row>
    <row r="213" spans="1:11" ht="15">
      <c r="A213">
        <v>15</v>
      </c>
      <c r="B213">
        <f t="shared" si="28"/>
        <v>0.38882652444221566</v>
      </c>
      <c r="C213" s="1">
        <f t="shared" si="30"/>
        <v>7055</v>
      </c>
      <c r="D213" s="12">
        <f t="shared" si="31"/>
        <v>7.326003486847007</v>
      </c>
      <c r="E213" s="13">
        <f t="shared" si="32"/>
        <v>51684.954599705634</v>
      </c>
      <c r="F213" s="6">
        <f t="shared" si="33"/>
        <v>20096.481262957248</v>
      </c>
      <c r="G213" s="18">
        <f t="shared" si="34"/>
        <v>109890.05230270511</v>
      </c>
      <c r="H213" s="1">
        <f t="shared" si="29"/>
        <v>4.836762576053285</v>
      </c>
      <c r="I213" s="1">
        <f t="shared" si="35"/>
        <v>206665.99960955567</v>
      </c>
      <c r="J213" s="6"/>
      <c r="K213" s="6">
        <f t="shared" si="27"/>
        <v>0</v>
      </c>
    </row>
    <row r="214" spans="1:11" ht="15">
      <c r="A214">
        <v>16</v>
      </c>
      <c r="B214">
        <f t="shared" si="28"/>
        <v>0.3650953281147565</v>
      </c>
      <c r="C214" s="1">
        <f t="shared" si="30"/>
        <v>7055</v>
      </c>
      <c r="D214" s="12">
        <f t="shared" si="31"/>
        <v>7.487175563557641</v>
      </c>
      <c r="E214" s="13">
        <f t="shared" si="32"/>
        <v>52822.023600899156</v>
      </c>
      <c r="F214" s="6">
        <f t="shared" si="33"/>
        <v>19285.074038255687</v>
      </c>
      <c r="G214" s="18">
        <f t="shared" si="34"/>
        <v>119794.80901692226</v>
      </c>
      <c r="H214" s="1">
        <f t="shared" si="29"/>
        <v>4.943171352726458</v>
      </c>
      <c r="I214" s="1">
        <f t="shared" si="35"/>
        <v>216197.1379642563</v>
      </c>
      <c r="J214" s="6"/>
      <c r="K214" s="6">
        <f t="shared" si="27"/>
        <v>0</v>
      </c>
    </row>
    <row r="215" spans="1:11" ht="15">
      <c r="A215">
        <v>17</v>
      </c>
      <c r="B215">
        <f t="shared" si="28"/>
        <v>0.34281251466174323</v>
      </c>
      <c r="C215" s="1">
        <f t="shared" si="30"/>
        <v>7055</v>
      </c>
      <c r="D215" s="12">
        <f t="shared" si="31"/>
        <v>7.651893425955909</v>
      </c>
      <c r="E215" s="13">
        <f t="shared" si="32"/>
        <v>53984.10812011894</v>
      </c>
      <c r="F215" s="6">
        <f t="shared" si="33"/>
        <v>18506.427856429404</v>
      </c>
      <c r="G215" s="18">
        <f t="shared" si="34"/>
        <v>130082.18824125045</v>
      </c>
      <c r="H215" s="1">
        <f t="shared" si="29"/>
        <v>5.0519211224864415</v>
      </c>
      <c r="I215" s="1">
        <f t="shared" si="35"/>
        <v>225284.3705775113</v>
      </c>
      <c r="J215" s="6"/>
      <c r="K215" s="6">
        <f t="shared" si="27"/>
        <v>0</v>
      </c>
    </row>
    <row r="216" spans="1:11" ht="15">
      <c r="A216">
        <v>18</v>
      </c>
      <c r="B216">
        <f t="shared" si="28"/>
        <v>0.3218896851283974</v>
      </c>
      <c r="C216" s="1">
        <f t="shared" si="30"/>
        <v>7055</v>
      </c>
      <c r="D216" s="12">
        <f t="shared" si="31"/>
        <v>7.820235081326939</v>
      </c>
      <c r="E216" s="13">
        <f t="shared" si="32"/>
        <v>55171.758498761556</v>
      </c>
      <c r="F216" s="6">
        <f t="shared" si="33"/>
        <v>17759.21997114634</v>
      </c>
      <c r="G216" s="18">
        <f t="shared" si="34"/>
        <v>140764.2314638849</v>
      </c>
      <c r="H216" s="1">
        <f t="shared" si="29"/>
        <v>5.163063387181142</v>
      </c>
      <c r="I216" s="1">
        <f t="shared" si="35"/>
        <v>233941.26314990682</v>
      </c>
      <c r="J216" s="6"/>
      <c r="K216" s="6">
        <f t="shared" si="27"/>
        <v>0</v>
      </c>
    </row>
    <row r="217" spans="1:11" ht="15">
      <c r="A217">
        <v>19</v>
      </c>
      <c r="B217">
        <f t="shared" si="28"/>
        <v>0.30224383580131214</v>
      </c>
      <c r="C217" s="1">
        <f t="shared" si="30"/>
        <v>7055</v>
      </c>
      <c r="D217" s="12">
        <f t="shared" si="31"/>
        <v>7.992280253116132</v>
      </c>
      <c r="E217" s="13">
        <f t="shared" si="32"/>
        <v>56385.537185734305</v>
      </c>
      <c r="F217" s="6">
        <f t="shared" si="33"/>
        <v>17042.18104273386</v>
      </c>
      <c r="G217" s="18">
        <f t="shared" si="34"/>
        <v>151853.3248092065</v>
      </c>
      <c r="H217" s="1">
        <f t="shared" si="29"/>
        <v>5.276650781699129</v>
      </c>
      <c r="I217" s="1">
        <f t="shared" si="35"/>
        <v>242181.02345839748</v>
      </c>
      <c r="J217" s="6"/>
      <c r="K217" s="6">
        <f t="shared" si="27"/>
        <v>0</v>
      </c>
    </row>
    <row r="218" spans="1:11" ht="15">
      <c r="A218">
        <v>20</v>
      </c>
      <c r="B218">
        <f t="shared" si="28"/>
        <v>0.2837970289214199</v>
      </c>
      <c r="C218" s="1">
        <f t="shared" si="30"/>
        <v>7055</v>
      </c>
      <c r="D218" s="12">
        <f t="shared" si="31"/>
        <v>8.168110418684687</v>
      </c>
      <c r="E218" s="13">
        <f t="shared" si="32"/>
        <v>57626.01900382047</v>
      </c>
      <c r="F218" s="6">
        <f t="shared" si="33"/>
        <v>16354.09298185353</v>
      </c>
      <c r="G218" s="18">
        <f t="shared" si="34"/>
        <v>163362.20837369375</v>
      </c>
      <c r="H218" s="1">
        <f t="shared" si="29"/>
        <v>5.392737098896509</v>
      </c>
      <c r="I218" s="1">
        <f t="shared" si="35"/>
        <v>250016.51011210366</v>
      </c>
      <c r="J218" s="6"/>
      <c r="K218" s="6">
        <f t="shared" si="27"/>
        <v>0</v>
      </c>
    </row>
    <row r="220" spans="6:11" ht="15">
      <c r="F220" s="1">
        <f>SUM(F199:F219)</f>
        <v>497609.929594087</v>
      </c>
      <c r="I220" s="1">
        <f>SUM(I198:I219)</f>
        <v>2982646.0875350125</v>
      </c>
      <c r="J220" s="6">
        <f>SUM(J219:J219)</f>
        <v>0</v>
      </c>
      <c r="K220" s="1">
        <f>SUM(K198:K219)</f>
        <v>1528750</v>
      </c>
    </row>
    <row r="223" spans="3:4" ht="15">
      <c r="C223" s="11"/>
      <c r="D223" s="10"/>
    </row>
    <row r="224" spans="3:4" ht="15">
      <c r="C224" s="11"/>
      <c r="D224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0"/>
  <sheetViews>
    <sheetView zoomScalePageLayoutView="0" workbookViewId="0" topLeftCell="A1">
      <selection activeCell="D127" sqref="D127:D133"/>
    </sheetView>
  </sheetViews>
  <sheetFormatPr defaultColWidth="9.140625" defaultRowHeight="15"/>
  <cols>
    <col min="2" max="2" width="13.8515625" style="0" customWidth="1"/>
    <col min="3" max="3" width="15.7109375" style="0" customWidth="1"/>
    <col min="4" max="4" width="14.00390625" style="0" customWidth="1"/>
    <col min="5" max="5" width="15.140625" style="0" customWidth="1"/>
    <col min="6" max="6" width="14.28125" style="0" customWidth="1"/>
    <col min="7" max="7" width="14.140625" style="0" customWidth="1"/>
    <col min="8" max="9" width="13.8515625" style="0" customWidth="1"/>
    <col min="10" max="10" width="15.140625" style="0" customWidth="1"/>
    <col min="11" max="11" width="15.57421875" style="0" customWidth="1"/>
    <col min="13" max="13" width="13.7109375" style="0" customWidth="1"/>
    <col min="14" max="14" width="11.7109375" style="0" customWidth="1"/>
  </cols>
  <sheetData>
    <row r="1" spans="1:2" ht="15.75">
      <c r="A1" s="3" t="s">
        <v>7</v>
      </c>
      <c r="B1" s="3"/>
    </row>
    <row r="2" spans="1:2" ht="15.75">
      <c r="A2" s="3" t="s">
        <v>4</v>
      </c>
      <c r="B2" s="3"/>
    </row>
    <row r="3" ht="15">
      <c r="A3" t="s">
        <v>8</v>
      </c>
    </row>
    <row r="5" ht="15">
      <c r="A5" t="s">
        <v>20</v>
      </c>
    </row>
    <row r="7" spans="1:6" ht="15">
      <c r="A7" t="s">
        <v>15</v>
      </c>
      <c r="D7" s="21">
        <v>308000</v>
      </c>
      <c r="F7" s="6"/>
    </row>
    <row r="8" spans="1:6" ht="15">
      <c r="A8" t="s">
        <v>16</v>
      </c>
      <c r="D8" s="22">
        <f>D7/2800</f>
        <v>110</v>
      </c>
      <c r="F8" s="6"/>
    </row>
    <row r="9" spans="1:4" ht="15">
      <c r="A9" t="s">
        <v>17</v>
      </c>
      <c r="D9" s="21">
        <f>D7/D8</f>
        <v>2800</v>
      </c>
    </row>
    <row r="10" spans="1:4" ht="15">
      <c r="A10" t="s">
        <v>21</v>
      </c>
      <c r="D10" s="21">
        <v>690</v>
      </c>
    </row>
    <row r="11" spans="1:4" ht="15">
      <c r="A11" t="s">
        <v>18</v>
      </c>
      <c r="D11" s="21">
        <f>D8*D10</f>
        <v>75900</v>
      </c>
    </row>
    <row r="12" spans="1:4" ht="15">
      <c r="A12" t="s">
        <v>6</v>
      </c>
      <c r="D12" s="23">
        <v>0.065</v>
      </c>
    </row>
    <row r="13" spans="1:4" ht="15">
      <c r="A13" t="s">
        <v>19</v>
      </c>
      <c r="D13" s="28">
        <f>D8*7.9</f>
        <v>869</v>
      </c>
    </row>
    <row r="14" ht="15">
      <c r="D14" s="8"/>
    </row>
    <row r="15" ht="15">
      <c r="D15" s="8"/>
    </row>
    <row r="17" spans="2:7" ht="15">
      <c r="B17" s="9"/>
      <c r="C17" s="9"/>
      <c r="D17" s="9" t="s">
        <v>14</v>
      </c>
      <c r="E17" s="9" t="s">
        <v>2</v>
      </c>
      <c r="F17" s="9"/>
      <c r="G17" s="9"/>
    </row>
    <row r="18" spans="2:8" ht="15">
      <c r="B18" s="9"/>
      <c r="C18" s="9" t="s">
        <v>9</v>
      </c>
      <c r="D18" s="9" t="s">
        <v>9</v>
      </c>
      <c r="E18" s="9" t="s">
        <v>11</v>
      </c>
      <c r="F18" s="9" t="s">
        <v>13</v>
      </c>
      <c r="G18" s="9" t="s">
        <v>9</v>
      </c>
      <c r="H18" s="9" t="s">
        <v>54</v>
      </c>
    </row>
    <row r="19" spans="2:8" ht="15">
      <c r="B19" s="9" t="s">
        <v>5</v>
      </c>
      <c r="C19" s="9" t="s">
        <v>10</v>
      </c>
      <c r="D19" s="9" t="s">
        <v>10</v>
      </c>
      <c r="E19" s="9" t="s">
        <v>1</v>
      </c>
      <c r="F19" s="9" t="s">
        <v>10</v>
      </c>
      <c r="G19" s="9" t="s">
        <v>12</v>
      </c>
      <c r="H19" s="9" t="s">
        <v>12</v>
      </c>
    </row>
    <row r="21" spans="1:4" ht="15">
      <c r="A21">
        <v>0</v>
      </c>
      <c r="B21">
        <f>1/(1+$D$12)^A21</f>
        <v>1</v>
      </c>
      <c r="C21" s="6">
        <f>D11</f>
        <v>75900</v>
      </c>
      <c r="D21" s="6">
        <f>B21*C21</f>
        <v>75900</v>
      </c>
    </row>
    <row r="22" spans="1:8" ht="15">
      <c r="A22">
        <v>1</v>
      </c>
      <c r="B22">
        <f aca="true" t="shared" si="0" ref="B22:B41">1/(1+$D$12)^A22</f>
        <v>0.9389671361502347</v>
      </c>
      <c r="D22" s="6">
        <f aca="true" t="shared" si="1" ref="D22:D41">B22*C22</f>
        <v>0</v>
      </c>
      <c r="E22" s="1">
        <f>$D$13</f>
        <v>869</v>
      </c>
      <c r="F22" s="12">
        <v>8.9685</v>
      </c>
      <c r="G22" s="5">
        <f>E22*F22</f>
        <v>7793.6265</v>
      </c>
      <c r="H22" s="26">
        <f>G22*B22</f>
        <v>7317.959154929577</v>
      </c>
    </row>
    <row r="23" spans="1:8" ht="15">
      <c r="A23">
        <v>2</v>
      </c>
      <c r="B23">
        <f t="shared" si="0"/>
        <v>0.8816592827701736</v>
      </c>
      <c r="D23" s="6">
        <f t="shared" si="1"/>
        <v>0</v>
      </c>
      <c r="E23" s="1">
        <f aca="true" t="shared" si="2" ref="E23:E41">$D$13</f>
        <v>869</v>
      </c>
      <c r="F23" s="12">
        <f aca="true" t="shared" si="3" ref="F23:F41">F22*1.022</f>
        <v>9.165807000000001</v>
      </c>
      <c r="G23" s="5">
        <f aca="true" t="shared" si="4" ref="G23:G41">E23*F23</f>
        <v>7965.086283000001</v>
      </c>
      <c r="H23" s="26">
        <f aca="true" t="shared" si="5" ref="H23:H41">G23*B23</f>
        <v>7022.492259472328</v>
      </c>
    </row>
    <row r="24" spans="1:8" ht="15">
      <c r="A24">
        <v>3</v>
      </c>
      <c r="B24">
        <f t="shared" si="0"/>
        <v>0.8278490918029799</v>
      </c>
      <c r="D24" s="6">
        <f t="shared" si="1"/>
        <v>0</v>
      </c>
      <c r="E24" s="1">
        <f t="shared" si="2"/>
        <v>869</v>
      </c>
      <c r="F24" s="12">
        <f t="shared" si="3"/>
        <v>9.367454754</v>
      </c>
      <c r="G24" s="5">
        <f t="shared" si="4"/>
        <v>8140.318181226001</v>
      </c>
      <c r="H24" s="26">
        <f t="shared" si="5"/>
        <v>6738.955013315231</v>
      </c>
    </row>
    <row r="25" spans="1:8" ht="15">
      <c r="A25">
        <v>4</v>
      </c>
      <c r="B25">
        <f t="shared" si="0"/>
        <v>0.777323090894817</v>
      </c>
      <c r="D25" s="6">
        <f t="shared" si="1"/>
        <v>0</v>
      </c>
      <c r="E25" s="1">
        <f t="shared" si="2"/>
        <v>869</v>
      </c>
      <c r="F25" s="12">
        <f t="shared" si="3"/>
        <v>9.573538758588</v>
      </c>
      <c r="G25" s="5">
        <f t="shared" si="4"/>
        <v>8319.405181212973</v>
      </c>
      <c r="H25" s="26">
        <f t="shared" si="5"/>
        <v>6466.8657498668235</v>
      </c>
    </row>
    <row r="26" spans="1:8" ht="15">
      <c r="A26">
        <v>5</v>
      </c>
      <c r="B26">
        <f t="shared" si="0"/>
        <v>0.7298808365209549</v>
      </c>
      <c r="D26" s="6">
        <f t="shared" si="1"/>
        <v>0</v>
      </c>
      <c r="E26" s="1">
        <f t="shared" si="2"/>
        <v>869</v>
      </c>
      <c r="F26" s="12">
        <f t="shared" si="3"/>
        <v>9.784156611276936</v>
      </c>
      <c r="G26" s="5">
        <f t="shared" si="4"/>
        <v>8502.432095199658</v>
      </c>
      <c r="H26" s="26">
        <f t="shared" si="5"/>
        <v>6205.762250106942</v>
      </c>
    </row>
    <row r="27" spans="1:8" ht="15">
      <c r="A27">
        <v>6</v>
      </c>
      <c r="B27">
        <f t="shared" si="0"/>
        <v>0.6853341187990187</v>
      </c>
      <c r="D27" s="6">
        <f t="shared" si="1"/>
        <v>0</v>
      </c>
      <c r="E27" s="1">
        <f t="shared" si="2"/>
        <v>869</v>
      </c>
      <c r="F27" s="12">
        <f t="shared" si="3"/>
        <v>9.999408056725029</v>
      </c>
      <c r="G27" s="5">
        <f t="shared" si="4"/>
        <v>8689.48560129405</v>
      </c>
      <c r="H27" s="26">
        <f t="shared" si="5"/>
        <v>5955.2009573796195</v>
      </c>
    </row>
    <row r="28" spans="1:8" ht="15">
      <c r="A28">
        <v>7</v>
      </c>
      <c r="B28">
        <f t="shared" si="0"/>
        <v>0.6435062148347594</v>
      </c>
      <c r="D28" s="6">
        <f t="shared" si="1"/>
        <v>0</v>
      </c>
      <c r="E28" s="1">
        <f t="shared" si="2"/>
        <v>869</v>
      </c>
      <c r="F28" s="12">
        <f t="shared" si="3"/>
        <v>10.21939503397298</v>
      </c>
      <c r="G28" s="5">
        <f t="shared" si="4"/>
        <v>8880.65428452252</v>
      </c>
      <c r="H28" s="26">
        <f t="shared" si="5"/>
        <v>5714.756223889175</v>
      </c>
    </row>
    <row r="29" spans="1:8" ht="15">
      <c r="A29">
        <v>8</v>
      </c>
      <c r="B29">
        <f t="shared" si="0"/>
        <v>0.6042311876382719</v>
      </c>
      <c r="D29" s="6">
        <f t="shared" si="1"/>
        <v>0</v>
      </c>
      <c r="E29" s="1">
        <f t="shared" si="2"/>
        <v>869</v>
      </c>
      <c r="F29" s="12">
        <f t="shared" si="3"/>
        <v>10.444221724720386</v>
      </c>
      <c r="G29" s="5">
        <f t="shared" si="4"/>
        <v>9076.028678782015</v>
      </c>
      <c r="H29" s="26">
        <f t="shared" si="5"/>
        <v>5484.019587619473</v>
      </c>
    </row>
    <row r="30" spans="1:8" ht="15">
      <c r="A30">
        <v>9</v>
      </c>
      <c r="B30">
        <f t="shared" si="0"/>
        <v>0.5673532278293633</v>
      </c>
      <c r="D30" s="6">
        <f t="shared" si="1"/>
        <v>0</v>
      </c>
      <c r="E30" s="1">
        <f t="shared" si="2"/>
        <v>869</v>
      </c>
      <c r="F30" s="12">
        <f t="shared" si="3"/>
        <v>10.673994602664234</v>
      </c>
      <c r="G30" s="5">
        <f t="shared" si="4"/>
        <v>9275.70130971522</v>
      </c>
      <c r="H30" s="26">
        <f t="shared" si="5"/>
        <v>5262.599078447982</v>
      </c>
    </row>
    <row r="31" spans="1:8" ht="15">
      <c r="A31">
        <v>10</v>
      </c>
      <c r="B31">
        <f t="shared" si="0"/>
        <v>0.5327260355205289</v>
      </c>
      <c r="D31" s="6">
        <f t="shared" si="1"/>
        <v>0</v>
      </c>
      <c r="E31" s="1">
        <f t="shared" si="2"/>
        <v>869</v>
      </c>
      <c r="F31" s="12">
        <f t="shared" si="3"/>
        <v>10.908822483922847</v>
      </c>
      <c r="G31" s="5">
        <f t="shared" si="4"/>
        <v>9479.766738528955</v>
      </c>
      <c r="H31" s="26">
        <f t="shared" si="5"/>
        <v>5050.118552275904</v>
      </c>
    </row>
    <row r="32" spans="1:8" ht="15">
      <c r="A32">
        <v>11</v>
      </c>
      <c r="B32">
        <f t="shared" si="0"/>
        <v>0.5002122399253793</v>
      </c>
      <c r="D32" s="6">
        <f t="shared" si="1"/>
        <v>0</v>
      </c>
      <c r="E32" s="1">
        <f t="shared" si="2"/>
        <v>869</v>
      </c>
      <c r="F32" s="12">
        <f t="shared" si="3"/>
        <v>11.14881657856915</v>
      </c>
      <c r="G32" s="5">
        <f t="shared" si="4"/>
        <v>9688.321606776592</v>
      </c>
      <c r="H32" s="26">
        <f t="shared" si="5"/>
        <v>4846.217052043169</v>
      </c>
    </row>
    <row r="33" spans="1:8" ht="15">
      <c r="A33">
        <v>12</v>
      </c>
      <c r="B33">
        <f t="shared" si="0"/>
        <v>0.4696828543900276</v>
      </c>
      <c r="D33" s="6">
        <f t="shared" si="1"/>
        <v>0</v>
      </c>
      <c r="E33" s="1">
        <f t="shared" si="2"/>
        <v>869</v>
      </c>
      <c r="F33" s="12">
        <f t="shared" si="3"/>
        <v>11.394090543297672</v>
      </c>
      <c r="G33" s="5">
        <f t="shared" si="4"/>
        <v>9901.464682125677</v>
      </c>
      <c r="H33" s="26">
        <f t="shared" si="5"/>
        <v>4650.5481945428355</v>
      </c>
    </row>
    <row r="34" spans="1:8" ht="15">
      <c r="A34">
        <v>13</v>
      </c>
      <c r="B34">
        <f t="shared" si="0"/>
        <v>0.4410167646854719</v>
      </c>
      <c r="D34" s="6">
        <f t="shared" si="1"/>
        <v>0</v>
      </c>
      <c r="E34" s="1">
        <f t="shared" si="2"/>
        <v>869</v>
      </c>
      <c r="F34" s="12">
        <f t="shared" si="3"/>
        <v>11.64476053525022</v>
      </c>
      <c r="G34" s="5">
        <f t="shared" si="4"/>
        <v>10119.296905132442</v>
      </c>
      <c r="H34" s="26">
        <f t="shared" si="5"/>
        <v>4462.779581993218</v>
      </c>
    </row>
    <row r="35" spans="1:8" ht="15">
      <c r="A35">
        <v>14</v>
      </c>
      <c r="B35">
        <f t="shared" si="0"/>
        <v>0.41410024853095956</v>
      </c>
      <c r="D35" s="6">
        <f t="shared" si="1"/>
        <v>0</v>
      </c>
      <c r="E35" s="1">
        <f t="shared" si="2"/>
        <v>869</v>
      </c>
      <c r="F35" s="12">
        <f t="shared" si="3"/>
        <v>11.900945267025726</v>
      </c>
      <c r="G35" s="5">
        <f t="shared" si="4"/>
        <v>10341.921437045356</v>
      </c>
      <c r="H35" s="26">
        <f t="shared" si="5"/>
        <v>4282.592237368141</v>
      </c>
    </row>
    <row r="36" spans="1:8" ht="15">
      <c r="A36">
        <v>15</v>
      </c>
      <c r="B36">
        <f t="shared" si="0"/>
        <v>0.38882652444221566</v>
      </c>
      <c r="D36" s="6">
        <f t="shared" si="1"/>
        <v>0</v>
      </c>
      <c r="E36" s="1">
        <f t="shared" si="2"/>
        <v>869</v>
      </c>
      <c r="F36" s="12">
        <f t="shared" si="3"/>
        <v>12.162766062900292</v>
      </c>
      <c r="G36" s="5">
        <f t="shared" si="4"/>
        <v>10569.443708660354</v>
      </c>
      <c r="H36" s="26">
        <f t="shared" si="5"/>
        <v>4109.680062526048</v>
      </c>
    </row>
    <row r="37" spans="1:8" ht="15">
      <c r="A37">
        <v>16</v>
      </c>
      <c r="B37">
        <f t="shared" si="0"/>
        <v>0.3650953281147565</v>
      </c>
      <c r="D37" s="6">
        <f t="shared" si="1"/>
        <v>0</v>
      </c>
      <c r="E37" s="1">
        <f t="shared" si="2"/>
        <v>869</v>
      </c>
      <c r="F37" s="12">
        <f t="shared" si="3"/>
        <v>12.4303469162841</v>
      </c>
      <c r="G37" s="5">
        <f t="shared" si="4"/>
        <v>10801.971470250883</v>
      </c>
      <c r="H37" s="26">
        <f t="shared" si="5"/>
        <v>3943.7493182174844</v>
      </c>
    </row>
    <row r="38" spans="1:8" ht="15">
      <c r="A38">
        <v>17</v>
      </c>
      <c r="B38">
        <f t="shared" si="0"/>
        <v>0.34281251466174323</v>
      </c>
      <c r="D38" s="6">
        <f t="shared" si="1"/>
        <v>0</v>
      </c>
      <c r="E38" s="1">
        <f t="shared" si="2"/>
        <v>869</v>
      </c>
      <c r="F38" s="12">
        <f t="shared" si="3"/>
        <v>12.70381454844235</v>
      </c>
      <c r="G38" s="5">
        <f t="shared" si="4"/>
        <v>11039.614842596402</v>
      </c>
      <c r="H38" s="26">
        <f t="shared" si="5"/>
        <v>3784.518125087577</v>
      </c>
    </row>
    <row r="39" spans="1:8" ht="15">
      <c r="A39">
        <v>18</v>
      </c>
      <c r="B39">
        <f t="shared" si="0"/>
        <v>0.3218896851283974</v>
      </c>
      <c r="D39" s="6">
        <f t="shared" si="1"/>
        <v>0</v>
      </c>
      <c r="E39" s="1">
        <f t="shared" si="2"/>
        <v>869</v>
      </c>
      <c r="F39" s="12">
        <f t="shared" si="3"/>
        <v>12.983298468508082</v>
      </c>
      <c r="G39" s="5">
        <f t="shared" si="4"/>
        <v>11282.486369133523</v>
      </c>
      <c r="H39" s="26">
        <f t="shared" si="5"/>
        <v>3631.715984825825</v>
      </c>
    </row>
    <row r="40" spans="1:8" ht="15">
      <c r="A40">
        <v>19</v>
      </c>
      <c r="B40">
        <f t="shared" si="0"/>
        <v>0.30224383580131214</v>
      </c>
      <c r="D40" s="6">
        <f t="shared" si="1"/>
        <v>0</v>
      </c>
      <c r="E40" s="1">
        <f t="shared" si="2"/>
        <v>869</v>
      </c>
      <c r="F40" s="12">
        <f t="shared" si="3"/>
        <v>13.26893103481526</v>
      </c>
      <c r="G40" s="5">
        <f t="shared" si="4"/>
        <v>11530.70106925446</v>
      </c>
      <c r="H40" s="26">
        <f t="shared" si="5"/>
        <v>3485.0833206497596</v>
      </c>
    </row>
    <row r="41" spans="1:8" ht="15">
      <c r="A41">
        <v>20</v>
      </c>
      <c r="B41">
        <f t="shared" si="0"/>
        <v>0.2837970289214199</v>
      </c>
      <c r="D41" s="6">
        <f t="shared" si="1"/>
        <v>0</v>
      </c>
      <c r="E41" s="1">
        <f t="shared" si="2"/>
        <v>869</v>
      </c>
      <c r="F41" s="12">
        <f t="shared" si="3"/>
        <v>13.560847517581196</v>
      </c>
      <c r="G41" s="5">
        <f t="shared" si="4"/>
        <v>11784.37649277806</v>
      </c>
      <c r="H41" s="26">
        <f t="shared" si="5"/>
        <v>3344.3710363418354</v>
      </c>
    </row>
    <row r="43" spans="4:8" ht="15">
      <c r="D43" s="6">
        <f>SUM(D21:D42)</f>
        <v>75900</v>
      </c>
      <c r="G43" s="6">
        <f>SUM(G21:G42)</f>
        <v>193182.10343723517</v>
      </c>
      <c r="H43" s="6">
        <f>SUM(H21:H42)</f>
        <v>101759.98374089896</v>
      </c>
    </row>
    <row r="46" spans="3:4" ht="15">
      <c r="C46" s="11"/>
      <c r="D46" s="10"/>
    </row>
    <row r="47" spans="3:4" ht="15">
      <c r="C47" s="11"/>
      <c r="D47" s="4"/>
    </row>
    <row r="58" spans="1:2" ht="15.75">
      <c r="A58" s="3" t="s">
        <v>7</v>
      </c>
      <c r="B58" s="3"/>
    </row>
    <row r="59" spans="1:2" ht="15.75">
      <c r="A59" s="3" t="s">
        <v>4</v>
      </c>
      <c r="B59" s="3"/>
    </row>
    <row r="60" ht="15">
      <c r="A60" t="s">
        <v>44</v>
      </c>
    </row>
    <row r="62" ht="15">
      <c r="A62" t="s">
        <v>20</v>
      </c>
    </row>
    <row r="64" spans="1:6" ht="15">
      <c r="A64" t="s">
        <v>15</v>
      </c>
      <c r="D64" s="21">
        <v>308000</v>
      </c>
      <c r="F64" s="6"/>
    </row>
    <row r="65" spans="1:6" ht="15">
      <c r="A65" t="s">
        <v>16</v>
      </c>
      <c r="D65" s="22">
        <f>D64/2800</f>
        <v>110</v>
      </c>
      <c r="F65" s="6"/>
    </row>
    <row r="66" spans="1:6" ht="15">
      <c r="A66" t="s">
        <v>17</v>
      </c>
      <c r="D66" s="21">
        <f>D64/D65</f>
        <v>2800</v>
      </c>
      <c r="F66" s="6"/>
    </row>
    <row r="67" spans="1:6" ht="15">
      <c r="A67" t="s">
        <v>21</v>
      </c>
      <c r="D67" s="21">
        <v>690</v>
      </c>
      <c r="F67" s="6"/>
    </row>
    <row r="68" spans="1:4" ht="15">
      <c r="A68" t="s">
        <v>18</v>
      </c>
      <c r="D68" s="21">
        <f>D65*D67</f>
        <v>75900</v>
      </c>
    </row>
    <row r="69" spans="1:4" ht="15">
      <c r="A69" t="s">
        <v>6</v>
      </c>
      <c r="D69" s="23">
        <v>0.065</v>
      </c>
    </row>
    <row r="70" spans="1:4" ht="15">
      <c r="A70" t="s">
        <v>19</v>
      </c>
      <c r="D70" s="28">
        <f>D13</f>
        <v>869</v>
      </c>
    </row>
    <row r="71" ht="15">
      <c r="D71" s="7"/>
    </row>
    <row r="72" ht="15">
      <c r="D72" s="8"/>
    </row>
    <row r="73" ht="15">
      <c r="D73" s="8"/>
    </row>
    <row r="74" ht="15">
      <c r="D74" s="8"/>
    </row>
    <row r="75" ht="15">
      <c r="K75" s="9" t="s">
        <v>14</v>
      </c>
    </row>
    <row r="76" spans="2:11" ht="15">
      <c r="B76" s="9"/>
      <c r="C76" s="9" t="s">
        <v>2</v>
      </c>
      <c r="D76" s="9"/>
      <c r="E76" s="9" t="s">
        <v>26</v>
      </c>
      <c r="F76" s="9"/>
      <c r="I76" s="9" t="s">
        <v>14</v>
      </c>
      <c r="J76" s="9" t="s">
        <v>28</v>
      </c>
      <c r="K76" s="9" t="s">
        <v>28</v>
      </c>
    </row>
    <row r="77" spans="2:11" ht="15">
      <c r="B77" s="9"/>
      <c r="C77" s="9" t="s">
        <v>11</v>
      </c>
      <c r="D77" s="9" t="s">
        <v>13</v>
      </c>
      <c r="E77" s="9" t="s">
        <v>13</v>
      </c>
      <c r="F77" s="9" t="s">
        <v>14</v>
      </c>
      <c r="G77" s="9" t="s">
        <v>50</v>
      </c>
      <c r="H77" s="9"/>
      <c r="I77" s="9" t="s">
        <v>50</v>
      </c>
      <c r="J77" s="9" t="s">
        <v>29</v>
      </c>
      <c r="K77" s="9" t="s">
        <v>29</v>
      </c>
    </row>
    <row r="78" spans="2:11" ht="15">
      <c r="B78" s="9" t="s">
        <v>5</v>
      </c>
      <c r="C78" s="9" t="s">
        <v>1</v>
      </c>
      <c r="D78" s="9" t="s">
        <v>30</v>
      </c>
      <c r="E78" s="9" t="s">
        <v>30</v>
      </c>
      <c r="F78" s="9" t="s">
        <v>27</v>
      </c>
      <c r="G78" s="9" t="s">
        <v>11</v>
      </c>
      <c r="H78" s="9" t="s">
        <v>49</v>
      </c>
      <c r="I78" s="9" t="s">
        <v>49</v>
      </c>
      <c r="J78" s="9" t="s">
        <v>10</v>
      </c>
      <c r="K78" s="9" t="s">
        <v>10</v>
      </c>
    </row>
    <row r="80" spans="1:11" ht="15">
      <c r="A80">
        <v>0</v>
      </c>
      <c r="B80">
        <f>1/(1+$D$12)^A80</f>
        <v>1</v>
      </c>
      <c r="F80" s="6"/>
      <c r="J80" s="6">
        <f>D64</f>
        <v>308000</v>
      </c>
      <c r="K80" s="6">
        <f aca="true" t="shared" si="6" ref="K80:K100">B80*J80</f>
        <v>308000</v>
      </c>
    </row>
    <row r="81" spans="1:11" ht="15">
      <c r="A81">
        <v>1</v>
      </c>
      <c r="B81">
        <f aca="true" t="shared" si="7" ref="B81:B100">1/(1+$D$12)^A81</f>
        <v>0.9389671361502347</v>
      </c>
      <c r="C81" s="1">
        <f>$D$13</f>
        <v>869</v>
      </c>
      <c r="D81" s="12">
        <f>1.6247+3.7773</f>
        <v>5.402</v>
      </c>
      <c r="E81" s="13">
        <f>C81*D81</f>
        <v>4694.338</v>
      </c>
      <c r="F81" s="6">
        <f>B81*E81</f>
        <v>4407.829107981221</v>
      </c>
      <c r="G81" s="18">
        <f>ROUND($D$67*0.02,2)*A81*40*D81</f>
        <v>2981.904</v>
      </c>
      <c r="H81" s="1">
        <f aca="true" t="shared" si="8" ref="H81:H100">L144-D144</f>
        <v>3.5665000000000004</v>
      </c>
      <c r="I81" s="1">
        <f>B81*G81*H81</f>
        <v>9985.878512676058</v>
      </c>
      <c r="J81" s="6"/>
      <c r="K81" s="6">
        <f t="shared" si="6"/>
        <v>0</v>
      </c>
    </row>
    <row r="82" spans="1:11" ht="15">
      <c r="A82">
        <v>2</v>
      </c>
      <c r="B82">
        <f t="shared" si="7"/>
        <v>0.8816592827701736</v>
      </c>
      <c r="C82" s="1">
        <f aca="true" t="shared" si="9" ref="C82:C100">$D$13</f>
        <v>869</v>
      </c>
      <c r="D82" s="12">
        <f aca="true" t="shared" si="10" ref="D82:D100">D81*1.022</f>
        <v>5.520844</v>
      </c>
      <c r="E82" s="13">
        <f aca="true" t="shared" si="11" ref="E82:E100">C82*D82</f>
        <v>4797.613436000001</v>
      </c>
      <c r="F82" s="6">
        <f aca="true" t="shared" si="12" ref="F82:F100">B82*E82</f>
        <v>4229.860420992309</v>
      </c>
      <c r="G82" s="18">
        <f aca="true" t="shared" si="13" ref="G82:G100">ROUND($D$67*0.02,2)*A82*40*D82</f>
        <v>6095.011776</v>
      </c>
      <c r="H82" s="1">
        <f t="shared" si="8"/>
        <v>3.6449630000000006</v>
      </c>
      <c r="I82" s="1">
        <f aca="true" t="shared" si="14" ref="I82:I100">B82*G82*H82</f>
        <v>19587.024098467497</v>
      </c>
      <c r="J82" s="6"/>
      <c r="K82" s="6">
        <f t="shared" si="6"/>
        <v>0</v>
      </c>
    </row>
    <row r="83" spans="1:11" ht="15">
      <c r="A83">
        <v>3</v>
      </c>
      <c r="B83">
        <f t="shared" si="7"/>
        <v>0.8278490918029799</v>
      </c>
      <c r="C83" s="1">
        <f t="shared" si="9"/>
        <v>869</v>
      </c>
      <c r="D83" s="12">
        <f t="shared" si="10"/>
        <v>5.642302568000001</v>
      </c>
      <c r="E83" s="13">
        <f t="shared" si="11"/>
        <v>4903.160931592</v>
      </c>
      <c r="F83" s="6">
        <f t="shared" si="12"/>
        <v>4059.077324182291</v>
      </c>
      <c r="G83" s="18">
        <f t="shared" si="13"/>
        <v>9343.653052608002</v>
      </c>
      <c r="H83" s="1">
        <f t="shared" si="8"/>
        <v>3.725152186</v>
      </c>
      <c r="I83" s="1">
        <f t="shared" si="14"/>
        <v>28814.55391332919</v>
      </c>
      <c r="J83" s="6"/>
      <c r="K83" s="6">
        <f t="shared" si="6"/>
        <v>0</v>
      </c>
    </row>
    <row r="84" spans="1:11" ht="15">
      <c r="A84">
        <v>4</v>
      </c>
      <c r="B84">
        <f t="shared" si="7"/>
        <v>0.777323090894817</v>
      </c>
      <c r="C84" s="1">
        <f t="shared" si="9"/>
        <v>869</v>
      </c>
      <c r="D84" s="12">
        <f t="shared" si="10"/>
        <v>5.766433224496001</v>
      </c>
      <c r="E84" s="13">
        <f t="shared" si="11"/>
        <v>5011.0304720870245</v>
      </c>
      <c r="F84" s="6">
        <f t="shared" si="12"/>
        <v>3895.1896951308</v>
      </c>
      <c r="G84" s="18">
        <f t="shared" si="13"/>
        <v>12732.284559687168</v>
      </c>
      <c r="H84" s="1">
        <f t="shared" si="8"/>
        <v>3.807105534092</v>
      </c>
      <c r="I84" s="1">
        <f t="shared" si="14"/>
        <v>37679.29956758651</v>
      </c>
      <c r="J84" s="6"/>
      <c r="K84" s="6">
        <f t="shared" si="6"/>
        <v>0</v>
      </c>
    </row>
    <row r="85" spans="1:11" ht="15">
      <c r="A85">
        <v>5</v>
      </c>
      <c r="B85">
        <f t="shared" si="7"/>
        <v>0.7298808365209549</v>
      </c>
      <c r="C85" s="1">
        <f t="shared" si="9"/>
        <v>869</v>
      </c>
      <c r="D85" s="12">
        <f t="shared" si="10"/>
        <v>5.893294755434913</v>
      </c>
      <c r="E85" s="13">
        <f t="shared" si="11"/>
        <v>5121.273142472939</v>
      </c>
      <c r="F85" s="6">
        <f t="shared" si="12"/>
        <v>3737.9191252804485</v>
      </c>
      <c r="G85" s="18">
        <f t="shared" si="13"/>
        <v>16265.49352500036</v>
      </c>
      <c r="H85" s="1">
        <f t="shared" si="8"/>
        <v>3.890861855842023</v>
      </c>
      <c r="I85" s="1">
        <f t="shared" si="14"/>
        <v>46191.81400182046</v>
      </c>
      <c r="J85" s="6"/>
      <c r="K85" s="6">
        <f t="shared" si="6"/>
        <v>0</v>
      </c>
    </row>
    <row r="86" spans="1:11" ht="15">
      <c r="A86">
        <v>6</v>
      </c>
      <c r="B86">
        <f t="shared" si="7"/>
        <v>0.6853341187990187</v>
      </c>
      <c r="C86" s="1">
        <f t="shared" si="9"/>
        <v>869</v>
      </c>
      <c r="D86" s="12">
        <f t="shared" si="10"/>
        <v>6.0229472400544815</v>
      </c>
      <c r="E86" s="13">
        <f t="shared" si="11"/>
        <v>5233.941151607344</v>
      </c>
      <c r="F86" s="6">
        <f t="shared" si="12"/>
        <v>3586.9984469827405</v>
      </c>
      <c r="G86" s="18">
        <f t="shared" si="13"/>
        <v>19948.001259060446</v>
      </c>
      <c r="H86" s="1">
        <f t="shared" si="8"/>
        <v>3.9764608166705475</v>
      </c>
      <c r="I86" s="1">
        <f t="shared" si="14"/>
        <v>54362.37820380557</v>
      </c>
      <c r="J86" s="6"/>
      <c r="K86" s="6">
        <f t="shared" si="6"/>
        <v>0</v>
      </c>
    </row>
    <row r="87" spans="1:11" ht="15">
      <c r="A87">
        <v>7</v>
      </c>
      <c r="B87">
        <f t="shared" si="7"/>
        <v>0.6435062148347594</v>
      </c>
      <c r="C87" s="1">
        <f t="shared" si="9"/>
        <v>869</v>
      </c>
      <c r="D87" s="12">
        <f t="shared" si="10"/>
        <v>6.15545207933568</v>
      </c>
      <c r="E87" s="13">
        <f t="shared" si="11"/>
        <v>5349.087856942706</v>
      </c>
      <c r="F87" s="6">
        <f t="shared" si="12"/>
        <v>3442.171279639776</v>
      </c>
      <c r="G87" s="18">
        <f t="shared" si="13"/>
        <v>23784.66683455307</v>
      </c>
      <c r="H87" s="1">
        <f t="shared" si="8"/>
        <v>4.0639429546373</v>
      </c>
      <c r="I87" s="1">
        <f t="shared" si="14"/>
        <v>62201.00777007288</v>
      </c>
      <c r="J87" s="6"/>
      <c r="K87" s="6">
        <f t="shared" si="6"/>
        <v>0</v>
      </c>
    </row>
    <row r="88" spans="1:11" ht="15">
      <c r="A88">
        <v>8</v>
      </c>
      <c r="B88">
        <f t="shared" si="7"/>
        <v>0.6042311876382719</v>
      </c>
      <c r="C88" s="1">
        <f t="shared" si="9"/>
        <v>869</v>
      </c>
      <c r="D88" s="12">
        <f t="shared" si="10"/>
        <v>6.290872025081065</v>
      </c>
      <c r="E88" s="13">
        <f t="shared" si="11"/>
        <v>5466.767789795445</v>
      </c>
      <c r="F88" s="6">
        <f t="shared" si="12"/>
        <v>3303.1915941707525</v>
      </c>
      <c r="G88" s="18">
        <f t="shared" si="13"/>
        <v>27780.490862757983</v>
      </c>
      <c r="H88" s="1">
        <f t="shared" si="8"/>
        <v>4.153349699639321</v>
      </c>
      <c r="I88" s="1">
        <f t="shared" si="14"/>
        <v>69717.45931559148</v>
      </c>
      <c r="J88" s="6"/>
      <c r="K88" s="6">
        <f t="shared" si="6"/>
        <v>0</v>
      </c>
    </row>
    <row r="89" spans="1:11" ht="15">
      <c r="A89">
        <v>9</v>
      </c>
      <c r="B89">
        <f t="shared" si="7"/>
        <v>0.5673532278293633</v>
      </c>
      <c r="C89" s="1">
        <f t="shared" si="9"/>
        <v>869</v>
      </c>
      <c r="D89" s="12">
        <f t="shared" si="10"/>
        <v>6.429271209632848</v>
      </c>
      <c r="E89" s="13">
        <f t="shared" si="11"/>
        <v>5587.036681170945</v>
      </c>
      <c r="F89" s="6">
        <f t="shared" si="12"/>
        <v>3169.8232950633883</v>
      </c>
      <c r="G89" s="18">
        <f t="shared" si="13"/>
        <v>31940.619369455988</v>
      </c>
      <c r="H89" s="1">
        <f t="shared" si="8"/>
        <v>4.244723393031386</v>
      </c>
      <c r="I89" s="1">
        <f t="shared" si="14"/>
        <v>76921.23673498546</v>
      </c>
      <c r="J89" s="6"/>
      <c r="K89" s="6">
        <f t="shared" si="6"/>
        <v>0</v>
      </c>
    </row>
    <row r="90" spans="1:11" ht="15">
      <c r="A90">
        <v>10</v>
      </c>
      <c r="B90">
        <f t="shared" si="7"/>
        <v>0.5327260355205289</v>
      </c>
      <c r="C90" s="1">
        <f t="shared" si="9"/>
        <v>869</v>
      </c>
      <c r="D90" s="12">
        <f t="shared" si="10"/>
        <v>6.570715176244771</v>
      </c>
      <c r="E90" s="13">
        <f t="shared" si="11"/>
        <v>5709.951488156706</v>
      </c>
      <c r="F90" s="6">
        <f t="shared" si="12"/>
        <v>3041.839819300266</v>
      </c>
      <c r="G90" s="18">
        <f t="shared" si="13"/>
        <v>36270.34777287114</v>
      </c>
      <c r="H90" s="1">
        <f t="shared" si="8"/>
        <v>4.338107307678077</v>
      </c>
      <c r="I90" s="1">
        <f t="shared" si="14"/>
        <v>83821.59731862762</v>
      </c>
      <c r="J90" s="6"/>
      <c r="K90" s="6">
        <f t="shared" si="6"/>
        <v>0</v>
      </c>
    </row>
    <row r="91" spans="1:11" ht="15">
      <c r="A91">
        <v>11</v>
      </c>
      <c r="B91">
        <f t="shared" si="7"/>
        <v>0.5002122399253793</v>
      </c>
      <c r="C91" s="1">
        <f t="shared" si="9"/>
        <v>869</v>
      </c>
      <c r="D91" s="12">
        <f t="shared" si="10"/>
        <v>6.715270910122156</v>
      </c>
      <c r="E91" s="13">
        <f t="shared" si="11"/>
        <v>5835.570420896153</v>
      </c>
      <c r="F91" s="6">
        <f t="shared" si="12"/>
        <v>2919.0237514787536</v>
      </c>
      <c r="G91" s="18">
        <f t="shared" si="13"/>
        <v>40775.12496626173</v>
      </c>
      <c r="H91" s="1">
        <f t="shared" si="8"/>
        <v>4.433545668446994</v>
      </c>
      <c r="I91" s="1">
        <f t="shared" si="14"/>
        <v>90427.55772687736</v>
      </c>
      <c r="J91" s="6"/>
      <c r="K91" s="6">
        <f t="shared" si="6"/>
        <v>0</v>
      </c>
    </row>
    <row r="92" spans="1:11" ht="15">
      <c r="A92">
        <v>12</v>
      </c>
      <c r="B92">
        <f t="shared" si="7"/>
        <v>0.4696828543900276</v>
      </c>
      <c r="C92" s="1">
        <f t="shared" si="9"/>
        <v>869</v>
      </c>
      <c r="D92" s="12">
        <f t="shared" si="10"/>
        <v>6.863006870144844</v>
      </c>
      <c r="E92" s="13">
        <f t="shared" si="11"/>
        <v>5963.9529701558695</v>
      </c>
      <c r="F92" s="6">
        <f t="shared" si="12"/>
        <v>2801.166454470692</v>
      </c>
      <c r="G92" s="18">
        <f t="shared" si="13"/>
        <v>45460.557507839454</v>
      </c>
      <c r="H92" s="1">
        <f t="shared" si="8"/>
        <v>4.531083673152828</v>
      </c>
      <c r="I92" s="1">
        <f t="shared" si="14"/>
        <v>96747.89982565923</v>
      </c>
      <c r="J92" s="6"/>
      <c r="K92" s="6">
        <f t="shared" si="6"/>
        <v>0</v>
      </c>
    </row>
    <row r="93" spans="1:11" ht="15">
      <c r="A93">
        <v>13</v>
      </c>
      <c r="B93">
        <f t="shared" si="7"/>
        <v>0.4410167646854719</v>
      </c>
      <c r="C93" s="1">
        <f t="shared" si="9"/>
        <v>869</v>
      </c>
      <c r="D93" s="12">
        <f t="shared" si="10"/>
        <v>7.01399302128803</v>
      </c>
      <c r="E93" s="13">
        <f t="shared" si="11"/>
        <v>6095.159935499299</v>
      </c>
      <c r="F93" s="6">
        <f t="shared" si="12"/>
        <v>2688.0677149944104</v>
      </c>
      <c r="G93" s="18">
        <f t="shared" si="13"/>
        <v>50332.413920762905</v>
      </c>
      <c r="H93" s="1">
        <f t="shared" si="8"/>
        <v>4.630767513962191</v>
      </c>
      <c r="I93" s="1">
        <f t="shared" si="14"/>
        <v>102791.17638650625</v>
      </c>
      <c r="J93" s="6"/>
      <c r="K93" s="6">
        <f t="shared" si="6"/>
        <v>0</v>
      </c>
    </row>
    <row r="94" spans="1:11" ht="15">
      <c r="A94">
        <v>14</v>
      </c>
      <c r="B94">
        <f t="shared" si="7"/>
        <v>0.41410024853095956</v>
      </c>
      <c r="C94" s="1">
        <f t="shared" si="9"/>
        <v>869</v>
      </c>
      <c r="D94" s="12">
        <f t="shared" si="10"/>
        <v>7.168300867756367</v>
      </c>
      <c r="E94" s="13">
        <f t="shared" si="11"/>
        <v>6229.253454080283</v>
      </c>
      <c r="F94" s="6">
        <f t="shared" si="12"/>
        <v>2579.5354034969832</v>
      </c>
      <c r="G94" s="18">
        <f t="shared" si="13"/>
        <v>55396.62910602121</v>
      </c>
      <c r="H94" s="1">
        <f t="shared" si="8"/>
        <v>4.732644399269359</v>
      </c>
      <c r="I94" s="1">
        <f t="shared" si="14"/>
        <v>108565.71665412575</v>
      </c>
      <c r="J94" s="6"/>
      <c r="K94" s="6">
        <f t="shared" si="6"/>
        <v>0</v>
      </c>
    </row>
    <row r="95" spans="1:11" ht="15">
      <c r="A95">
        <v>15</v>
      </c>
      <c r="B95">
        <f t="shared" si="7"/>
        <v>0.38882652444221566</v>
      </c>
      <c r="C95" s="1">
        <f t="shared" si="9"/>
        <v>869</v>
      </c>
      <c r="D95" s="12">
        <f t="shared" si="10"/>
        <v>7.326003486847007</v>
      </c>
      <c r="E95" s="13">
        <f t="shared" si="11"/>
        <v>6366.297030070049</v>
      </c>
      <c r="F95" s="6">
        <f t="shared" si="12"/>
        <v>2475.385147768937</v>
      </c>
      <c r="G95" s="18">
        <f t="shared" si="13"/>
        <v>60659.30887109322</v>
      </c>
      <c r="H95" s="1">
        <f t="shared" si="8"/>
        <v>4.836762576053285</v>
      </c>
      <c r="I95" s="1">
        <f t="shared" si="14"/>
        <v>114079.63178447474</v>
      </c>
      <c r="J95" s="6"/>
      <c r="K95" s="6">
        <f t="shared" si="6"/>
        <v>0</v>
      </c>
    </row>
    <row r="96" spans="1:11" ht="15">
      <c r="A96">
        <v>16</v>
      </c>
      <c r="B96">
        <f t="shared" si="7"/>
        <v>0.3650953281147565</v>
      </c>
      <c r="C96" s="1">
        <f t="shared" si="9"/>
        <v>869</v>
      </c>
      <c r="D96" s="12">
        <f t="shared" si="10"/>
        <v>7.487175563557641</v>
      </c>
      <c r="E96" s="13">
        <f t="shared" si="11"/>
        <v>6506.35556473159</v>
      </c>
      <c r="F96" s="6">
        <f t="shared" si="12"/>
        <v>2375.4400197369514</v>
      </c>
      <c r="G96" s="18">
        <f t="shared" si="13"/>
        <v>66126.73457734109</v>
      </c>
      <c r="H96" s="1">
        <f t="shared" si="8"/>
        <v>4.943171352726458</v>
      </c>
      <c r="I96" s="1">
        <f t="shared" si="14"/>
        <v>119340.82015626949</v>
      </c>
      <c r="J96" s="6"/>
      <c r="K96" s="6">
        <f t="shared" si="6"/>
        <v>0</v>
      </c>
    </row>
    <row r="97" spans="1:11" ht="15">
      <c r="A97">
        <v>17</v>
      </c>
      <c r="B97">
        <f t="shared" si="7"/>
        <v>0.34281251466174323</v>
      </c>
      <c r="C97" s="1">
        <f t="shared" si="9"/>
        <v>869</v>
      </c>
      <c r="D97" s="12">
        <f t="shared" si="10"/>
        <v>7.651893425955909</v>
      </c>
      <c r="E97" s="13">
        <f t="shared" si="11"/>
        <v>6649.4953871556845</v>
      </c>
      <c r="F97" s="6">
        <f t="shared" si="12"/>
        <v>2279.530234902502</v>
      </c>
      <c r="G97" s="18">
        <f t="shared" si="13"/>
        <v>71805.36790917025</v>
      </c>
      <c r="H97" s="1">
        <f t="shared" si="8"/>
        <v>5.0519211224864415</v>
      </c>
      <c r="I97" s="1">
        <f t="shared" si="14"/>
        <v>124356.97255878623</v>
      </c>
      <c r="J97" s="6"/>
      <c r="K97" s="6">
        <f t="shared" si="6"/>
        <v>0</v>
      </c>
    </row>
    <row r="98" spans="1:11" ht="15">
      <c r="A98">
        <v>18</v>
      </c>
      <c r="B98">
        <f t="shared" si="7"/>
        <v>0.3218896851283974</v>
      </c>
      <c r="C98" s="1">
        <f t="shared" si="9"/>
        <v>869</v>
      </c>
      <c r="D98" s="12">
        <f t="shared" si="10"/>
        <v>7.820235081326939</v>
      </c>
      <c r="E98" s="13">
        <f t="shared" si="11"/>
        <v>6795.78428567311</v>
      </c>
      <c r="F98" s="6">
        <f t="shared" si="12"/>
        <v>2187.4928639158284</v>
      </c>
      <c r="G98" s="18">
        <f t="shared" si="13"/>
        <v>77701.85576806447</v>
      </c>
      <c r="H98" s="1">
        <f t="shared" si="8"/>
        <v>5.163063387181142</v>
      </c>
      <c r="I98" s="1">
        <f t="shared" si="14"/>
        <v>129135.57725874857</v>
      </c>
      <c r="J98" s="6"/>
      <c r="K98" s="6">
        <f t="shared" si="6"/>
        <v>0</v>
      </c>
    </row>
    <row r="99" spans="1:11" ht="15">
      <c r="A99">
        <v>19</v>
      </c>
      <c r="B99">
        <f t="shared" si="7"/>
        <v>0.30224383580131214</v>
      </c>
      <c r="C99" s="1">
        <f t="shared" si="9"/>
        <v>869</v>
      </c>
      <c r="D99" s="12">
        <f t="shared" si="10"/>
        <v>7.992280253116132</v>
      </c>
      <c r="E99" s="13">
        <f t="shared" si="11"/>
        <v>6945.291539957919</v>
      </c>
      <c r="F99" s="6">
        <f t="shared" si="12"/>
        <v>2099.1715557952834</v>
      </c>
      <c r="G99" s="18">
        <f t="shared" si="13"/>
        <v>83823.03529468199</v>
      </c>
      <c r="H99" s="1">
        <f t="shared" si="8"/>
        <v>5.276650781699129</v>
      </c>
      <c r="I99" s="1">
        <f t="shared" si="14"/>
        <v>133683.9249490354</v>
      </c>
      <c r="J99" s="6"/>
      <c r="K99" s="6">
        <f t="shared" si="6"/>
        <v>0</v>
      </c>
    </row>
    <row r="100" spans="1:11" ht="15">
      <c r="A100">
        <v>20</v>
      </c>
      <c r="B100">
        <f t="shared" si="7"/>
        <v>0.2837970289214199</v>
      </c>
      <c r="C100" s="1">
        <f t="shared" si="9"/>
        <v>869</v>
      </c>
      <c r="D100" s="12">
        <f t="shared" si="10"/>
        <v>8.168110418684687</v>
      </c>
      <c r="E100" s="13">
        <f t="shared" si="11"/>
        <v>7098.087953836994</v>
      </c>
      <c r="F100" s="6">
        <f t="shared" si="12"/>
        <v>2014.4162723218594</v>
      </c>
      <c r="G100" s="18">
        <f t="shared" si="13"/>
        <v>90175.93902227895</v>
      </c>
      <c r="H100" s="1">
        <f t="shared" si="8"/>
        <v>5.392737098896509</v>
      </c>
      <c r="I100" s="1">
        <f t="shared" si="14"/>
        <v>138009.11358188122</v>
      </c>
      <c r="J100" s="6"/>
      <c r="K100" s="6">
        <f t="shared" si="6"/>
        <v>0</v>
      </c>
    </row>
    <row r="102" spans="6:11" ht="15">
      <c r="F102" s="1">
        <f>SUM(F81:F101)</f>
        <v>61293.1295276062</v>
      </c>
      <c r="I102" s="1">
        <f>SUM(I80:I101)</f>
        <v>1646420.6403193267</v>
      </c>
      <c r="J102" s="6">
        <f>SUM(J101:J101)</f>
        <v>0</v>
      </c>
      <c r="K102" s="1">
        <f>SUM(K80:K101)</f>
        <v>308000</v>
      </c>
    </row>
    <row r="105" spans="3:4" ht="15">
      <c r="C105" s="11"/>
      <c r="D105" s="15"/>
    </row>
    <row r="106" spans="3:4" ht="15">
      <c r="C106" s="11"/>
      <c r="D106" s="12"/>
    </row>
    <row r="121" spans="1:2" ht="15.75">
      <c r="A121" s="3" t="s">
        <v>7</v>
      </c>
      <c r="B121" s="3"/>
    </row>
    <row r="122" spans="1:2" ht="15.75">
      <c r="A122" s="3" t="s">
        <v>4</v>
      </c>
      <c r="B122" s="3"/>
    </row>
    <row r="123" ht="15">
      <c r="A123" t="s">
        <v>23</v>
      </c>
    </row>
    <row r="125" ht="15">
      <c r="A125" t="s">
        <v>20</v>
      </c>
    </row>
    <row r="127" spans="1:6" ht="15">
      <c r="A127" t="s">
        <v>15</v>
      </c>
      <c r="D127" s="21">
        <v>308000</v>
      </c>
      <c r="F127" s="6"/>
    </row>
    <row r="128" spans="1:6" ht="15">
      <c r="A128" t="s">
        <v>16</v>
      </c>
      <c r="D128" s="22">
        <f>D127/2800</f>
        <v>110</v>
      </c>
      <c r="F128" s="6"/>
    </row>
    <row r="129" spans="1:6" ht="15">
      <c r="A129" t="s">
        <v>17</v>
      </c>
      <c r="D129" s="21">
        <f>D127/D128</f>
        <v>2800</v>
      </c>
      <c r="F129" s="6"/>
    </row>
    <row r="130" spans="1:6" ht="15">
      <c r="A130" t="s">
        <v>21</v>
      </c>
      <c r="D130" s="21">
        <v>200</v>
      </c>
      <c r="F130" s="6"/>
    </row>
    <row r="131" spans="1:4" ht="15">
      <c r="A131" t="s">
        <v>18</v>
      </c>
      <c r="D131" s="21">
        <f>D128*D130</f>
        <v>22000</v>
      </c>
    </row>
    <row r="132" spans="1:4" ht="15">
      <c r="A132" t="s">
        <v>6</v>
      </c>
      <c r="D132" s="23">
        <v>0.065</v>
      </c>
    </row>
    <row r="133" spans="1:4" ht="15">
      <c r="A133" t="s">
        <v>19</v>
      </c>
      <c r="D133" s="28">
        <f>D13</f>
        <v>869</v>
      </c>
    </row>
    <row r="134" ht="15">
      <c r="D134" s="7"/>
    </row>
    <row r="135" ht="15">
      <c r="D135" s="8"/>
    </row>
    <row r="136" ht="15">
      <c r="D136" s="8"/>
    </row>
    <row r="137" ht="15">
      <c r="D137" s="8"/>
    </row>
    <row r="138" spans="11:12" ht="15">
      <c r="K138" s="9" t="s">
        <v>14</v>
      </c>
      <c r="L138" s="9"/>
    </row>
    <row r="139" spans="2:13" ht="15">
      <c r="B139" s="9"/>
      <c r="C139" s="9" t="s">
        <v>2</v>
      </c>
      <c r="D139" s="9"/>
      <c r="E139" s="9" t="s">
        <v>26</v>
      </c>
      <c r="F139" s="9"/>
      <c r="I139" s="9" t="s">
        <v>14</v>
      </c>
      <c r="J139" s="9" t="s">
        <v>28</v>
      </c>
      <c r="K139" s="9" t="s">
        <v>28</v>
      </c>
      <c r="L139" s="9"/>
      <c r="M139" s="9"/>
    </row>
    <row r="140" spans="2:13" ht="15">
      <c r="B140" s="9"/>
      <c r="C140" s="9" t="s">
        <v>11</v>
      </c>
      <c r="D140" s="9" t="s">
        <v>13</v>
      </c>
      <c r="E140" s="9" t="s">
        <v>13</v>
      </c>
      <c r="F140" s="9" t="s">
        <v>14</v>
      </c>
      <c r="G140" s="9" t="s">
        <v>50</v>
      </c>
      <c r="H140" s="9"/>
      <c r="I140" s="9" t="s">
        <v>50</v>
      </c>
      <c r="J140" s="9" t="s">
        <v>29</v>
      </c>
      <c r="K140" s="9" t="s">
        <v>29</v>
      </c>
      <c r="L140" s="9" t="s">
        <v>31</v>
      </c>
      <c r="M140" s="9"/>
    </row>
    <row r="141" spans="2:13" ht="15">
      <c r="B141" s="9" t="s">
        <v>5</v>
      </c>
      <c r="C141" s="9" t="s">
        <v>1</v>
      </c>
      <c r="D141" s="9" t="s">
        <v>30</v>
      </c>
      <c r="E141" s="9" t="s">
        <v>30</v>
      </c>
      <c r="F141" s="9" t="s">
        <v>27</v>
      </c>
      <c r="G141" s="9" t="s">
        <v>11</v>
      </c>
      <c r="H141" s="9" t="s">
        <v>49</v>
      </c>
      <c r="I141" s="9" t="s">
        <v>49</v>
      </c>
      <c r="J141" s="9" t="s">
        <v>10</v>
      </c>
      <c r="K141" s="9" t="s">
        <v>10</v>
      </c>
      <c r="L141" s="9" t="s">
        <v>32</v>
      </c>
      <c r="M141" s="9" t="s">
        <v>25</v>
      </c>
    </row>
    <row r="143" spans="1:11" ht="15">
      <c r="A143">
        <v>0</v>
      </c>
      <c r="B143">
        <f>1/(1+$D$12)^A143</f>
        <v>1</v>
      </c>
      <c r="F143" s="6"/>
      <c r="J143" s="6">
        <f>D127</f>
        <v>308000</v>
      </c>
      <c r="K143" s="6">
        <f aca="true" t="shared" si="15" ref="K143:K163">B143*J143</f>
        <v>308000</v>
      </c>
    </row>
    <row r="144" spans="1:14" ht="15">
      <c r="A144">
        <v>1</v>
      </c>
      <c r="B144">
        <f aca="true" t="shared" si="16" ref="B144:B163">1/(1+$D$12)^A144</f>
        <v>0.9389671361502347</v>
      </c>
      <c r="C144" s="1">
        <f>$D$13</f>
        <v>869</v>
      </c>
      <c r="D144" s="12">
        <f>1.6247+3.7773</f>
        <v>5.402</v>
      </c>
      <c r="E144" s="13">
        <f>C144*D144</f>
        <v>4694.338</v>
      </c>
      <c r="F144" s="6">
        <f>B144*E144</f>
        <v>4407.829107981221</v>
      </c>
      <c r="G144" s="18">
        <f>ROUND($D$67*0.02,2)*A144*40*D144</f>
        <v>2981.904</v>
      </c>
      <c r="H144" s="1">
        <f>H81</f>
        <v>3.5665000000000004</v>
      </c>
      <c r="I144" s="1">
        <f>B144*G144*H144</f>
        <v>9985.878512676058</v>
      </c>
      <c r="J144" s="6"/>
      <c r="K144" s="6">
        <f t="shared" si="15"/>
        <v>0</v>
      </c>
      <c r="L144" s="12">
        <v>8.9685</v>
      </c>
      <c r="M144" s="5">
        <f aca="true" t="shared" si="17" ref="M144:M163">C144*L144</f>
        <v>7793.6265</v>
      </c>
      <c r="N144" s="1">
        <f>M144*B144</f>
        <v>7317.959154929577</v>
      </c>
    </row>
    <row r="145" spans="1:14" ht="15">
      <c r="A145">
        <v>2</v>
      </c>
      <c r="B145">
        <f t="shared" si="16"/>
        <v>0.8816592827701736</v>
      </c>
      <c r="C145" s="1">
        <f aca="true" t="shared" si="18" ref="C145:C163">$D$13</f>
        <v>869</v>
      </c>
      <c r="D145" s="12">
        <f aca="true" t="shared" si="19" ref="D145:D163">D144*1.022</f>
        <v>5.520844</v>
      </c>
      <c r="E145" s="13">
        <f aca="true" t="shared" si="20" ref="E145:E163">C145*D145</f>
        <v>4797.613436000001</v>
      </c>
      <c r="F145" s="6">
        <f aca="true" t="shared" si="21" ref="F145:F163">B145*E145</f>
        <v>4229.860420992309</v>
      </c>
      <c r="G145" s="18">
        <f aca="true" t="shared" si="22" ref="G145:G163">ROUND($D$67*0.02,2)*A145*40*D145</f>
        <v>6095.011776</v>
      </c>
      <c r="H145" s="1">
        <f aca="true" t="shared" si="23" ref="H145:H163">H82</f>
        <v>3.6449630000000006</v>
      </c>
      <c r="I145" s="1">
        <f aca="true" t="shared" si="24" ref="I145:I163">B145*G145*H145</f>
        <v>19587.024098467497</v>
      </c>
      <c r="J145" s="6"/>
      <c r="K145" s="6">
        <f t="shared" si="15"/>
        <v>0</v>
      </c>
      <c r="L145" s="12">
        <f aca="true" t="shared" si="25" ref="L145:L163">L144*1.022</f>
        <v>9.165807000000001</v>
      </c>
      <c r="M145" s="5">
        <f t="shared" si="17"/>
        <v>7965.086283000001</v>
      </c>
      <c r="N145" s="1">
        <f aca="true" t="shared" si="26" ref="N145:N163">M145*B145</f>
        <v>7022.492259472328</v>
      </c>
    </row>
    <row r="146" spans="1:14" ht="15">
      <c r="A146">
        <v>3</v>
      </c>
      <c r="B146">
        <f t="shared" si="16"/>
        <v>0.8278490918029799</v>
      </c>
      <c r="C146" s="1">
        <f t="shared" si="18"/>
        <v>869</v>
      </c>
      <c r="D146" s="12">
        <f t="shared" si="19"/>
        <v>5.642302568000001</v>
      </c>
      <c r="E146" s="13">
        <f t="shared" si="20"/>
        <v>4903.160931592</v>
      </c>
      <c r="F146" s="6">
        <f t="shared" si="21"/>
        <v>4059.077324182291</v>
      </c>
      <c r="G146" s="18">
        <f t="shared" si="22"/>
        <v>9343.653052608002</v>
      </c>
      <c r="H146" s="1">
        <f t="shared" si="23"/>
        <v>3.725152186</v>
      </c>
      <c r="I146" s="1">
        <f t="shared" si="24"/>
        <v>28814.55391332919</v>
      </c>
      <c r="J146" s="6"/>
      <c r="K146" s="6">
        <f t="shared" si="15"/>
        <v>0</v>
      </c>
      <c r="L146" s="12">
        <f t="shared" si="25"/>
        <v>9.367454754</v>
      </c>
      <c r="M146" s="5">
        <f t="shared" si="17"/>
        <v>8140.318181226001</v>
      </c>
      <c r="N146" s="1">
        <f t="shared" si="26"/>
        <v>6738.955013315231</v>
      </c>
    </row>
    <row r="147" spans="1:14" ht="15">
      <c r="A147">
        <v>4</v>
      </c>
      <c r="B147">
        <f t="shared" si="16"/>
        <v>0.777323090894817</v>
      </c>
      <c r="C147" s="1">
        <f t="shared" si="18"/>
        <v>869</v>
      </c>
      <c r="D147" s="12">
        <f t="shared" si="19"/>
        <v>5.766433224496001</v>
      </c>
      <c r="E147" s="13">
        <f t="shared" si="20"/>
        <v>5011.0304720870245</v>
      </c>
      <c r="F147" s="6">
        <f t="shared" si="21"/>
        <v>3895.1896951308</v>
      </c>
      <c r="G147" s="18">
        <f t="shared" si="22"/>
        <v>12732.284559687168</v>
      </c>
      <c r="H147" s="1">
        <f t="shared" si="23"/>
        <v>3.807105534092</v>
      </c>
      <c r="I147" s="1">
        <f t="shared" si="24"/>
        <v>37679.29956758651</v>
      </c>
      <c r="J147" s="6"/>
      <c r="K147" s="6">
        <f t="shared" si="15"/>
        <v>0</v>
      </c>
      <c r="L147" s="12">
        <f t="shared" si="25"/>
        <v>9.573538758588</v>
      </c>
      <c r="M147" s="5">
        <f t="shared" si="17"/>
        <v>8319.405181212973</v>
      </c>
      <c r="N147" s="1">
        <f t="shared" si="26"/>
        <v>6466.8657498668235</v>
      </c>
    </row>
    <row r="148" spans="1:14" ht="15">
      <c r="A148">
        <v>5</v>
      </c>
      <c r="B148">
        <f t="shared" si="16"/>
        <v>0.7298808365209549</v>
      </c>
      <c r="C148" s="1">
        <f t="shared" si="18"/>
        <v>869</v>
      </c>
      <c r="D148" s="12">
        <f t="shared" si="19"/>
        <v>5.893294755434913</v>
      </c>
      <c r="E148" s="13">
        <f t="shared" si="20"/>
        <v>5121.273142472939</v>
      </c>
      <c r="F148" s="6">
        <f t="shared" si="21"/>
        <v>3737.9191252804485</v>
      </c>
      <c r="G148" s="18">
        <f t="shared" si="22"/>
        <v>16265.49352500036</v>
      </c>
      <c r="H148" s="1">
        <f t="shared" si="23"/>
        <v>3.890861855842023</v>
      </c>
      <c r="I148" s="1">
        <f t="shared" si="24"/>
        <v>46191.81400182046</v>
      </c>
      <c r="J148" s="6"/>
      <c r="K148" s="6">
        <f t="shared" si="15"/>
        <v>0</v>
      </c>
      <c r="L148" s="12">
        <f t="shared" si="25"/>
        <v>9.784156611276936</v>
      </c>
      <c r="M148" s="5">
        <f t="shared" si="17"/>
        <v>8502.432095199658</v>
      </c>
      <c r="N148" s="1">
        <f t="shared" si="26"/>
        <v>6205.762250106942</v>
      </c>
    </row>
    <row r="149" spans="1:14" ht="15">
      <c r="A149">
        <v>6</v>
      </c>
      <c r="B149">
        <f t="shared" si="16"/>
        <v>0.6853341187990187</v>
      </c>
      <c r="C149" s="1">
        <f t="shared" si="18"/>
        <v>869</v>
      </c>
      <c r="D149" s="12">
        <f t="shared" si="19"/>
        <v>6.0229472400544815</v>
      </c>
      <c r="E149" s="13">
        <f t="shared" si="20"/>
        <v>5233.941151607344</v>
      </c>
      <c r="F149" s="6">
        <f t="shared" si="21"/>
        <v>3586.9984469827405</v>
      </c>
      <c r="G149" s="18">
        <f t="shared" si="22"/>
        <v>19948.001259060446</v>
      </c>
      <c r="H149" s="1">
        <f t="shared" si="23"/>
        <v>3.9764608166705475</v>
      </c>
      <c r="I149" s="1">
        <f t="shared" si="24"/>
        <v>54362.37820380557</v>
      </c>
      <c r="J149" s="6"/>
      <c r="K149" s="6">
        <f t="shared" si="15"/>
        <v>0</v>
      </c>
      <c r="L149" s="12">
        <f t="shared" si="25"/>
        <v>9.999408056725029</v>
      </c>
      <c r="M149" s="5">
        <f t="shared" si="17"/>
        <v>8689.48560129405</v>
      </c>
      <c r="N149" s="1">
        <f t="shared" si="26"/>
        <v>5955.2009573796195</v>
      </c>
    </row>
    <row r="150" spans="1:14" ht="15">
      <c r="A150">
        <v>7</v>
      </c>
      <c r="B150">
        <f t="shared" si="16"/>
        <v>0.6435062148347594</v>
      </c>
      <c r="C150" s="1">
        <f t="shared" si="18"/>
        <v>869</v>
      </c>
      <c r="D150" s="12">
        <f t="shared" si="19"/>
        <v>6.15545207933568</v>
      </c>
      <c r="E150" s="13">
        <f t="shared" si="20"/>
        <v>5349.087856942706</v>
      </c>
      <c r="F150" s="6">
        <f t="shared" si="21"/>
        <v>3442.171279639776</v>
      </c>
      <c r="G150" s="18">
        <f t="shared" si="22"/>
        <v>23784.66683455307</v>
      </c>
      <c r="H150" s="1">
        <f t="shared" si="23"/>
        <v>4.0639429546373</v>
      </c>
      <c r="I150" s="1">
        <f t="shared" si="24"/>
        <v>62201.00777007288</v>
      </c>
      <c r="J150" s="6"/>
      <c r="K150" s="6">
        <f t="shared" si="15"/>
        <v>0</v>
      </c>
      <c r="L150" s="12">
        <f t="shared" si="25"/>
        <v>10.21939503397298</v>
      </c>
      <c r="M150" s="5">
        <f t="shared" si="17"/>
        <v>8880.65428452252</v>
      </c>
      <c r="N150" s="1">
        <f t="shared" si="26"/>
        <v>5714.756223889175</v>
      </c>
    </row>
    <row r="151" spans="1:14" ht="15">
      <c r="A151">
        <v>8</v>
      </c>
      <c r="B151">
        <f t="shared" si="16"/>
        <v>0.6042311876382719</v>
      </c>
      <c r="C151" s="1">
        <f t="shared" si="18"/>
        <v>869</v>
      </c>
      <c r="D151" s="12">
        <f t="shared" si="19"/>
        <v>6.290872025081065</v>
      </c>
      <c r="E151" s="13">
        <f t="shared" si="20"/>
        <v>5466.767789795445</v>
      </c>
      <c r="F151" s="6">
        <f t="shared" si="21"/>
        <v>3303.1915941707525</v>
      </c>
      <c r="G151" s="18">
        <f t="shared" si="22"/>
        <v>27780.490862757983</v>
      </c>
      <c r="H151" s="1">
        <f t="shared" si="23"/>
        <v>4.153349699639321</v>
      </c>
      <c r="I151" s="1">
        <f t="shared" si="24"/>
        <v>69717.45931559148</v>
      </c>
      <c r="J151" s="6"/>
      <c r="K151" s="6">
        <f t="shared" si="15"/>
        <v>0</v>
      </c>
      <c r="L151" s="12">
        <f t="shared" si="25"/>
        <v>10.444221724720386</v>
      </c>
      <c r="M151" s="5">
        <f t="shared" si="17"/>
        <v>9076.028678782015</v>
      </c>
      <c r="N151" s="1">
        <f t="shared" si="26"/>
        <v>5484.019587619473</v>
      </c>
    </row>
    <row r="152" spans="1:14" ht="15">
      <c r="A152">
        <v>9</v>
      </c>
      <c r="B152">
        <f t="shared" si="16"/>
        <v>0.5673532278293633</v>
      </c>
      <c r="C152" s="1">
        <f t="shared" si="18"/>
        <v>869</v>
      </c>
      <c r="D152" s="12">
        <f t="shared" si="19"/>
        <v>6.429271209632848</v>
      </c>
      <c r="E152" s="13">
        <f t="shared" si="20"/>
        <v>5587.036681170945</v>
      </c>
      <c r="F152" s="6">
        <f t="shared" si="21"/>
        <v>3169.8232950633883</v>
      </c>
      <c r="G152" s="18">
        <f t="shared" si="22"/>
        <v>31940.619369455988</v>
      </c>
      <c r="H152" s="1">
        <f t="shared" si="23"/>
        <v>4.244723393031386</v>
      </c>
      <c r="I152" s="1">
        <f t="shared" si="24"/>
        <v>76921.23673498546</v>
      </c>
      <c r="J152" s="6"/>
      <c r="K152" s="6">
        <f t="shared" si="15"/>
        <v>0</v>
      </c>
      <c r="L152" s="12">
        <f t="shared" si="25"/>
        <v>10.673994602664234</v>
      </c>
      <c r="M152" s="5">
        <f t="shared" si="17"/>
        <v>9275.70130971522</v>
      </c>
      <c r="N152" s="1">
        <f t="shared" si="26"/>
        <v>5262.599078447982</v>
      </c>
    </row>
    <row r="153" spans="1:14" ht="15">
      <c r="A153">
        <v>10</v>
      </c>
      <c r="B153">
        <f t="shared" si="16"/>
        <v>0.5327260355205289</v>
      </c>
      <c r="C153" s="1">
        <f t="shared" si="18"/>
        <v>869</v>
      </c>
      <c r="D153" s="12">
        <f t="shared" si="19"/>
        <v>6.570715176244771</v>
      </c>
      <c r="E153" s="13">
        <f t="shared" si="20"/>
        <v>5709.951488156706</v>
      </c>
      <c r="F153" s="6">
        <f t="shared" si="21"/>
        <v>3041.839819300266</v>
      </c>
      <c r="G153" s="18">
        <f t="shared" si="22"/>
        <v>36270.34777287114</v>
      </c>
      <c r="H153" s="1">
        <f t="shared" si="23"/>
        <v>4.338107307678077</v>
      </c>
      <c r="I153" s="1">
        <f t="shared" si="24"/>
        <v>83821.59731862762</v>
      </c>
      <c r="J153" s="6"/>
      <c r="K153" s="6">
        <f t="shared" si="15"/>
        <v>0</v>
      </c>
      <c r="L153" s="12">
        <f t="shared" si="25"/>
        <v>10.908822483922847</v>
      </c>
      <c r="M153" s="5">
        <f t="shared" si="17"/>
        <v>9479.766738528955</v>
      </c>
      <c r="N153" s="1">
        <f t="shared" si="26"/>
        <v>5050.118552275904</v>
      </c>
    </row>
    <row r="154" spans="1:14" ht="15">
      <c r="A154">
        <v>11</v>
      </c>
      <c r="B154">
        <f t="shared" si="16"/>
        <v>0.5002122399253793</v>
      </c>
      <c r="C154" s="1">
        <f t="shared" si="18"/>
        <v>869</v>
      </c>
      <c r="D154" s="12">
        <f t="shared" si="19"/>
        <v>6.715270910122156</v>
      </c>
      <c r="E154" s="13">
        <f t="shared" si="20"/>
        <v>5835.570420896153</v>
      </c>
      <c r="F154" s="6">
        <f t="shared" si="21"/>
        <v>2919.0237514787536</v>
      </c>
      <c r="G154" s="18">
        <f t="shared" si="22"/>
        <v>40775.12496626173</v>
      </c>
      <c r="H154" s="1">
        <f t="shared" si="23"/>
        <v>4.433545668446994</v>
      </c>
      <c r="I154" s="1">
        <f t="shared" si="24"/>
        <v>90427.55772687736</v>
      </c>
      <c r="J154" s="6"/>
      <c r="K154" s="6">
        <f t="shared" si="15"/>
        <v>0</v>
      </c>
      <c r="L154" s="12">
        <f t="shared" si="25"/>
        <v>11.14881657856915</v>
      </c>
      <c r="M154" s="5">
        <f t="shared" si="17"/>
        <v>9688.321606776592</v>
      </c>
      <c r="N154" s="1">
        <f t="shared" si="26"/>
        <v>4846.217052043169</v>
      </c>
    </row>
    <row r="155" spans="1:14" ht="15">
      <c r="A155">
        <v>12</v>
      </c>
      <c r="B155">
        <f t="shared" si="16"/>
        <v>0.4696828543900276</v>
      </c>
      <c r="C155" s="1">
        <f t="shared" si="18"/>
        <v>869</v>
      </c>
      <c r="D155" s="12">
        <f t="shared" si="19"/>
        <v>6.863006870144844</v>
      </c>
      <c r="E155" s="13">
        <f t="shared" si="20"/>
        <v>5963.9529701558695</v>
      </c>
      <c r="F155" s="6">
        <f t="shared" si="21"/>
        <v>2801.166454470692</v>
      </c>
      <c r="G155" s="18">
        <f t="shared" si="22"/>
        <v>45460.557507839454</v>
      </c>
      <c r="H155" s="1">
        <f t="shared" si="23"/>
        <v>4.531083673152828</v>
      </c>
      <c r="I155" s="1">
        <f t="shared" si="24"/>
        <v>96747.89982565923</v>
      </c>
      <c r="J155" s="6"/>
      <c r="K155" s="6">
        <f t="shared" si="15"/>
        <v>0</v>
      </c>
      <c r="L155" s="12">
        <f t="shared" si="25"/>
        <v>11.394090543297672</v>
      </c>
      <c r="M155" s="5">
        <f t="shared" si="17"/>
        <v>9901.464682125677</v>
      </c>
      <c r="N155" s="1">
        <f t="shared" si="26"/>
        <v>4650.5481945428355</v>
      </c>
    </row>
    <row r="156" spans="1:14" ht="15">
      <c r="A156">
        <v>13</v>
      </c>
      <c r="B156">
        <f t="shared" si="16"/>
        <v>0.4410167646854719</v>
      </c>
      <c r="C156" s="1">
        <f t="shared" si="18"/>
        <v>869</v>
      </c>
      <c r="D156" s="12">
        <f t="shared" si="19"/>
        <v>7.01399302128803</v>
      </c>
      <c r="E156" s="13">
        <f t="shared" si="20"/>
        <v>6095.159935499299</v>
      </c>
      <c r="F156" s="6">
        <f t="shared" si="21"/>
        <v>2688.0677149944104</v>
      </c>
      <c r="G156" s="18">
        <f t="shared" si="22"/>
        <v>50332.413920762905</v>
      </c>
      <c r="H156" s="1">
        <f t="shared" si="23"/>
        <v>4.630767513962191</v>
      </c>
      <c r="I156" s="1">
        <f t="shared" si="24"/>
        <v>102791.17638650625</v>
      </c>
      <c r="J156" s="6"/>
      <c r="K156" s="6">
        <f t="shared" si="15"/>
        <v>0</v>
      </c>
      <c r="L156" s="12">
        <f t="shared" si="25"/>
        <v>11.64476053525022</v>
      </c>
      <c r="M156" s="5">
        <f t="shared" si="17"/>
        <v>10119.296905132442</v>
      </c>
      <c r="N156" s="1">
        <f t="shared" si="26"/>
        <v>4462.779581993218</v>
      </c>
    </row>
    <row r="157" spans="1:14" ht="15">
      <c r="A157">
        <v>14</v>
      </c>
      <c r="B157">
        <f t="shared" si="16"/>
        <v>0.41410024853095956</v>
      </c>
      <c r="C157" s="1">
        <f t="shared" si="18"/>
        <v>869</v>
      </c>
      <c r="D157" s="12">
        <f t="shared" si="19"/>
        <v>7.168300867756367</v>
      </c>
      <c r="E157" s="13">
        <f t="shared" si="20"/>
        <v>6229.253454080283</v>
      </c>
      <c r="F157" s="6">
        <f t="shared" si="21"/>
        <v>2579.5354034969832</v>
      </c>
      <c r="G157" s="18">
        <f t="shared" si="22"/>
        <v>55396.62910602121</v>
      </c>
      <c r="H157" s="1">
        <f t="shared" si="23"/>
        <v>4.732644399269359</v>
      </c>
      <c r="I157" s="1">
        <f t="shared" si="24"/>
        <v>108565.71665412575</v>
      </c>
      <c r="J157" s="6"/>
      <c r="K157" s="6">
        <f t="shared" si="15"/>
        <v>0</v>
      </c>
      <c r="L157" s="12">
        <f t="shared" si="25"/>
        <v>11.900945267025726</v>
      </c>
      <c r="M157" s="5">
        <f t="shared" si="17"/>
        <v>10341.921437045356</v>
      </c>
      <c r="N157" s="1">
        <f t="shared" si="26"/>
        <v>4282.592237368141</v>
      </c>
    </row>
    <row r="158" spans="1:14" ht="15">
      <c r="A158">
        <v>15</v>
      </c>
      <c r="B158">
        <f t="shared" si="16"/>
        <v>0.38882652444221566</v>
      </c>
      <c r="C158" s="1">
        <f t="shared" si="18"/>
        <v>869</v>
      </c>
      <c r="D158" s="12">
        <f t="shared" si="19"/>
        <v>7.326003486847007</v>
      </c>
      <c r="E158" s="13">
        <f t="shared" si="20"/>
        <v>6366.297030070049</v>
      </c>
      <c r="F158" s="6">
        <f t="shared" si="21"/>
        <v>2475.385147768937</v>
      </c>
      <c r="G158" s="18">
        <f t="shared" si="22"/>
        <v>60659.30887109322</v>
      </c>
      <c r="H158" s="1">
        <f t="shared" si="23"/>
        <v>4.836762576053285</v>
      </c>
      <c r="I158" s="1">
        <f t="shared" si="24"/>
        <v>114079.63178447474</v>
      </c>
      <c r="J158" s="6"/>
      <c r="K158" s="6">
        <f t="shared" si="15"/>
        <v>0</v>
      </c>
      <c r="L158" s="12">
        <f t="shared" si="25"/>
        <v>12.162766062900292</v>
      </c>
      <c r="M158" s="5">
        <f t="shared" si="17"/>
        <v>10569.443708660354</v>
      </c>
      <c r="N158" s="1">
        <f t="shared" si="26"/>
        <v>4109.680062526048</v>
      </c>
    </row>
    <row r="159" spans="1:14" ht="15">
      <c r="A159">
        <v>16</v>
      </c>
      <c r="B159">
        <f t="shared" si="16"/>
        <v>0.3650953281147565</v>
      </c>
      <c r="C159" s="1">
        <f t="shared" si="18"/>
        <v>869</v>
      </c>
      <c r="D159" s="12">
        <f t="shared" si="19"/>
        <v>7.487175563557641</v>
      </c>
      <c r="E159" s="13">
        <f t="shared" si="20"/>
        <v>6506.35556473159</v>
      </c>
      <c r="F159" s="6">
        <f t="shared" si="21"/>
        <v>2375.4400197369514</v>
      </c>
      <c r="G159" s="18">
        <f t="shared" si="22"/>
        <v>66126.73457734109</v>
      </c>
      <c r="H159" s="1">
        <f t="shared" si="23"/>
        <v>4.943171352726458</v>
      </c>
      <c r="I159" s="1">
        <f t="shared" si="24"/>
        <v>119340.82015626949</v>
      </c>
      <c r="J159" s="6"/>
      <c r="K159" s="6">
        <f t="shared" si="15"/>
        <v>0</v>
      </c>
      <c r="L159" s="12">
        <f t="shared" si="25"/>
        <v>12.4303469162841</v>
      </c>
      <c r="M159" s="5">
        <f t="shared" si="17"/>
        <v>10801.971470250883</v>
      </c>
      <c r="N159" s="1">
        <f t="shared" si="26"/>
        <v>3943.7493182174844</v>
      </c>
    </row>
    <row r="160" spans="1:14" ht="15">
      <c r="A160">
        <v>17</v>
      </c>
      <c r="B160">
        <f t="shared" si="16"/>
        <v>0.34281251466174323</v>
      </c>
      <c r="C160" s="1">
        <f t="shared" si="18"/>
        <v>869</v>
      </c>
      <c r="D160" s="12">
        <f t="shared" si="19"/>
        <v>7.651893425955909</v>
      </c>
      <c r="E160" s="13">
        <f t="shared" si="20"/>
        <v>6649.4953871556845</v>
      </c>
      <c r="F160" s="6">
        <f t="shared" si="21"/>
        <v>2279.530234902502</v>
      </c>
      <c r="G160" s="18">
        <f t="shared" si="22"/>
        <v>71805.36790917025</v>
      </c>
      <c r="H160" s="1">
        <f t="shared" si="23"/>
        <v>5.0519211224864415</v>
      </c>
      <c r="I160" s="1">
        <f t="shared" si="24"/>
        <v>124356.97255878623</v>
      </c>
      <c r="J160" s="6"/>
      <c r="K160" s="6">
        <f t="shared" si="15"/>
        <v>0</v>
      </c>
      <c r="L160" s="12">
        <f t="shared" si="25"/>
        <v>12.70381454844235</v>
      </c>
      <c r="M160" s="5">
        <f t="shared" si="17"/>
        <v>11039.614842596402</v>
      </c>
      <c r="N160" s="1">
        <f t="shared" si="26"/>
        <v>3784.518125087577</v>
      </c>
    </row>
    <row r="161" spans="1:14" ht="15">
      <c r="A161">
        <v>18</v>
      </c>
      <c r="B161">
        <f t="shared" si="16"/>
        <v>0.3218896851283974</v>
      </c>
      <c r="C161" s="1">
        <f t="shared" si="18"/>
        <v>869</v>
      </c>
      <c r="D161" s="12">
        <f t="shared" si="19"/>
        <v>7.820235081326939</v>
      </c>
      <c r="E161" s="13">
        <f t="shared" si="20"/>
        <v>6795.78428567311</v>
      </c>
      <c r="F161" s="6">
        <f t="shared" si="21"/>
        <v>2187.4928639158284</v>
      </c>
      <c r="G161" s="18">
        <f t="shared" si="22"/>
        <v>77701.85576806447</v>
      </c>
      <c r="H161" s="1">
        <f t="shared" si="23"/>
        <v>5.163063387181142</v>
      </c>
      <c r="I161" s="1">
        <f t="shared" si="24"/>
        <v>129135.57725874857</v>
      </c>
      <c r="J161" s="6"/>
      <c r="K161" s="6">
        <f t="shared" si="15"/>
        <v>0</v>
      </c>
      <c r="L161" s="12">
        <f t="shared" si="25"/>
        <v>12.983298468508082</v>
      </c>
      <c r="M161" s="5">
        <f t="shared" si="17"/>
        <v>11282.486369133523</v>
      </c>
      <c r="N161" s="1">
        <f t="shared" si="26"/>
        <v>3631.715984825825</v>
      </c>
    </row>
    <row r="162" spans="1:14" ht="15">
      <c r="A162">
        <v>19</v>
      </c>
      <c r="B162">
        <f t="shared" si="16"/>
        <v>0.30224383580131214</v>
      </c>
      <c r="C162" s="1">
        <f t="shared" si="18"/>
        <v>869</v>
      </c>
      <c r="D162" s="12">
        <f t="shared" si="19"/>
        <v>7.992280253116132</v>
      </c>
      <c r="E162" s="13">
        <f t="shared" si="20"/>
        <v>6945.291539957919</v>
      </c>
      <c r="F162" s="6">
        <f t="shared" si="21"/>
        <v>2099.1715557952834</v>
      </c>
      <c r="G162" s="18">
        <f t="shared" si="22"/>
        <v>83823.03529468199</v>
      </c>
      <c r="H162" s="1">
        <f t="shared" si="23"/>
        <v>5.276650781699129</v>
      </c>
      <c r="I162" s="1">
        <f t="shared" si="24"/>
        <v>133683.9249490354</v>
      </c>
      <c r="J162" s="6"/>
      <c r="K162" s="6">
        <f t="shared" si="15"/>
        <v>0</v>
      </c>
      <c r="L162" s="12">
        <f t="shared" si="25"/>
        <v>13.26893103481526</v>
      </c>
      <c r="M162" s="5">
        <f t="shared" si="17"/>
        <v>11530.70106925446</v>
      </c>
      <c r="N162" s="1">
        <f t="shared" si="26"/>
        <v>3485.0833206497596</v>
      </c>
    </row>
    <row r="163" spans="1:14" ht="15">
      <c r="A163">
        <v>20</v>
      </c>
      <c r="B163">
        <f t="shared" si="16"/>
        <v>0.2837970289214199</v>
      </c>
      <c r="C163" s="1">
        <f t="shared" si="18"/>
        <v>869</v>
      </c>
      <c r="D163" s="12">
        <f t="shared" si="19"/>
        <v>8.168110418684687</v>
      </c>
      <c r="E163" s="13">
        <f t="shared" si="20"/>
        <v>7098.087953836994</v>
      </c>
      <c r="F163" s="6">
        <f t="shared" si="21"/>
        <v>2014.4162723218594</v>
      </c>
      <c r="G163" s="18">
        <f t="shared" si="22"/>
        <v>90175.93902227895</v>
      </c>
      <c r="H163" s="1">
        <f t="shared" si="23"/>
        <v>5.392737098896509</v>
      </c>
      <c r="I163" s="1">
        <f t="shared" si="24"/>
        <v>138009.11358188122</v>
      </c>
      <c r="J163" s="6"/>
      <c r="K163" s="6">
        <f t="shared" si="15"/>
        <v>0</v>
      </c>
      <c r="L163" s="12">
        <f t="shared" si="25"/>
        <v>13.560847517581196</v>
      </c>
      <c r="M163" s="5">
        <f t="shared" si="17"/>
        <v>11784.37649277806</v>
      </c>
      <c r="N163" s="1">
        <f t="shared" si="26"/>
        <v>3344.3710363418354</v>
      </c>
    </row>
    <row r="165" spans="6:14" ht="15">
      <c r="F165" s="1">
        <f>SUM(F144:F164)</f>
        <v>61293.1295276062</v>
      </c>
      <c r="I165" s="1">
        <f>SUM(I143:I164)</f>
        <v>1646420.6403193267</v>
      </c>
      <c r="J165" s="6">
        <f>SUM(J164:J164)</f>
        <v>0</v>
      </c>
      <c r="K165" s="1">
        <f>SUM(K143:K164)</f>
        <v>308000</v>
      </c>
      <c r="N165" s="1">
        <f>SUM(N143:N164)</f>
        <v>101759.98374089896</v>
      </c>
    </row>
    <row r="168" spans="3:4" ht="15">
      <c r="C168" s="11"/>
      <c r="D168" s="15"/>
    </row>
    <row r="169" spans="3:4" ht="15">
      <c r="C169" s="11"/>
      <c r="D169" s="12"/>
    </row>
    <row r="182" spans="1:2" ht="15.75">
      <c r="A182" s="3" t="s">
        <v>7</v>
      </c>
      <c r="B182" s="3"/>
    </row>
    <row r="183" spans="1:2" ht="15.75">
      <c r="A183" s="3" t="s">
        <v>4</v>
      </c>
      <c r="B183" s="3"/>
    </row>
    <row r="184" ht="15">
      <c r="A184" t="s">
        <v>33</v>
      </c>
    </row>
    <row r="186" ht="15">
      <c r="A186" t="s">
        <v>20</v>
      </c>
    </row>
    <row r="188" spans="1:6" ht="15">
      <c r="A188" t="s">
        <v>15</v>
      </c>
      <c r="D188" s="21">
        <v>308000</v>
      </c>
      <c r="F188" s="6"/>
    </row>
    <row r="189" spans="1:6" ht="15">
      <c r="A189" t="s">
        <v>16</v>
      </c>
      <c r="D189" s="22">
        <f>D188/2800</f>
        <v>110</v>
      </c>
      <c r="F189" s="6"/>
    </row>
    <row r="190" spans="1:6" ht="15">
      <c r="A190" t="s">
        <v>17</v>
      </c>
      <c r="D190" s="21">
        <f>D188/D189</f>
        <v>2800</v>
      </c>
      <c r="F190" s="6"/>
    </row>
    <row r="191" spans="1:6" ht="15">
      <c r="A191" t="s">
        <v>21</v>
      </c>
      <c r="D191" s="21">
        <v>200</v>
      </c>
      <c r="F191" s="6"/>
    </row>
    <row r="192" spans="1:4" ht="15">
      <c r="A192" t="s">
        <v>18</v>
      </c>
      <c r="D192" s="21">
        <f>D189*D191</f>
        <v>22000</v>
      </c>
    </row>
    <row r="193" spans="1:4" ht="15">
      <c r="A193" t="s">
        <v>6</v>
      </c>
      <c r="D193" s="23">
        <v>0.065</v>
      </c>
    </row>
    <row r="194" spans="1:4" ht="15">
      <c r="A194" t="s">
        <v>19</v>
      </c>
      <c r="D194" s="28">
        <f>D13</f>
        <v>869</v>
      </c>
    </row>
    <row r="195" ht="15">
      <c r="D195" s="7"/>
    </row>
    <row r="196" ht="15">
      <c r="D196" s="8"/>
    </row>
    <row r="197" ht="15">
      <c r="D197" s="8"/>
    </row>
    <row r="198" ht="15">
      <c r="D198" s="8"/>
    </row>
    <row r="199" spans="9:11" ht="15">
      <c r="I199" s="9"/>
      <c r="K199" s="9" t="s">
        <v>14</v>
      </c>
    </row>
    <row r="200" spans="2:11" ht="15">
      <c r="B200" s="9"/>
      <c r="C200" s="9" t="s">
        <v>2</v>
      </c>
      <c r="D200" s="9"/>
      <c r="E200" s="9" t="s">
        <v>26</v>
      </c>
      <c r="F200" s="9"/>
      <c r="I200" s="9" t="s">
        <v>14</v>
      </c>
      <c r="J200" s="9" t="s">
        <v>28</v>
      </c>
      <c r="K200" s="9" t="s">
        <v>28</v>
      </c>
    </row>
    <row r="201" spans="2:11" ht="15">
      <c r="B201" s="9"/>
      <c r="C201" s="9" t="s">
        <v>11</v>
      </c>
      <c r="D201" s="9" t="s">
        <v>13</v>
      </c>
      <c r="E201" s="9" t="s">
        <v>13</v>
      </c>
      <c r="F201" s="9" t="s">
        <v>14</v>
      </c>
      <c r="G201" s="9" t="s">
        <v>50</v>
      </c>
      <c r="H201" s="9" t="s">
        <v>50</v>
      </c>
      <c r="I201" s="9" t="s">
        <v>50</v>
      </c>
      <c r="J201" s="9" t="s">
        <v>29</v>
      </c>
      <c r="K201" s="9" t="s">
        <v>29</v>
      </c>
    </row>
    <row r="202" spans="2:11" ht="15">
      <c r="B202" s="9" t="s">
        <v>5</v>
      </c>
      <c r="C202" s="9" t="s">
        <v>1</v>
      </c>
      <c r="D202" s="9" t="s">
        <v>30</v>
      </c>
      <c r="E202" s="9" t="s">
        <v>30</v>
      </c>
      <c r="F202" s="9" t="s">
        <v>27</v>
      </c>
      <c r="G202" s="9" t="s">
        <v>11</v>
      </c>
      <c r="H202" s="9" t="s">
        <v>49</v>
      </c>
      <c r="I202" s="9" t="s">
        <v>49</v>
      </c>
      <c r="J202" s="9" t="s">
        <v>10</v>
      </c>
      <c r="K202" s="9" t="s">
        <v>10</v>
      </c>
    </row>
    <row r="204" spans="1:11" ht="15">
      <c r="A204">
        <v>0</v>
      </c>
      <c r="B204">
        <f>1/(1+$D$12)^A204</f>
        <v>1</v>
      </c>
      <c r="F204" s="6"/>
      <c r="J204" s="6">
        <f>D188+D192</f>
        <v>330000</v>
      </c>
      <c r="K204" s="6">
        <f aca="true" t="shared" si="27" ref="K204:K224">B204*J204</f>
        <v>330000</v>
      </c>
    </row>
    <row r="205" spans="1:11" ht="15">
      <c r="A205">
        <v>1</v>
      </c>
      <c r="B205">
        <f aca="true" t="shared" si="28" ref="B205:B224">1/(1+$D$12)^A205</f>
        <v>0.9389671361502347</v>
      </c>
      <c r="C205" s="1">
        <f>$D$13</f>
        <v>869</v>
      </c>
      <c r="D205" s="12">
        <f>1.6247+3.7773</f>
        <v>5.402</v>
      </c>
      <c r="E205" s="13">
        <f>C205*D205</f>
        <v>4694.338</v>
      </c>
      <c r="F205" s="6">
        <f>B205*E205</f>
        <v>4407.829107981221</v>
      </c>
      <c r="G205" s="18">
        <f>ROUND($D$67*0.02,2)*A205*40*D205</f>
        <v>2981.904</v>
      </c>
      <c r="H205" s="1">
        <f>H144</f>
        <v>3.5665000000000004</v>
      </c>
      <c r="I205" s="1">
        <f>B205*G205*H205</f>
        <v>9985.878512676058</v>
      </c>
      <c r="J205" s="6"/>
      <c r="K205" s="6">
        <f t="shared" si="27"/>
        <v>0</v>
      </c>
    </row>
    <row r="206" spans="1:11" ht="15">
      <c r="A206">
        <v>2</v>
      </c>
      <c r="B206">
        <f t="shared" si="28"/>
        <v>0.8816592827701736</v>
      </c>
      <c r="C206" s="1">
        <f aca="true" t="shared" si="29" ref="C206:C224">$D$13</f>
        <v>869</v>
      </c>
      <c r="D206" s="12">
        <f aca="true" t="shared" si="30" ref="D206:D224">D205*1.022</f>
        <v>5.520844</v>
      </c>
      <c r="E206" s="13">
        <f aca="true" t="shared" si="31" ref="E206:E224">C206*D206</f>
        <v>4797.613436000001</v>
      </c>
      <c r="F206" s="6">
        <f aca="true" t="shared" si="32" ref="F206:F224">B206*E206</f>
        <v>4229.860420992309</v>
      </c>
      <c r="G206" s="18">
        <f aca="true" t="shared" si="33" ref="G206:G224">ROUND($D$67*0.02,2)*A206*40*D206</f>
        <v>6095.011776</v>
      </c>
      <c r="H206" s="1">
        <f aca="true" t="shared" si="34" ref="H206:H224">H145</f>
        <v>3.6449630000000006</v>
      </c>
      <c r="I206" s="1">
        <f aca="true" t="shared" si="35" ref="I206:I224">B206*G206*H206</f>
        <v>19587.024098467497</v>
      </c>
      <c r="J206" s="6"/>
      <c r="K206" s="6">
        <f t="shared" si="27"/>
        <v>0</v>
      </c>
    </row>
    <row r="207" spans="1:11" ht="15">
      <c r="A207">
        <v>3</v>
      </c>
      <c r="B207">
        <f t="shared" si="28"/>
        <v>0.8278490918029799</v>
      </c>
      <c r="C207" s="1">
        <f t="shared" si="29"/>
        <v>869</v>
      </c>
      <c r="D207" s="12">
        <f t="shared" si="30"/>
        <v>5.642302568000001</v>
      </c>
      <c r="E207" s="13">
        <f t="shared" si="31"/>
        <v>4903.160931592</v>
      </c>
      <c r="F207" s="6">
        <f t="shared" si="32"/>
        <v>4059.077324182291</v>
      </c>
      <c r="G207" s="18">
        <f t="shared" si="33"/>
        <v>9343.653052608002</v>
      </c>
      <c r="H207" s="1">
        <f t="shared" si="34"/>
        <v>3.725152186</v>
      </c>
      <c r="I207" s="1">
        <f t="shared" si="35"/>
        <v>28814.55391332919</v>
      </c>
      <c r="J207" s="6"/>
      <c r="K207" s="6">
        <f t="shared" si="27"/>
        <v>0</v>
      </c>
    </row>
    <row r="208" spans="1:11" ht="15">
      <c r="A208">
        <v>4</v>
      </c>
      <c r="B208">
        <f t="shared" si="28"/>
        <v>0.777323090894817</v>
      </c>
      <c r="C208" s="1">
        <f t="shared" si="29"/>
        <v>869</v>
      </c>
      <c r="D208" s="12">
        <f t="shared" si="30"/>
        <v>5.766433224496001</v>
      </c>
      <c r="E208" s="13">
        <f t="shared" si="31"/>
        <v>5011.0304720870245</v>
      </c>
      <c r="F208" s="6">
        <f t="shared" si="32"/>
        <v>3895.1896951308</v>
      </c>
      <c r="G208" s="18">
        <f t="shared" si="33"/>
        <v>12732.284559687168</v>
      </c>
      <c r="H208" s="1">
        <f t="shared" si="34"/>
        <v>3.807105534092</v>
      </c>
      <c r="I208" s="1">
        <f t="shared" si="35"/>
        <v>37679.29956758651</v>
      </c>
      <c r="J208" s="6"/>
      <c r="K208" s="6">
        <f t="shared" si="27"/>
        <v>0</v>
      </c>
    </row>
    <row r="209" spans="1:11" ht="15">
      <c r="A209">
        <v>5</v>
      </c>
      <c r="B209">
        <f t="shared" si="28"/>
        <v>0.7298808365209549</v>
      </c>
      <c r="C209" s="1">
        <f t="shared" si="29"/>
        <v>869</v>
      </c>
      <c r="D209" s="12">
        <f t="shared" si="30"/>
        <v>5.893294755434913</v>
      </c>
      <c r="E209" s="13">
        <f t="shared" si="31"/>
        <v>5121.273142472939</v>
      </c>
      <c r="F209" s="6">
        <f t="shared" si="32"/>
        <v>3737.9191252804485</v>
      </c>
      <c r="G209" s="18">
        <f t="shared" si="33"/>
        <v>16265.49352500036</v>
      </c>
      <c r="H209" s="1">
        <f t="shared" si="34"/>
        <v>3.890861855842023</v>
      </c>
      <c r="I209" s="1">
        <f t="shared" si="35"/>
        <v>46191.81400182046</v>
      </c>
      <c r="J209" s="6"/>
      <c r="K209" s="6">
        <f t="shared" si="27"/>
        <v>0</v>
      </c>
    </row>
    <row r="210" spans="1:11" ht="15">
      <c r="A210">
        <v>6</v>
      </c>
      <c r="B210">
        <f t="shared" si="28"/>
        <v>0.6853341187990187</v>
      </c>
      <c r="C210" s="1">
        <f t="shared" si="29"/>
        <v>869</v>
      </c>
      <c r="D210" s="12">
        <f t="shared" si="30"/>
        <v>6.0229472400544815</v>
      </c>
      <c r="E210" s="13">
        <f t="shared" si="31"/>
        <v>5233.941151607344</v>
      </c>
      <c r="F210" s="6">
        <f t="shared" si="32"/>
        <v>3586.9984469827405</v>
      </c>
      <c r="G210" s="18">
        <f t="shared" si="33"/>
        <v>19948.001259060446</v>
      </c>
      <c r="H210" s="1">
        <f t="shared" si="34"/>
        <v>3.9764608166705475</v>
      </c>
      <c r="I210" s="1">
        <f t="shared" si="35"/>
        <v>54362.37820380557</v>
      </c>
      <c r="J210" s="6"/>
      <c r="K210" s="6">
        <f t="shared" si="27"/>
        <v>0</v>
      </c>
    </row>
    <row r="211" spans="1:11" ht="15">
      <c r="A211">
        <v>7</v>
      </c>
      <c r="B211">
        <f t="shared" si="28"/>
        <v>0.6435062148347594</v>
      </c>
      <c r="C211" s="1">
        <f t="shared" si="29"/>
        <v>869</v>
      </c>
      <c r="D211" s="12">
        <f t="shared" si="30"/>
        <v>6.15545207933568</v>
      </c>
      <c r="E211" s="13">
        <f t="shared" si="31"/>
        <v>5349.087856942706</v>
      </c>
      <c r="F211" s="6">
        <f t="shared" si="32"/>
        <v>3442.171279639776</v>
      </c>
      <c r="G211" s="18">
        <f t="shared" si="33"/>
        <v>23784.66683455307</v>
      </c>
      <c r="H211" s="1">
        <f t="shared" si="34"/>
        <v>4.0639429546373</v>
      </c>
      <c r="I211" s="1">
        <f t="shared" si="35"/>
        <v>62201.00777007288</v>
      </c>
      <c r="J211" s="6"/>
      <c r="K211" s="6">
        <f t="shared" si="27"/>
        <v>0</v>
      </c>
    </row>
    <row r="212" spans="1:11" ht="15">
      <c r="A212">
        <v>8</v>
      </c>
      <c r="B212">
        <f t="shared" si="28"/>
        <v>0.6042311876382719</v>
      </c>
      <c r="C212" s="1">
        <f t="shared" si="29"/>
        <v>869</v>
      </c>
      <c r="D212" s="12">
        <f t="shared" si="30"/>
        <v>6.290872025081065</v>
      </c>
      <c r="E212" s="13">
        <f t="shared" si="31"/>
        <v>5466.767789795445</v>
      </c>
      <c r="F212" s="6">
        <f t="shared" si="32"/>
        <v>3303.1915941707525</v>
      </c>
      <c r="G212" s="18">
        <f t="shared" si="33"/>
        <v>27780.490862757983</v>
      </c>
      <c r="H212" s="1">
        <f t="shared" si="34"/>
        <v>4.153349699639321</v>
      </c>
      <c r="I212" s="1">
        <f t="shared" si="35"/>
        <v>69717.45931559148</v>
      </c>
      <c r="J212" s="6"/>
      <c r="K212" s="6">
        <f t="shared" si="27"/>
        <v>0</v>
      </c>
    </row>
    <row r="213" spans="1:11" ht="15">
      <c r="A213">
        <v>9</v>
      </c>
      <c r="B213">
        <f t="shared" si="28"/>
        <v>0.5673532278293633</v>
      </c>
      <c r="C213" s="1">
        <f t="shared" si="29"/>
        <v>869</v>
      </c>
      <c r="D213" s="12">
        <f t="shared" si="30"/>
        <v>6.429271209632848</v>
      </c>
      <c r="E213" s="13">
        <f t="shared" si="31"/>
        <v>5587.036681170945</v>
      </c>
      <c r="F213" s="6">
        <f t="shared" si="32"/>
        <v>3169.8232950633883</v>
      </c>
      <c r="G213" s="18">
        <f t="shared" si="33"/>
        <v>31940.619369455988</v>
      </c>
      <c r="H213" s="1">
        <f t="shared" si="34"/>
        <v>4.244723393031386</v>
      </c>
      <c r="I213" s="1">
        <f t="shared" si="35"/>
        <v>76921.23673498546</v>
      </c>
      <c r="J213" s="6"/>
      <c r="K213" s="6">
        <f t="shared" si="27"/>
        <v>0</v>
      </c>
    </row>
    <row r="214" spans="1:11" ht="15">
      <c r="A214">
        <v>10</v>
      </c>
      <c r="B214">
        <f t="shared" si="28"/>
        <v>0.5327260355205289</v>
      </c>
      <c r="C214" s="1">
        <f t="shared" si="29"/>
        <v>869</v>
      </c>
      <c r="D214" s="12">
        <f t="shared" si="30"/>
        <v>6.570715176244771</v>
      </c>
      <c r="E214" s="13">
        <f t="shared" si="31"/>
        <v>5709.951488156706</v>
      </c>
      <c r="F214" s="6">
        <f t="shared" si="32"/>
        <v>3041.839819300266</v>
      </c>
      <c r="G214" s="18">
        <f t="shared" si="33"/>
        <v>36270.34777287114</v>
      </c>
      <c r="H214" s="1">
        <f t="shared" si="34"/>
        <v>4.338107307678077</v>
      </c>
      <c r="I214" s="1">
        <f t="shared" si="35"/>
        <v>83821.59731862762</v>
      </c>
      <c r="J214" s="6"/>
      <c r="K214" s="6">
        <f t="shared" si="27"/>
        <v>0</v>
      </c>
    </row>
    <row r="215" spans="1:11" ht="15">
      <c r="A215">
        <v>11</v>
      </c>
      <c r="B215">
        <f t="shared" si="28"/>
        <v>0.5002122399253793</v>
      </c>
      <c r="C215" s="1">
        <f t="shared" si="29"/>
        <v>869</v>
      </c>
      <c r="D215" s="12">
        <f t="shared" si="30"/>
        <v>6.715270910122156</v>
      </c>
      <c r="E215" s="13">
        <f t="shared" si="31"/>
        <v>5835.570420896153</v>
      </c>
      <c r="F215" s="6">
        <f t="shared" si="32"/>
        <v>2919.0237514787536</v>
      </c>
      <c r="G215" s="18">
        <f t="shared" si="33"/>
        <v>40775.12496626173</v>
      </c>
      <c r="H215" s="1">
        <f t="shared" si="34"/>
        <v>4.433545668446994</v>
      </c>
      <c r="I215" s="1">
        <f t="shared" si="35"/>
        <v>90427.55772687736</v>
      </c>
      <c r="J215" s="6"/>
      <c r="K215" s="6">
        <f t="shared" si="27"/>
        <v>0</v>
      </c>
    </row>
    <row r="216" spans="1:11" ht="15">
      <c r="A216">
        <v>12</v>
      </c>
      <c r="B216">
        <f t="shared" si="28"/>
        <v>0.4696828543900276</v>
      </c>
      <c r="C216" s="1">
        <f t="shared" si="29"/>
        <v>869</v>
      </c>
      <c r="D216" s="12">
        <f t="shared" si="30"/>
        <v>6.863006870144844</v>
      </c>
      <c r="E216" s="13">
        <f t="shared" si="31"/>
        <v>5963.9529701558695</v>
      </c>
      <c r="F216" s="6">
        <f t="shared" si="32"/>
        <v>2801.166454470692</v>
      </c>
      <c r="G216" s="18">
        <f t="shared" si="33"/>
        <v>45460.557507839454</v>
      </c>
      <c r="H216" s="1">
        <f t="shared" si="34"/>
        <v>4.531083673152828</v>
      </c>
      <c r="I216" s="1">
        <f t="shared" si="35"/>
        <v>96747.89982565923</v>
      </c>
      <c r="J216" s="6"/>
      <c r="K216" s="6">
        <f t="shared" si="27"/>
        <v>0</v>
      </c>
    </row>
    <row r="217" spans="1:11" ht="15">
      <c r="A217">
        <v>13</v>
      </c>
      <c r="B217">
        <f t="shared" si="28"/>
        <v>0.4410167646854719</v>
      </c>
      <c r="C217" s="1">
        <f t="shared" si="29"/>
        <v>869</v>
      </c>
      <c r="D217" s="12">
        <f t="shared" si="30"/>
        <v>7.01399302128803</v>
      </c>
      <c r="E217" s="13">
        <f t="shared" si="31"/>
        <v>6095.159935499299</v>
      </c>
      <c r="F217" s="6">
        <f t="shared" si="32"/>
        <v>2688.0677149944104</v>
      </c>
      <c r="G217" s="18">
        <f t="shared" si="33"/>
        <v>50332.413920762905</v>
      </c>
      <c r="H217" s="1">
        <f t="shared" si="34"/>
        <v>4.630767513962191</v>
      </c>
      <c r="I217" s="1">
        <f t="shared" si="35"/>
        <v>102791.17638650625</v>
      </c>
      <c r="J217" s="6"/>
      <c r="K217" s="6">
        <f t="shared" si="27"/>
        <v>0</v>
      </c>
    </row>
    <row r="218" spans="1:11" ht="15">
      <c r="A218">
        <v>14</v>
      </c>
      <c r="B218">
        <f t="shared" si="28"/>
        <v>0.41410024853095956</v>
      </c>
      <c r="C218" s="1">
        <f t="shared" si="29"/>
        <v>869</v>
      </c>
      <c r="D218" s="12">
        <f t="shared" si="30"/>
        <v>7.168300867756367</v>
      </c>
      <c r="E218" s="13">
        <f t="shared" si="31"/>
        <v>6229.253454080283</v>
      </c>
      <c r="F218" s="6">
        <f t="shared" si="32"/>
        <v>2579.5354034969832</v>
      </c>
      <c r="G218" s="18">
        <f t="shared" si="33"/>
        <v>55396.62910602121</v>
      </c>
      <c r="H218" s="1">
        <f t="shared" si="34"/>
        <v>4.732644399269359</v>
      </c>
      <c r="I218" s="1">
        <f t="shared" si="35"/>
        <v>108565.71665412575</v>
      </c>
      <c r="J218" s="6"/>
      <c r="K218" s="6">
        <f t="shared" si="27"/>
        <v>0</v>
      </c>
    </row>
    <row r="219" spans="1:11" ht="15">
      <c r="A219">
        <v>15</v>
      </c>
      <c r="B219">
        <f t="shared" si="28"/>
        <v>0.38882652444221566</v>
      </c>
      <c r="C219" s="1">
        <f t="shared" si="29"/>
        <v>869</v>
      </c>
      <c r="D219" s="12">
        <f t="shared" si="30"/>
        <v>7.326003486847007</v>
      </c>
      <c r="E219" s="13">
        <f t="shared" si="31"/>
        <v>6366.297030070049</v>
      </c>
      <c r="F219" s="6">
        <f t="shared" si="32"/>
        <v>2475.385147768937</v>
      </c>
      <c r="G219" s="18">
        <f t="shared" si="33"/>
        <v>60659.30887109322</v>
      </c>
      <c r="H219" s="1">
        <f t="shared" si="34"/>
        <v>4.836762576053285</v>
      </c>
      <c r="I219" s="1">
        <f t="shared" si="35"/>
        <v>114079.63178447474</v>
      </c>
      <c r="J219" s="6"/>
      <c r="K219" s="6">
        <f t="shared" si="27"/>
        <v>0</v>
      </c>
    </row>
    <row r="220" spans="1:11" ht="15">
      <c r="A220">
        <v>16</v>
      </c>
      <c r="B220">
        <f t="shared" si="28"/>
        <v>0.3650953281147565</v>
      </c>
      <c r="C220" s="1">
        <f t="shared" si="29"/>
        <v>869</v>
      </c>
      <c r="D220" s="12">
        <f t="shared" si="30"/>
        <v>7.487175563557641</v>
      </c>
      <c r="E220" s="13">
        <f t="shared" si="31"/>
        <v>6506.35556473159</v>
      </c>
      <c r="F220" s="6">
        <f t="shared" si="32"/>
        <v>2375.4400197369514</v>
      </c>
      <c r="G220" s="18">
        <f t="shared" si="33"/>
        <v>66126.73457734109</v>
      </c>
      <c r="H220" s="1">
        <f t="shared" si="34"/>
        <v>4.943171352726458</v>
      </c>
      <c r="I220" s="1">
        <f t="shared" si="35"/>
        <v>119340.82015626949</v>
      </c>
      <c r="J220" s="6"/>
      <c r="K220" s="6">
        <f t="shared" si="27"/>
        <v>0</v>
      </c>
    </row>
    <row r="221" spans="1:11" ht="15">
      <c r="A221">
        <v>17</v>
      </c>
      <c r="B221">
        <f t="shared" si="28"/>
        <v>0.34281251466174323</v>
      </c>
      <c r="C221" s="1">
        <f t="shared" si="29"/>
        <v>869</v>
      </c>
      <c r="D221" s="12">
        <f t="shared" si="30"/>
        <v>7.651893425955909</v>
      </c>
      <c r="E221" s="13">
        <f t="shared" si="31"/>
        <v>6649.4953871556845</v>
      </c>
      <c r="F221" s="6">
        <f t="shared" si="32"/>
        <v>2279.530234902502</v>
      </c>
      <c r="G221" s="18">
        <f t="shared" si="33"/>
        <v>71805.36790917025</v>
      </c>
      <c r="H221" s="1">
        <f t="shared" si="34"/>
        <v>5.0519211224864415</v>
      </c>
      <c r="I221" s="1">
        <f t="shared" si="35"/>
        <v>124356.97255878623</v>
      </c>
      <c r="J221" s="6"/>
      <c r="K221" s="6">
        <f t="shared" si="27"/>
        <v>0</v>
      </c>
    </row>
    <row r="222" spans="1:11" ht="15">
      <c r="A222">
        <v>18</v>
      </c>
      <c r="B222">
        <f t="shared" si="28"/>
        <v>0.3218896851283974</v>
      </c>
      <c r="C222" s="1">
        <f t="shared" si="29"/>
        <v>869</v>
      </c>
      <c r="D222" s="12">
        <f t="shared" si="30"/>
        <v>7.820235081326939</v>
      </c>
      <c r="E222" s="13">
        <f t="shared" si="31"/>
        <v>6795.78428567311</v>
      </c>
      <c r="F222" s="6">
        <f t="shared" si="32"/>
        <v>2187.4928639158284</v>
      </c>
      <c r="G222" s="18">
        <f t="shared" si="33"/>
        <v>77701.85576806447</v>
      </c>
      <c r="H222" s="1">
        <f t="shared" si="34"/>
        <v>5.163063387181142</v>
      </c>
      <c r="I222" s="1">
        <f t="shared" si="35"/>
        <v>129135.57725874857</v>
      </c>
      <c r="J222" s="6"/>
      <c r="K222" s="6">
        <f t="shared" si="27"/>
        <v>0</v>
      </c>
    </row>
    <row r="223" spans="1:11" ht="15">
      <c r="A223">
        <v>19</v>
      </c>
      <c r="B223">
        <f t="shared" si="28"/>
        <v>0.30224383580131214</v>
      </c>
      <c r="C223" s="1">
        <f t="shared" si="29"/>
        <v>869</v>
      </c>
      <c r="D223" s="12">
        <f t="shared" si="30"/>
        <v>7.992280253116132</v>
      </c>
      <c r="E223" s="13">
        <f t="shared" si="31"/>
        <v>6945.291539957919</v>
      </c>
      <c r="F223" s="6">
        <f t="shared" si="32"/>
        <v>2099.1715557952834</v>
      </c>
      <c r="G223" s="18">
        <f t="shared" si="33"/>
        <v>83823.03529468199</v>
      </c>
      <c r="H223" s="1">
        <f t="shared" si="34"/>
        <v>5.276650781699129</v>
      </c>
      <c r="I223" s="1">
        <f t="shared" si="35"/>
        <v>133683.9249490354</v>
      </c>
      <c r="J223" s="6"/>
      <c r="K223" s="6">
        <f t="shared" si="27"/>
        <v>0</v>
      </c>
    </row>
    <row r="224" spans="1:11" ht="15">
      <c r="A224">
        <v>20</v>
      </c>
      <c r="B224">
        <f t="shared" si="28"/>
        <v>0.2837970289214199</v>
      </c>
      <c r="C224" s="1">
        <f t="shared" si="29"/>
        <v>869</v>
      </c>
      <c r="D224" s="12">
        <f t="shared" si="30"/>
        <v>8.168110418684687</v>
      </c>
      <c r="E224" s="13">
        <f t="shared" si="31"/>
        <v>7098.087953836994</v>
      </c>
      <c r="F224" s="6">
        <f t="shared" si="32"/>
        <v>2014.4162723218594</v>
      </c>
      <c r="G224" s="18">
        <f t="shared" si="33"/>
        <v>90175.93902227895</v>
      </c>
      <c r="H224" s="1">
        <f t="shared" si="34"/>
        <v>5.392737098896509</v>
      </c>
      <c r="I224" s="1">
        <f t="shared" si="35"/>
        <v>138009.11358188122</v>
      </c>
      <c r="J224" s="6"/>
      <c r="K224" s="6">
        <f t="shared" si="27"/>
        <v>0</v>
      </c>
    </row>
    <row r="226" spans="6:11" ht="15">
      <c r="F226" s="1">
        <f>SUM(F205:F225)</f>
        <v>61293.1295276062</v>
      </c>
      <c r="I226" s="1">
        <f>SUM(I204:I225)</f>
        <v>1646420.6403193267</v>
      </c>
      <c r="J226" s="6">
        <f>SUM(J225:J225)</f>
        <v>0</v>
      </c>
      <c r="K226" s="1">
        <f>SUM(K204:K225)</f>
        <v>330000</v>
      </c>
    </row>
    <row r="229" spans="3:4" ht="15">
      <c r="C229" s="11"/>
      <c r="D229" s="15"/>
    </row>
    <row r="230" spans="3:4" ht="15">
      <c r="C230" s="11"/>
      <c r="D230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E33" sqref="E33"/>
    </sheetView>
  </sheetViews>
  <sheetFormatPr defaultColWidth="9.140625" defaultRowHeight="15"/>
  <cols>
    <col min="5" max="8" width="20.421875" style="0" customWidth="1"/>
  </cols>
  <sheetData>
    <row r="1" ht="15.75">
      <c r="A1" s="17" t="s">
        <v>7</v>
      </c>
    </row>
    <row r="2" ht="15">
      <c r="A2" t="s">
        <v>48</v>
      </c>
    </row>
    <row r="3" ht="15">
      <c r="A3" t="s">
        <v>51</v>
      </c>
    </row>
    <row r="7" spans="5:7" ht="15">
      <c r="E7" s="14"/>
      <c r="F7" s="9" t="s">
        <v>36</v>
      </c>
      <c r="G7" s="9" t="s">
        <v>38</v>
      </c>
    </row>
    <row r="8" spans="5:7" ht="15">
      <c r="E8" s="14"/>
      <c r="F8" s="9" t="s">
        <v>37</v>
      </c>
      <c r="G8" s="9" t="s">
        <v>39</v>
      </c>
    </row>
    <row r="9" spans="5:8" ht="15">
      <c r="E9" s="9" t="s">
        <v>34</v>
      </c>
      <c r="F9" s="9" t="s">
        <v>53</v>
      </c>
      <c r="G9" s="9" t="s">
        <v>40</v>
      </c>
      <c r="H9" s="9" t="s">
        <v>46</v>
      </c>
    </row>
    <row r="10" spans="5:8" ht="15.75" thickBot="1">
      <c r="E10" s="16" t="s">
        <v>35</v>
      </c>
      <c r="F10" s="16" t="s">
        <v>35</v>
      </c>
      <c r="G10" s="16" t="s">
        <v>35</v>
      </c>
      <c r="H10" s="16" t="s">
        <v>47</v>
      </c>
    </row>
    <row r="11" spans="5:6" ht="15">
      <c r="E11" s="9"/>
      <c r="F11" s="9"/>
    </row>
    <row r="12" spans="5:6" ht="15">
      <c r="E12" s="9"/>
      <c r="F12" s="9"/>
    </row>
    <row r="13" ht="15">
      <c r="A13" s="14" t="s">
        <v>45</v>
      </c>
    </row>
    <row r="15" spans="1:8" ht="15">
      <c r="A15" t="s">
        <v>8</v>
      </c>
      <c r="E15" s="12">
        <f>E23/E24</f>
        <v>1.6101263250142241</v>
      </c>
      <c r="F15" s="12">
        <f>F23/F24</f>
        <v>0.7319080220179427</v>
      </c>
      <c r="G15" s="12">
        <f>G23/G24</f>
        <v>1.3407112482331878</v>
      </c>
      <c r="H15" s="12">
        <f>H23/H24</f>
        <v>0.9465395911180949</v>
      </c>
    </row>
    <row r="16" spans="1:8" ht="15">
      <c r="A16" t="s">
        <v>22</v>
      </c>
      <c r="E16" s="12">
        <f>E27/E28</f>
        <v>1.551724798167245</v>
      </c>
      <c r="F16" s="12">
        <f>F27/F28</f>
        <v>8.700640042822748</v>
      </c>
      <c r="G16" s="12">
        <f>G27/G28</f>
        <v>5.5445252267757565</v>
      </c>
      <c r="H16" s="12">
        <f>H27/H28</f>
        <v>6.055412716530266</v>
      </c>
    </row>
    <row r="17" spans="1:8" ht="15">
      <c r="A17" t="s">
        <v>23</v>
      </c>
      <c r="E17" s="12">
        <f>E31/(E32+E33)</f>
        <v>0.4339029915225737</v>
      </c>
      <c r="F17" s="12">
        <f>F31/(F32+F33)</f>
        <v>2.8383811540748045</v>
      </c>
      <c r="G17" s="12">
        <f>G31/(G32+G33)</f>
        <v>4.167595269446226</v>
      </c>
      <c r="H17" s="12">
        <f>H31/(H32+H33)</f>
        <v>2.338572366552478</v>
      </c>
    </row>
    <row r="18" spans="1:8" ht="15">
      <c r="A18" t="s">
        <v>24</v>
      </c>
      <c r="E18" s="12">
        <f>E36/E37</f>
        <v>0.5968172300643251</v>
      </c>
      <c r="F18" s="12">
        <f>F36/F37</f>
        <v>2.276537051270057</v>
      </c>
      <c r="G18" s="12">
        <f>G36/G37</f>
        <v>5.174890211657373</v>
      </c>
      <c r="H18" s="12">
        <f>H36/H37</f>
        <v>2.3114302665725615</v>
      </c>
    </row>
    <row r="22" ht="15">
      <c r="A22" s="14" t="s">
        <v>8</v>
      </c>
    </row>
    <row r="23" spans="1:8" ht="15">
      <c r="A23" t="s">
        <v>42</v>
      </c>
      <c r="E23" s="15">
        <f>'Net Ben - Audit'!H43</f>
        <v>515240.4240045517</v>
      </c>
      <c r="F23" s="15">
        <f>'Net Ben - HEA Rebate'!H43</f>
        <v>826141.1798527528</v>
      </c>
      <c r="G23" s="15">
        <f>'Net Ben - LIHEF Replacement'!H43</f>
        <v>101759.98374089896</v>
      </c>
      <c r="H23" s="2">
        <f>SUM(E23:G23)</f>
        <v>1443141.5875982034</v>
      </c>
    </row>
    <row r="24" spans="1:8" ht="15">
      <c r="A24" t="s">
        <v>41</v>
      </c>
      <c r="E24" s="15">
        <f>'Net Ben - Audit'!D43</f>
        <v>320000</v>
      </c>
      <c r="F24" s="15">
        <f>'Net Ben - HEA Rebate'!D43</f>
        <v>1128750</v>
      </c>
      <c r="G24" s="15">
        <f>'Net Ben - LIHEF Replacement'!D43</f>
        <v>75900</v>
      </c>
      <c r="H24" s="2">
        <f>SUM(E24:G24)</f>
        <v>1524650</v>
      </c>
    </row>
    <row r="26" ht="15">
      <c r="A26" s="14" t="s">
        <v>22</v>
      </c>
    </row>
    <row r="27" spans="1:8" ht="15">
      <c r="A27" t="s">
        <v>27</v>
      </c>
      <c r="E27" s="15">
        <f>'Net Ben - Audit'!F102</f>
        <v>310344.95963344903</v>
      </c>
      <c r="F27" s="15">
        <f>'Net Ben - HEA Rebate'!F100+'Net Ben - HEA Rebate'!I100</f>
        <v>3480256.0171290995</v>
      </c>
      <c r="G27" s="15">
        <f>'Net Ben - LIHEF Replacement'!F102+'Net Ben - LIHEF Replacement'!I102</f>
        <v>1707713.769846933</v>
      </c>
      <c r="H27" s="2">
        <f>SUM(E27:G27)</f>
        <v>5498314.746609481</v>
      </c>
    </row>
    <row r="28" spans="1:8" ht="15">
      <c r="A28" t="s">
        <v>43</v>
      </c>
      <c r="E28" s="15">
        <f>'Net Ben - Audit'!H102</f>
        <v>200000</v>
      </c>
      <c r="F28" s="15">
        <f>'Net Ben - HEA Rebate'!K100</f>
        <v>400000</v>
      </c>
      <c r="G28" s="15">
        <f>'Net Ben - LIHEF Replacement'!K102</f>
        <v>308000</v>
      </c>
      <c r="H28" s="2">
        <f>SUM(E28:G28)</f>
        <v>908000</v>
      </c>
    </row>
    <row r="30" ht="15">
      <c r="A30" s="14" t="s">
        <v>23</v>
      </c>
    </row>
    <row r="31" spans="1:8" ht="15">
      <c r="A31" t="s">
        <v>27</v>
      </c>
      <c r="E31" s="15">
        <f>'Net Ben - Audit'!F165</f>
        <v>310344.95963344903</v>
      </c>
      <c r="F31" s="15">
        <f>'Net Ben - HEA Rebate'!F161+'Net Ben - HEA Rebate'!I161</f>
        <v>3480256.0171290995</v>
      </c>
      <c r="G31" s="15">
        <f>'Net Ben - LIHEF Replacement'!F165+'Net Ben - LIHEF Replacement'!I165</f>
        <v>1707713.769846933</v>
      </c>
      <c r="H31" s="2">
        <f>SUM(E31:G31)</f>
        <v>5498314.746609481</v>
      </c>
    </row>
    <row r="32" spans="1:8" ht="15">
      <c r="A32" t="s">
        <v>43</v>
      </c>
      <c r="E32" s="15">
        <f>'Net Ben - Audit'!H165</f>
        <v>200000</v>
      </c>
      <c r="F32" s="15">
        <f>'Net Ben - HEA Rebate'!K161</f>
        <v>400000</v>
      </c>
      <c r="G32" s="15">
        <f>'Net Ben - LIHEF Replacement'!K165</f>
        <v>308000</v>
      </c>
      <c r="H32" s="2">
        <f>SUM(E32:G32)</f>
        <v>908000</v>
      </c>
    </row>
    <row r="33" spans="1:8" ht="15">
      <c r="A33" t="s">
        <v>25</v>
      </c>
      <c r="E33" s="15">
        <f>'Net Ben - Audit'!K165</f>
        <v>515240.4240045517</v>
      </c>
      <c r="F33" s="15">
        <f>'Net Ben - HEA Rebate'!N161</f>
        <v>826141.1798527528</v>
      </c>
      <c r="G33" s="15">
        <f>'Net Ben - LIHEF Replacement'!N165</f>
        <v>101759.98374089896</v>
      </c>
      <c r="H33" s="2">
        <f>SUM(E33:G33)</f>
        <v>1443141.5875982034</v>
      </c>
    </row>
    <row r="35" ht="15">
      <c r="A35" s="14" t="s">
        <v>33</v>
      </c>
    </row>
    <row r="36" spans="1:8" ht="15">
      <c r="A36" t="s">
        <v>27</v>
      </c>
      <c r="E36" s="15">
        <f>'Net Ben - Audit'!F226</f>
        <v>310344.95963344903</v>
      </c>
      <c r="F36" s="15">
        <f>'Net Ben - HEA Rebate'!F220+'Net Ben - HEA Rebate'!I220</f>
        <v>3480256.0171290995</v>
      </c>
      <c r="G36" s="15">
        <f>'Net Ben - LIHEF Replacement'!F226+'Net Ben - LIHEF Replacement'!I226</f>
        <v>1707713.769846933</v>
      </c>
      <c r="H36" s="2">
        <f>SUM(E36:G36)</f>
        <v>5498314.746609481</v>
      </c>
    </row>
    <row r="37" spans="1:8" ht="15">
      <c r="A37" t="s">
        <v>43</v>
      </c>
      <c r="E37" s="15">
        <f>'Net Ben - Audit'!H226</f>
        <v>520000</v>
      </c>
      <c r="F37" s="15">
        <f>'Net Ben - HEA Rebate'!K220</f>
        <v>1528750</v>
      </c>
      <c r="G37" s="15">
        <f>'Net Ben - LIHEF Replacement'!K226</f>
        <v>330000</v>
      </c>
      <c r="H37" s="2">
        <f>SUM(E37:G37)</f>
        <v>2378750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Steve</cp:lastModifiedBy>
  <cp:lastPrinted>2016-05-12T19:04:02Z</cp:lastPrinted>
  <dcterms:created xsi:type="dcterms:W3CDTF">2009-04-28T18:22:36Z</dcterms:created>
  <dcterms:modified xsi:type="dcterms:W3CDTF">2018-07-15T18:54:20Z</dcterms:modified>
  <cp:category/>
  <cp:version/>
  <cp:contentType/>
  <cp:contentStatus/>
</cp:coreProperties>
</file>