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035" yWindow="1095" windowWidth="11055" windowHeight="7950" tabRatio="861"/>
  </bookViews>
  <sheets>
    <sheet name="Summary" sheetId="35" r:id="rId1"/>
    <sheet name="LT Debt" sheetId="33" r:id="rId2"/>
    <sheet name="Pref Stock" sheetId="34" r:id="rId3"/>
    <sheet name="Workpaper" sheetId="26" r:id="rId4"/>
    <sheet name="STD 2017 WP" sheetId="36" r:id="rId5"/>
    <sheet name="Unamort ITCs 2017 WP" sheetId="37" r:id="rId6"/>
    <sheet name="Debt Discount 2017 WP" sheetId="39" r:id="rId7"/>
    <sheet name="Notes" sheetId="38" r:id="rId8"/>
  </sheets>
  <definedNames>
    <definedName name="_xlnm.Print_Area" localSheetId="1">'LT Debt'!$A$1:$AC$41</definedName>
    <definedName name="_xlnm.Print_Area" localSheetId="2">'Pref Stock'!$A$1:$P$31</definedName>
    <definedName name="_xlnm.Print_Area" localSheetId="4">'STD 2017 WP'!$A$1:$E$23</definedName>
    <definedName name="_xlnm.Print_Area" localSheetId="0">Summary!$A$1:$J$24</definedName>
    <definedName name="_xlnm.Print_Area" localSheetId="5">'Unamort ITCs 2017 WP'!$A$1:$F$61</definedName>
    <definedName name="_xlnm.Print_Area" localSheetId="3">Workpaper!$A$1:$Q$423</definedName>
    <definedName name="_xlnm.Print_Titles" localSheetId="3">Workpaper!$A:$C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1" hidden="1">'LT Debt'!#REF!</definedName>
    <definedName name="Z_3504B94A_F634_11D2_9451_0008C780B76A_.wvu.PrintArea" localSheetId="2" hidden="1">'Pref Stock'!$A$4:$Y$42</definedName>
    <definedName name="Z_3504B94B_F634_11D2_9451_0008C780B76A_.wvu.PrintArea" localSheetId="1" hidden="1">'LT Debt'!#REF!</definedName>
    <definedName name="Z_3504B94B_F634_11D2_9451_0008C780B76A_.wvu.PrintArea" localSheetId="2" hidden="1">'Pref Stock'!$A$4:$Y$42</definedName>
    <definedName name="Z_3504B94C_F634_11D2_9451_0008C780B76A_.wvu.PrintArea" localSheetId="1" hidden="1">'LT Debt'!#REF!</definedName>
    <definedName name="Z_3504B94C_F634_11D2_9451_0008C780B76A_.wvu.PrintArea" localSheetId="2" hidden="1">'Pref Stock'!$A$4:$Y$42</definedName>
    <definedName name="Z_3504B94D_F634_11D2_9451_0008C780B76A_.wvu.PrintArea" localSheetId="1" hidden="1">'LT Debt'!#REF!</definedName>
    <definedName name="Z_3504B94D_F634_11D2_9451_0008C780B76A_.wvu.PrintArea" localSheetId="2" hidden="1">'Pref Stock'!$A$4:$Y$42</definedName>
    <definedName name="Z_3504B94E_F634_11D2_9451_0008C780B76A_.wvu.PrintArea" localSheetId="1" hidden="1">'LT Debt'!#REF!</definedName>
    <definedName name="Z_3504B94E_F634_11D2_9451_0008C780B76A_.wvu.PrintArea" localSheetId="2" hidden="1">'Pref Stock'!$A$4:$Y$42</definedName>
    <definedName name="Z_3504B950_F634_11D2_9451_0008C780B76A_.wvu.PrintArea" localSheetId="1" hidden="1">'LT Debt'!#REF!</definedName>
    <definedName name="Z_3504B950_F634_11D2_9451_0008C780B76A_.wvu.PrintArea" localSheetId="2" hidden="1">'Pref Stock'!$A$4:$Y$42</definedName>
    <definedName name="Z_3504B951_F634_11D2_9451_0008C780B76A_.wvu.PrintArea" localSheetId="1" hidden="1">'LT Debt'!#REF!</definedName>
    <definedName name="Z_3504B951_F634_11D2_9451_0008C780B76A_.wvu.PrintArea" localSheetId="2" hidden="1">'Pref Stock'!$A$4:$Y$42</definedName>
    <definedName name="Z_3504B952_F634_11D2_9451_0008C780B76A_.wvu.PrintArea" localSheetId="1" hidden="1">'LT Debt'!#REF!</definedName>
    <definedName name="Z_3504B952_F634_11D2_9451_0008C780B76A_.wvu.PrintArea" localSheetId="2" hidden="1">'Pref Stock'!$A$4:$Y$42</definedName>
    <definedName name="Z_3504B953_F634_11D2_9451_0008C780B76A_.wvu.PrintArea" localSheetId="1" hidden="1">'LT Debt'!#REF!</definedName>
    <definedName name="Z_3504B953_F634_11D2_9451_0008C780B76A_.wvu.PrintArea" localSheetId="2" hidden="1">'Pref Stock'!$A$4:$Y$42</definedName>
    <definedName name="Z_3504B954_F634_11D2_9451_0008C780B76A_.wvu.PrintArea" localSheetId="1" hidden="1">'LT Debt'!#REF!</definedName>
    <definedName name="Z_3504B954_F634_11D2_9451_0008C780B76A_.wvu.PrintArea" localSheetId="2" hidden="1">'Pref Stock'!$A$4:$Y$42</definedName>
    <definedName name="Z_3504B955_F634_11D2_9451_0008C780B76A_.wvu.PrintArea" localSheetId="1" hidden="1">'LT Debt'!#REF!</definedName>
    <definedName name="Z_3504B955_F634_11D2_9451_0008C780B76A_.wvu.PrintArea" localSheetId="2" hidden="1">'Pref Stock'!$A$4:$Y$42</definedName>
    <definedName name="Z_3504B956_F634_11D2_9451_0008C780B76A_.wvu.PrintArea" localSheetId="1" hidden="1">'LT Debt'!#REF!</definedName>
    <definedName name="Z_3504B956_F634_11D2_9451_0008C780B76A_.wvu.PrintArea" localSheetId="2" hidden="1">'Pref Stock'!$A$4:$Y$42</definedName>
    <definedName name="Z_3504B966_F634_11D2_9451_0008C780B76A_.wvu.PrintArea" localSheetId="1" hidden="1">'LT Debt'!#REF!</definedName>
    <definedName name="Z_3504B966_F634_11D2_9451_0008C780B76A_.wvu.PrintArea" localSheetId="2" hidden="1">'Pref Stock'!$A$4:$Y$42</definedName>
    <definedName name="Z_42E2132E_130A_11D4_8702_444553540000_.wvu.PrintArea" localSheetId="1" hidden="1">'LT Debt'!$A$2:$AC$54</definedName>
    <definedName name="Z_42E2132E_130A_11D4_8702_444553540000_.wvu.PrintArea" localSheetId="2" hidden="1">'Pref Stock'!$A$2:$X$42</definedName>
  </definedNames>
  <calcPr calcId="162913"/>
  <customWorkbookViews>
    <customWorkbookView name="Wkp Unamort PreStock Exp" guid="{3504B966-F634-11D2-9451-0008C780B76A}" maximized="1" windowWidth="796" windowHeight="427" tabRatio="602" activeSheetId="3"/>
    <customWorkbookView name="Wkp PreStock 13MoAvg" guid="{3504B956-F634-11D2-9451-0008C780B76A}" maximized="1" windowWidth="796" windowHeight="427" tabRatio="602" activeSheetId="3"/>
    <customWorkbookView name="Wkp LTerm Debt 13MoAvg" guid="{3504B955-F634-11D2-9451-0008C780B76A}" maximized="1" windowWidth="796" windowHeight="427" tabRatio="602" activeSheetId="3"/>
    <customWorkbookView name="Wkp JDITC" guid="{3504B954-F634-11D2-9451-0008C780B76A}" maximized="1" windowWidth="796" windowHeight="427" tabRatio="602" activeSheetId="3"/>
    <customWorkbookView name="Wkp ComEquity" guid="{3504B953-F634-11D2-9451-0008C780B76A}" maximized="1" windowWidth="796" windowHeight="427" tabRatio="602" activeSheetId="3"/>
    <customWorkbookView name="Wkp STerm Debt" guid="{3504B952-F634-11D2-9451-0008C780B76A}" maximized="1" windowWidth="796" windowHeight="427" tabRatio="602" activeSheetId="3"/>
    <customWorkbookView name="Wkp PreStock Dividend" guid="{3504B951-F634-11D2-9451-0008C780B76A}" maximized="1" windowWidth="796" windowHeight="427" tabRatio="602" activeSheetId="3"/>
    <customWorkbookView name="Wkp PreStock Amort" guid="{3504B950-F634-11D2-9451-0008C780B76A}" maximized="1" windowWidth="796" windowHeight="427" tabRatio="602" activeSheetId="3"/>
    <customWorkbookView name="Wkp PreStock" guid="{3504B94E-F634-11D2-9451-0008C780B76A}" maximized="1" windowWidth="796" windowHeight="427" tabRatio="602" activeSheetId="3"/>
    <customWorkbookView name="Wkp LTerm Debt Int" guid="{3504B94D-F634-11D2-9451-0008C780B76A}" maximized="1" windowWidth="796" windowHeight="427" tabRatio="602" activeSheetId="3"/>
    <customWorkbookView name="Wkp Lterm Debt Amort" guid="{3504B94C-F634-11D2-9451-0008C780B76A}" maximized="1" windowWidth="796" windowHeight="427" tabRatio="602" activeSheetId="3"/>
    <customWorkbookView name="Wkp LTerm Debt" guid="{3504B94B-F634-11D2-9451-0008C780B76A}" maximized="1" windowWidth="796" windowHeight="427" tabRatio="602" activeSheetId="3"/>
    <customWorkbookView name="Wkp Unamort Debt Exp" guid="{3504B94A-F634-11D2-9451-0008C780B76A}" maximized="1" windowWidth="796" windowHeight="427" tabRatio="602" activeSheetId="3"/>
    <customWorkbookView name="Print All Sch J Exhibits" guid="{42E2132E-130A-11D4-8702-444553540000}" maximized="1" windowWidth="763" windowHeight="466" tabRatio="602" activeSheetId="4"/>
  </customWorkbookViews>
</workbook>
</file>

<file path=xl/calcChain.xml><?xml version="1.0" encoding="utf-8"?>
<calcChain xmlns="http://schemas.openxmlformats.org/spreadsheetml/2006/main">
  <c r="K379" i="26" l="1"/>
  <c r="P376" i="26" s="1"/>
  <c r="P371" i="26" l="1"/>
  <c r="P377" i="26"/>
  <c r="A23" i="33" l="1"/>
  <c r="A24" i="33"/>
  <c r="A26" i="33"/>
  <c r="A27" i="33"/>
  <c r="A29" i="33"/>
  <c r="A30" i="33"/>
  <c r="A32" i="33"/>
  <c r="A33" i="33"/>
  <c r="A35" i="33"/>
  <c r="A36" i="33"/>
  <c r="A38" i="33"/>
  <c r="W33" i="33" l="1"/>
  <c r="W34" i="33"/>
  <c r="J47" i="39"/>
  <c r="J46" i="39"/>
  <c r="U34" i="33"/>
  <c r="U33" i="33"/>
  <c r="I46" i="39"/>
  <c r="G47" i="39"/>
  <c r="G46" i="39"/>
  <c r="E24" i="26"/>
  <c r="F24" i="26" s="1"/>
  <c r="G24" i="26" s="1"/>
  <c r="H24" i="26" s="1"/>
  <c r="I24" i="26" s="1"/>
  <c r="J24" i="26" s="1"/>
  <c r="K24" i="26" s="1"/>
  <c r="L24" i="26" s="1"/>
  <c r="K34" i="33"/>
  <c r="C34" i="33"/>
  <c r="U38" i="33" l="1"/>
  <c r="Q393" i="26"/>
  <c r="Q370" i="26"/>
  <c r="Q360" i="26"/>
  <c r="Q333" i="26"/>
  <c r="Q322" i="26"/>
  <c r="Q289" i="26"/>
  <c r="Q223" i="26"/>
  <c r="Q190" i="26"/>
  <c r="P160" i="26"/>
  <c r="M160" i="26"/>
  <c r="E160" i="26"/>
  <c r="F160" i="26"/>
  <c r="G160" i="26"/>
  <c r="H160" i="26"/>
  <c r="I160" i="26"/>
  <c r="J160" i="26"/>
  <c r="K160" i="26"/>
  <c r="L160" i="26"/>
  <c r="N160" i="26"/>
  <c r="O160" i="26"/>
  <c r="D160" i="26"/>
  <c r="D159" i="26"/>
  <c r="E159" i="26"/>
  <c r="F159" i="26"/>
  <c r="G159" i="26"/>
  <c r="H159" i="26"/>
  <c r="I159" i="26"/>
  <c r="J159" i="26"/>
  <c r="K159" i="26"/>
  <c r="L159" i="26"/>
  <c r="M159" i="26"/>
  <c r="N159" i="26"/>
  <c r="O159" i="26"/>
  <c r="P159" i="26"/>
  <c r="D158" i="26"/>
  <c r="E69" i="26"/>
  <c r="F69" i="26" s="1"/>
  <c r="G69" i="26" s="1"/>
  <c r="H69" i="26" s="1"/>
  <c r="I69" i="26" s="1"/>
  <c r="J69" i="26" s="1"/>
  <c r="K69" i="26" s="1"/>
  <c r="L69" i="26" s="1"/>
  <c r="E115" i="26"/>
  <c r="Q53" i="26"/>
  <c r="Q23" i="26"/>
  <c r="I33" i="33" s="1"/>
  <c r="Q24" i="26"/>
  <c r="I34" i="33" s="1"/>
  <c r="E423" i="26"/>
  <c r="E422" i="26"/>
  <c r="E421" i="26"/>
  <c r="D406" i="26"/>
  <c r="D403" i="26"/>
  <c r="Q159" i="26" l="1"/>
  <c r="F115" i="26"/>
  <c r="G115" i="26" s="1"/>
  <c r="H115" i="26" s="1"/>
  <c r="I115" i="26" s="1"/>
  <c r="J115" i="26" s="1"/>
  <c r="K115" i="26" s="1"/>
  <c r="L115" i="26" s="1"/>
  <c r="Q33" i="33"/>
  <c r="Q34" i="33"/>
  <c r="Q160" i="26"/>
  <c r="D371" i="26" l="1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D329" i="26"/>
  <c r="Q329" i="26" s="1"/>
  <c r="F16" i="35" s="1"/>
  <c r="D84" i="26"/>
  <c r="D85" i="26" s="1"/>
  <c r="E64" i="26"/>
  <c r="D80" i="26"/>
  <c r="D81" i="26" s="1"/>
  <c r="M69" i="26"/>
  <c r="N69" i="26" s="1"/>
  <c r="O115" i="26"/>
  <c r="P115" i="26" s="1"/>
  <c r="Q115" i="26" l="1"/>
  <c r="S34" i="33" s="1"/>
  <c r="M34" i="33" s="1"/>
  <c r="O34" i="33" s="1"/>
  <c r="O69" i="26"/>
  <c r="P69" i="26"/>
  <c r="Q69" i="26" s="1"/>
  <c r="Y34" i="33" s="1"/>
  <c r="AC34" i="33" s="1"/>
  <c r="D87" i="26"/>
  <c r="E107" i="26" l="1"/>
  <c r="I114" i="26"/>
  <c r="B115" i="26"/>
  <c r="E68" i="26"/>
  <c r="F68" i="26" s="1"/>
  <c r="J114" i="26" l="1"/>
  <c r="K114" i="26" s="1"/>
  <c r="L114" i="26" s="1"/>
  <c r="M114" i="26" s="1"/>
  <c r="N114" i="26" s="1"/>
  <c r="O114" i="26" s="1"/>
  <c r="P114" i="26" s="1"/>
  <c r="G68" i="26"/>
  <c r="H68" i="26" s="1"/>
  <c r="I68" i="26" s="1"/>
  <c r="J68" i="26" l="1"/>
  <c r="K68" i="26" s="1"/>
  <c r="L68" i="26" s="1"/>
  <c r="M68" i="26" s="1"/>
  <c r="N68" i="26" s="1"/>
  <c r="O68" i="26" s="1"/>
  <c r="P68" i="26" s="1"/>
  <c r="Q68" i="26" s="1"/>
  <c r="Y33" i="33" s="1"/>
  <c r="Q114" i="26"/>
  <c r="S33" i="33" s="1"/>
  <c r="B160" i="26"/>
  <c r="B69" i="26"/>
  <c r="H48" i="39" l="1"/>
  <c r="I47" i="39"/>
  <c r="I48" i="39" s="1"/>
  <c r="I49" i="39" s="1"/>
  <c r="H46" i="39"/>
  <c r="F47" i="39"/>
  <c r="F46" i="39"/>
  <c r="E105" i="26" l="1"/>
  <c r="E106" i="26"/>
  <c r="E108" i="26"/>
  <c r="E109" i="26"/>
  <c r="E111" i="26"/>
  <c r="D373" i="26" l="1"/>
  <c r="E373" i="26"/>
  <c r="F373" i="26"/>
  <c r="G373" i="26"/>
  <c r="H373" i="26"/>
  <c r="E14" i="26"/>
  <c r="F14" i="26" s="1"/>
  <c r="E118" i="26"/>
  <c r="E15" i="26"/>
  <c r="F15" i="26" s="1"/>
  <c r="E16" i="26"/>
  <c r="E61" i="26"/>
  <c r="F61" i="26" s="1"/>
  <c r="G61" i="26" s="1"/>
  <c r="I107" i="26"/>
  <c r="E17" i="26"/>
  <c r="F17" i="26" s="1"/>
  <c r="E62" i="26"/>
  <c r="E18" i="26"/>
  <c r="I109" i="26"/>
  <c r="J109" i="26" s="1"/>
  <c r="K109" i="26" s="1"/>
  <c r="L109" i="26" s="1"/>
  <c r="M109" i="26" s="1"/>
  <c r="N109" i="26" s="1"/>
  <c r="O109" i="26" s="1"/>
  <c r="P109" i="26" s="1"/>
  <c r="I110" i="26"/>
  <c r="E20" i="26"/>
  <c r="E156" i="26" s="1"/>
  <c r="I111" i="26"/>
  <c r="J111" i="26" s="1"/>
  <c r="K111" i="26" s="1"/>
  <c r="L111" i="26" s="1"/>
  <c r="M111" i="26" s="1"/>
  <c r="N111" i="26" s="1"/>
  <c r="O111" i="26" s="1"/>
  <c r="E21" i="26"/>
  <c r="F21" i="26" s="1"/>
  <c r="E112" i="26"/>
  <c r="E22" i="26"/>
  <c r="E113" i="26"/>
  <c r="E195" i="26"/>
  <c r="F195" i="26" s="1"/>
  <c r="E261" i="26"/>
  <c r="C32" i="33"/>
  <c r="E19" i="26"/>
  <c r="F19" i="26" s="1"/>
  <c r="G19" i="26" s="1"/>
  <c r="K23" i="33"/>
  <c r="K24" i="33"/>
  <c r="K27" i="33"/>
  <c r="K28" i="33"/>
  <c r="K29" i="33"/>
  <c r="K30" i="33"/>
  <c r="K31" i="33"/>
  <c r="K32" i="33"/>
  <c r="K33" i="33"/>
  <c r="M33" i="33" s="1"/>
  <c r="D157" i="26"/>
  <c r="D156" i="26"/>
  <c r="D155" i="26"/>
  <c r="D154" i="26"/>
  <c r="D153" i="26"/>
  <c r="D152" i="26"/>
  <c r="D151" i="26"/>
  <c r="D164" i="26"/>
  <c r="E164" i="26" s="1"/>
  <c r="D150" i="26"/>
  <c r="D294" i="26"/>
  <c r="D299" i="26" s="1"/>
  <c r="B16" i="35"/>
  <c r="B17" i="35" s="1"/>
  <c r="B18" i="35" s="1"/>
  <c r="B19" i="35" s="1"/>
  <c r="B20" i="35" s="1"/>
  <c r="B21" i="35" s="1"/>
  <c r="B22" i="35" s="1"/>
  <c r="B23" i="35" s="1"/>
  <c r="B24" i="35" s="1"/>
  <c r="K22" i="33"/>
  <c r="A16" i="34"/>
  <c r="A17" i="34" s="1"/>
  <c r="A18" i="34" s="1"/>
  <c r="A19" i="34" s="1"/>
  <c r="A20" i="34" s="1"/>
  <c r="A21" i="34" s="1"/>
  <c r="A22" i="34" s="1"/>
  <c r="A23" i="34" s="1"/>
  <c r="A24" i="34" s="1"/>
  <c r="A20" i="33"/>
  <c r="A21" i="33" s="1"/>
  <c r="M24" i="34"/>
  <c r="I24" i="34"/>
  <c r="E19" i="34"/>
  <c r="C33" i="33"/>
  <c r="C31" i="33"/>
  <c r="C30" i="33"/>
  <c r="C29" i="33"/>
  <c r="C28" i="33"/>
  <c r="C27" i="33"/>
  <c r="G24" i="33"/>
  <c r="C24" i="33"/>
  <c r="G23" i="33"/>
  <c r="C23" i="33"/>
  <c r="G22" i="33"/>
  <c r="C22" i="33"/>
  <c r="AA38" i="33"/>
  <c r="W38" i="33"/>
  <c r="I373" i="26"/>
  <c r="B158" i="26"/>
  <c r="B159" i="26"/>
  <c r="B118" i="26"/>
  <c r="B113" i="26"/>
  <c r="B114" i="26"/>
  <c r="B67" i="26"/>
  <c r="B68" i="26"/>
  <c r="D393" i="26"/>
  <c r="D360" i="26"/>
  <c r="D322" i="26"/>
  <c r="B294" i="26"/>
  <c r="D289" i="26"/>
  <c r="B261" i="26"/>
  <c r="D256" i="26"/>
  <c r="B226" i="26"/>
  <c r="B157" i="26"/>
  <c r="B156" i="26"/>
  <c r="B155" i="26"/>
  <c r="B154" i="26"/>
  <c r="B153" i="26"/>
  <c r="B152" i="26"/>
  <c r="B151" i="26"/>
  <c r="B150" i="26"/>
  <c r="D144" i="26"/>
  <c r="D190" i="26" s="1"/>
  <c r="D223" i="26" s="1"/>
  <c r="B112" i="26"/>
  <c r="B111" i="26"/>
  <c r="B110" i="26"/>
  <c r="B109" i="26"/>
  <c r="B108" i="26"/>
  <c r="B107" i="26"/>
  <c r="B106" i="26"/>
  <c r="B105" i="26"/>
  <c r="D99" i="26"/>
  <c r="B66" i="26"/>
  <c r="B65" i="26"/>
  <c r="B64" i="26"/>
  <c r="B63" i="26"/>
  <c r="B62" i="26"/>
  <c r="B61" i="26"/>
  <c r="B60" i="26"/>
  <c r="B59" i="26"/>
  <c r="D53" i="26"/>
  <c r="E223" i="26"/>
  <c r="D266" i="26"/>
  <c r="D200" i="26"/>
  <c r="D233" i="26"/>
  <c r="F53" i="26"/>
  <c r="E144" i="26"/>
  <c r="E256" i="26"/>
  <c r="E99" i="26"/>
  <c r="E393" i="26"/>
  <c r="E190" i="26"/>
  <c r="F190" i="26"/>
  <c r="E360" i="26"/>
  <c r="E322" i="26"/>
  <c r="G289" i="26"/>
  <c r="G256" i="26"/>
  <c r="F322" i="26"/>
  <c r="F144" i="26"/>
  <c r="E53" i="26"/>
  <c r="E289" i="26"/>
  <c r="F289" i="26"/>
  <c r="F223" i="26"/>
  <c r="F360" i="26"/>
  <c r="G393" i="26"/>
  <c r="F256" i="26"/>
  <c r="F99" i="26"/>
  <c r="F393" i="26"/>
  <c r="G99" i="26"/>
  <c r="G190" i="26"/>
  <c r="G53" i="26"/>
  <c r="G144" i="26"/>
  <c r="G223" i="26"/>
  <c r="G360" i="26"/>
  <c r="G322" i="26"/>
  <c r="H256" i="26"/>
  <c r="H53" i="26"/>
  <c r="H190" i="26"/>
  <c r="H322" i="26"/>
  <c r="H360" i="26"/>
  <c r="H289" i="26"/>
  <c r="H99" i="26"/>
  <c r="H393" i="26"/>
  <c r="H223" i="26"/>
  <c r="H144" i="26"/>
  <c r="I393" i="26"/>
  <c r="I190" i="26"/>
  <c r="I322" i="26"/>
  <c r="I99" i="26"/>
  <c r="I289" i="26"/>
  <c r="I223" i="26"/>
  <c r="I360" i="26"/>
  <c r="I256" i="26"/>
  <c r="I53" i="26"/>
  <c r="I144" i="26"/>
  <c r="J144" i="26"/>
  <c r="J360" i="26"/>
  <c r="J393" i="26"/>
  <c r="J190" i="26"/>
  <c r="J53" i="26"/>
  <c r="J99" i="26"/>
  <c r="J289" i="26"/>
  <c r="J223" i="26"/>
  <c r="J256" i="26"/>
  <c r="J322" i="26"/>
  <c r="K190" i="26"/>
  <c r="K223" i="26"/>
  <c r="K322" i="26"/>
  <c r="K53" i="26"/>
  <c r="K289" i="26"/>
  <c r="K360" i="26"/>
  <c r="K393" i="26"/>
  <c r="K256" i="26"/>
  <c r="K99" i="26"/>
  <c r="K144" i="26"/>
  <c r="L190" i="26"/>
  <c r="L99" i="26"/>
  <c r="L289" i="26"/>
  <c r="L360" i="26"/>
  <c r="L144" i="26"/>
  <c r="L223" i="26"/>
  <c r="L393" i="26"/>
  <c r="L256" i="26"/>
  <c r="L53" i="26"/>
  <c r="L322" i="26"/>
  <c r="M99" i="26"/>
  <c r="M289" i="26"/>
  <c r="M223" i="26"/>
  <c r="M322" i="26"/>
  <c r="M256" i="26"/>
  <c r="M53" i="26"/>
  <c r="M360" i="26"/>
  <c r="M190" i="26"/>
  <c r="M393" i="26"/>
  <c r="M144" i="26"/>
  <c r="N256" i="26"/>
  <c r="N360" i="26"/>
  <c r="N289" i="26"/>
  <c r="N322" i="26"/>
  <c r="N144" i="26"/>
  <c r="N393" i="26"/>
  <c r="N190" i="26"/>
  <c r="N223" i="26"/>
  <c r="N99" i="26"/>
  <c r="N53" i="26"/>
  <c r="O53" i="26"/>
  <c r="O289" i="26"/>
  <c r="O223" i="26"/>
  <c r="O360" i="26"/>
  <c r="O256" i="26"/>
  <c r="O190" i="26"/>
  <c r="O322" i="26"/>
  <c r="O144" i="26"/>
  <c r="O393" i="26"/>
  <c r="O99" i="26"/>
  <c r="P223" i="26"/>
  <c r="P289" i="26"/>
  <c r="P190" i="26"/>
  <c r="P360" i="26"/>
  <c r="P256" i="26"/>
  <c r="P322" i="26"/>
  <c r="P393" i="26"/>
  <c r="P144" i="26"/>
  <c r="P53" i="26"/>
  <c r="P99" i="26"/>
  <c r="D125" i="26"/>
  <c r="D74" i="26"/>
  <c r="D77" i="26" s="1"/>
  <c r="D33" i="26"/>
  <c r="F164" i="26" l="1"/>
  <c r="G164" i="26" s="1"/>
  <c r="H164" i="26" s="1"/>
  <c r="I164" i="26" s="1"/>
  <c r="J164" i="26" s="1"/>
  <c r="K164" i="26" s="1"/>
  <c r="L164" i="26" s="1"/>
  <c r="M164" i="26" s="1"/>
  <c r="N164" i="26" s="1"/>
  <c r="O164" i="26" s="1"/>
  <c r="P164" i="26" s="1"/>
  <c r="E66" i="26"/>
  <c r="J110" i="26"/>
  <c r="K110" i="26" s="1"/>
  <c r="L110" i="26" s="1"/>
  <c r="M110" i="26" s="1"/>
  <c r="N110" i="26" s="1"/>
  <c r="O110" i="26" s="1"/>
  <c r="P110" i="26" s="1"/>
  <c r="F22" i="26"/>
  <c r="G22" i="26" s="1"/>
  <c r="E158" i="26"/>
  <c r="J107" i="26"/>
  <c r="K107" i="26" s="1"/>
  <c r="L107" i="26" s="1"/>
  <c r="M107" i="26" s="1"/>
  <c r="N107" i="26" s="1"/>
  <c r="O107" i="26" s="1"/>
  <c r="P107" i="26" s="1"/>
  <c r="E72" i="26"/>
  <c r="F113" i="26"/>
  <c r="G113" i="26" s="1"/>
  <c r="I113" i="26" s="1"/>
  <c r="J113" i="26" s="1"/>
  <c r="K113" i="26" s="1"/>
  <c r="L113" i="26" s="1"/>
  <c r="M113" i="26" s="1"/>
  <c r="N113" i="26" s="1"/>
  <c r="O113" i="26" s="1"/>
  <c r="P113" i="26" s="1"/>
  <c r="Q109" i="26"/>
  <c r="S28" i="33" s="1"/>
  <c r="F423" i="26"/>
  <c r="G423" i="26" s="1"/>
  <c r="H423" i="26" s="1"/>
  <c r="I423" i="26" s="1"/>
  <c r="J423" i="26" s="1"/>
  <c r="K423" i="26" s="1"/>
  <c r="L423" i="26" s="1"/>
  <c r="M423" i="26" s="1"/>
  <c r="N423" i="26" s="1"/>
  <c r="O423" i="26" s="1"/>
  <c r="P423" i="26" s="1"/>
  <c r="F422" i="26"/>
  <c r="G422" i="26" s="1"/>
  <c r="H422" i="26" s="1"/>
  <c r="I422" i="26" s="1"/>
  <c r="J422" i="26" s="1"/>
  <c r="K422" i="26" s="1"/>
  <c r="L422" i="26" s="1"/>
  <c r="M422" i="26" s="1"/>
  <c r="N422" i="26" s="1"/>
  <c r="O422" i="26" s="1"/>
  <c r="P422" i="26" s="1"/>
  <c r="F112" i="26"/>
  <c r="G112" i="26" s="1"/>
  <c r="I112" i="26" s="1"/>
  <c r="J112" i="26" s="1"/>
  <c r="K112" i="26" s="1"/>
  <c r="L112" i="26" s="1"/>
  <c r="M112" i="26" s="1"/>
  <c r="N112" i="26" s="1"/>
  <c r="O112" i="26" s="1"/>
  <c r="G195" i="26"/>
  <c r="H195" i="26" s="1"/>
  <c r="H200" i="26" s="1"/>
  <c r="F294" i="26"/>
  <c r="F299" i="26" s="1"/>
  <c r="F200" i="26"/>
  <c r="E200" i="26"/>
  <c r="D168" i="26"/>
  <c r="E67" i="26"/>
  <c r="E294" i="26"/>
  <c r="F118" i="26"/>
  <c r="G118" i="26" s="1"/>
  <c r="H118" i="26" s="1"/>
  <c r="I118" i="26" s="1"/>
  <c r="J118" i="26" s="1"/>
  <c r="K118" i="26" s="1"/>
  <c r="L118" i="26" s="1"/>
  <c r="M118" i="26" s="1"/>
  <c r="N118" i="26" s="1"/>
  <c r="O118" i="26" s="1"/>
  <c r="P118" i="26" s="1"/>
  <c r="E59" i="26"/>
  <c r="F59" i="26" s="1"/>
  <c r="G59" i="26" s="1"/>
  <c r="E125" i="26"/>
  <c r="E65" i="26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I108" i="26"/>
  <c r="H61" i="26"/>
  <c r="I61" i="26" s="1"/>
  <c r="J61" i="26" s="1"/>
  <c r="K61" i="26" s="1"/>
  <c r="L61" i="26" s="1"/>
  <c r="M61" i="26" s="1"/>
  <c r="N61" i="26" s="1"/>
  <c r="O61" i="26" s="1"/>
  <c r="P61" i="26" s="1"/>
  <c r="E155" i="26"/>
  <c r="E153" i="26"/>
  <c r="F64" i="26"/>
  <c r="G64" i="26" s="1"/>
  <c r="E63" i="26"/>
  <c r="F63" i="26" s="1"/>
  <c r="G63" i="26" s="1"/>
  <c r="H63" i="26" s="1"/>
  <c r="I63" i="26" s="1"/>
  <c r="J63" i="26" s="1"/>
  <c r="K63" i="26" s="1"/>
  <c r="L63" i="26" s="1"/>
  <c r="M63" i="26" s="1"/>
  <c r="N63" i="26" s="1"/>
  <c r="O63" i="26" s="1"/>
  <c r="E157" i="26"/>
  <c r="E151" i="26"/>
  <c r="F20" i="26"/>
  <c r="E226" i="26"/>
  <c r="E266" i="26"/>
  <c r="G155" i="26"/>
  <c r="H19" i="26"/>
  <c r="I19" i="26" s="1"/>
  <c r="F261" i="26"/>
  <c r="F16" i="26"/>
  <c r="G16" i="26" s="1"/>
  <c r="E152" i="26"/>
  <c r="G17" i="26"/>
  <c r="H17" i="26" s="1"/>
  <c r="F153" i="26"/>
  <c r="E60" i="26"/>
  <c r="P111" i="26"/>
  <c r="F150" i="26"/>
  <c r="G14" i="26"/>
  <c r="E33" i="26"/>
  <c r="F155" i="26"/>
  <c r="E150" i="26"/>
  <c r="F18" i="26"/>
  <c r="E154" i="26"/>
  <c r="G15" i="26"/>
  <c r="F151" i="26"/>
  <c r="G21" i="26"/>
  <c r="F157" i="26"/>
  <c r="E406" i="26"/>
  <c r="E403" i="26"/>
  <c r="F421" i="26"/>
  <c r="G421" i="26" s="1"/>
  <c r="H421" i="26" s="1"/>
  <c r="I421" i="26" s="1"/>
  <c r="J421" i="26" s="1"/>
  <c r="K421" i="26" s="1"/>
  <c r="L421" i="26" s="1"/>
  <c r="M421" i="26" s="1"/>
  <c r="N421" i="26" s="1"/>
  <c r="O421" i="26" s="1"/>
  <c r="P421" i="26" s="1"/>
  <c r="F158" i="26" l="1"/>
  <c r="Q111" i="26"/>
  <c r="S30" i="33" s="1"/>
  <c r="Q107" i="26"/>
  <c r="S24" i="33" s="1"/>
  <c r="Q110" i="26"/>
  <c r="S29" i="33" s="1"/>
  <c r="F403" i="26"/>
  <c r="G403" i="26" s="1"/>
  <c r="H403" i="26" s="1"/>
  <c r="I403" i="26" s="1"/>
  <c r="J403" i="26" s="1"/>
  <c r="E299" i="26"/>
  <c r="F67" i="26"/>
  <c r="G67" i="26" s="1"/>
  <c r="H67" i="26" s="1"/>
  <c r="I67" i="26" s="1"/>
  <c r="J67" i="26" s="1"/>
  <c r="K67" i="26" s="1"/>
  <c r="L67" i="26" s="1"/>
  <c r="M67" i="26" s="1"/>
  <c r="N67" i="26" s="1"/>
  <c r="O67" i="26" s="1"/>
  <c r="P67" i="26" s="1"/>
  <c r="J108" i="26"/>
  <c r="K108" i="26" s="1"/>
  <c r="L108" i="26" s="1"/>
  <c r="M108" i="26" s="1"/>
  <c r="N108" i="26" s="1"/>
  <c r="O108" i="26" s="1"/>
  <c r="P108" i="26" s="1"/>
  <c r="Q113" i="26"/>
  <c r="S32" i="33" s="1"/>
  <c r="Q118" i="26"/>
  <c r="Q164" i="26"/>
  <c r="Q61" i="26"/>
  <c r="Y24" i="33" s="1"/>
  <c r="P112" i="26"/>
  <c r="F66" i="26"/>
  <c r="G66" i="26" s="1"/>
  <c r="H66" i="26" s="1"/>
  <c r="I66" i="26" s="1"/>
  <c r="J66" i="26" s="1"/>
  <c r="K66" i="26" s="1"/>
  <c r="L66" i="26" s="1"/>
  <c r="M66" i="26" s="1"/>
  <c r="N66" i="26" s="1"/>
  <c r="O66" i="26" s="1"/>
  <c r="D409" i="26"/>
  <c r="D413" i="26"/>
  <c r="D411" i="26"/>
  <c r="H64" i="26"/>
  <c r="I64" i="26" s="1"/>
  <c r="J64" i="26" s="1"/>
  <c r="K64" i="26" s="1"/>
  <c r="L64" i="26" s="1"/>
  <c r="M64" i="26" s="1"/>
  <c r="N64" i="26" s="1"/>
  <c r="O64" i="26" s="1"/>
  <c r="P64" i="26" s="1"/>
  <c r="I195" i="26"/>
  <c r="I200" i="26" s="1"/>
  <c r="G294" i="26"/>
  <c r="G299" i="26" s="1"/>
  <c r="G200" i="26"/>
  <c r="H294" i="26"/>
  <c r="H299" i="26" s="1"/>
  <c r="F72" i="26"/>
  <c r="G72" i="26" s="1"/>
  <c r="H72" i="26" s="1"/>
  <c r="I72" i="26" s="1"/>
  <c r="J72" i="26" s="1"/>
  <c r="K72" i="26" s="1"/>
  <c r="L72" i="26" s="1"/>
  <c r="M72" i="26" s="1"/>
  <c r="N72" i="26" s="1"/>
  <c r="O72" i="26" s="1"/>
  <c r="P72" i="26" s="1"/>
  <c r="F62" i="26"/>
  <c r="G62" i="26" s="1"/>
  <c r="H62" i="26" s="1"/>
  <c r="I62" i="26" s="1"/>
  <c r="H155" i="26"/>
  <c r="F152" i="26"/>
  <c r="G20" i="26"/>
  <c r="F156" i="26"/>
  <c r="G153" i="26"/>
  <c r="F60" i="26"/>
  <c r="E74" i="26"/>
  <c r="I17" i="26"/>
  <c r="H153" i="26"/>
  <c r="I105" i="26"/>
  <c r="I294" i="26"/>
  <c r="I299" i="26" s="1"/>
  <c r="F125" i="26"/>
  <c r="H59" i="26"/>
  <c r="P63" i="26"/>
  <c r="G261" i="26"/>
  <c r="F266" i="26"/>
  <c r="F226" i="26"/>
  <c r="E233" i="26"/>
  <c r="P65" i="26"/>
  <c r="G157" i="26"/>
  <c r="H21" i="26"/>
  <c r="E168" i="26"/>
  <c r="G151" i="26"/>
  <c r="H15" i="26"/>
  <c r="G18" i="26"/>
  <c r="F154" i="26"/>
  <c r="G158" i="26"/>
  <c r="H22" i="26"/>
  <c r="I155" i="26"/>
  <c r="J19" i="26"/>
  <c r="H14" i="26"/>
  <c r="G150" i="26"/>
  <c r="F33" i="26"/>
  <c r="H16" i="26"/>
  <c r="G152" i="26"/>
  <c r="F406" i="26"/>
  <c r="Q65" i="26" l="1"/>
  <c r="Y30" i="33" s="1"/>
  <c r="Q112" i="26"/>
  <c r="S31" i="33" s="1"/>
  <c r="J195" i="26"/>
  <c r="K195" i="26" s="1"/>
  <c r="J62" i="26"/>
  <c r="K62" i="26" s="1"/>
  <c r="L62" i="26" s="1"/>
  <c r="M62" i="26" s="1"/>
  <c r="N62" i="26" s="1"/>
  <c r="O62" i="26" s="1"/>
  <c r="P62" i="26" s="1"/>
  <c r="Q62" i="26" s="1"/>
  <c r="Y27" i="33" s="1"/>
  <c r="Q108" i="26"/>
  <c r="S27" i="33" s="1"/>
  <c r="P66" i="26"/>
  <c r="Q63" i="26"/>
  <c r="Y28" i="33" s="1"/>
  <c r="Q67" i="26"/>
  <c r="Y32" i="33" s="1"/>
  <c r="Q72" i="26"/>
  <c r="Q64" i="26"/>
  <c r="Y29" i="33" s="1"/>
  <c r="G406" i="26"/>
  <c r="H406" i="26" s="1"/>
  <c r="I406" i="26" s="1"/>
  <c r="J406" i="26" s="1"/>
  <c r="F168" i="26"/>
  <c r="G156" i="26"/>
  <c r="H20" i="26"/>
  <c r="J105" i="26"/>
  <c r="J17" i="26"/>
  <c r="I153" i="26"/>
  <c r="I59" i="26"/>
  <c r="G60" i="26"/>
  <c r="F74" i="26"/>
  <c r="F233" i="26"/>
  <c r="G226" i="26"/>
  <c r="H261" i="26"/>
  <c r="G266" i="26"/>
  <c r="G125" i="26"/>
  <c r="K19" i="26"/>
  <c r="J155" i="26"/>
  <c r="I14" i="26"/>
  <c r="H150" i="26"/>
  <c r="I16" i="26"/>
  <c r="H152" i="26"/>
  <c r="I22" i="26"/>
  <c r="H158" i="26"/>
  <c r="H18" i="26"/>
  <c r="G154" i="26"/>
  <c r="I21" i="26"/>
  <c r="H157" i="26"/>
  <c r="G33" i="26"/>
  <c r="I15" i="26"/>
  <c r="H151" i="26"/>
  <c r="K403" i="26"/>
  <c r="L403" i="26" s="1"/>
  <c r="M403" i="26" s="1"/>
  <c r="N403" i="26" s="1"/>
  <c r="O403" i="26" s="1"/>
  <c r="J294" i="26" l="1"/>
  <c r="J299" i="26" s="1"/>
  <c r="Q66" i="26"/>
  <c r="Y31" i="33" s="1"/>
  <c r="J200" i="26"/>
  <c r="K406" i="26"/>
  <c r="L406" i="26" s="1"/>
  <c r="M406" i="26" s="1"/>
  <c r="N406" i="26" s="1"/>
  <c r="O406" i="26" s="1"/>
  <c r="P406" i="26" s="1"/>
  <c r="G168" i="26"/>
  <c r="I20" i="26"/>
  <c r="H156" i="26"/>
  <c r="I106" i="26"/>
  <c r="H125" i="26"/>
  <c r="J59" i="26"/>
  <c r="K17" i="26"/>
  <c r="J153" i="26"/>
  <c r="K294" i="26"/>
  <c r="K299" i="26" s="1"/>
  <c r="L195" i="26"/>
  <c r="K200" i="26"/>
  <c r="H266" i="26"/>
  <c r="I261" i="26"/>
  <c r="H226" i="26"/>
  <c r="G233" i="26"/>
  <c r="H60" i="26"/>
  <c r="G74" i="26"/>
  <c r="K105" i="26"/>
  <c r="I18" i="26"/>
  <c r="H154" i="26"/>
  <c r="J14" i="26"/>
  <c r="I150" i="26"/>
  <c r="J15" i="26"/>
  <c r="I151" i="26"/>
  <c r="L19" i="26"/>
  <c r="K155" i="26"/>
  <c r="J21" i="26"/>
  <c r="I157" i="26"/>
  <c r="I158" i="26"/>
  <c r="J22" i="26"/>
  <c r="J16" i="26"/>
  <c r="I152" i="26"/>
  <c r="H33" i="26"/>
  <c r="P403" i="26"/>
  <c r="Q406" i="26" l="1"/>
  <c r="Q403" i="26"/>
  <c r="Q369" i="26"/>
  <c r="H168" i="26"/>
  <c r="I156" i="26"/>
  <c r="J20" i="26"/>
  <c r="I226" i="26"/>
  <c r="H233" i="26"/>
  <c r="M195" i="26"/>
  <c r="L294" i="26"/>
  <c r="L200" i="26"/>
  <c r="K59" i="26"/>
  <c r="I60" i="26"/>
  <c r="H74" i="26"/>
  <c r="L17" i="26"/>
  <c r="K153" i="26"/>
  <c r="L105" i="26"/>
  <c r="I266" i="26"/>
  <c r="J261" i="26"/>
  <c r="J106" i="26"/>
  <c r="I125" i="26"/>
  <c r="K15" i="26"/>
  <c r="J151" i="26"/>
  <c r="J18" i="26"/>
  <c r="I154" i="26"/>
  <c r="K16" i="26"/>
  <c r="J152" i="26"/>
  <c r="K21" i="26"/>
  <c r="J157" i="26"/>
  <c r="I33" i="26"/>
  <c r="K22" i="26"/>
  <c r="J158" i="26"/>
  <c r="M19" i="26"/>
  <c r="L155" i="26"/>
  <c r="J150" i="26"/>
  <c r="K14" i="26"/>
  <c r="L299" i="26" l="1"/>
  <c r="I168" i="26"/>
  <c r="J33" i="26"/>
  <c r="J156" i="26"/>
  <c r="K20" i="26"/>
  <c r="J60" i="26"/>
  <c r="I74" i="26"/>
  <c r="L153" i="26"/>
  <c r="M17" i="26"/>
  <c r="K106" i="26"/>
  <c r="J125" i="26"/>
  <c r="L59" i="26"/>
  <c r="N195" i="26"/>
  <c r="M200" i="26"/>
  <c r="M294" i="26"/>
  <c r="M299" i="26" s="1"/>
  <c r="M105" i="26"/>
  <c r="K261" i="26"/>
  <c r="L261" i="26" s="1"/>
  <c r="J266" i="26"/>
  <c r="J226" i="26"/>
  <c r="I233" i="26"/>
  <c r="M155" i="26"/>
  <c r="N19" i="26"/>
  <c r="K158" i="26"/>
  <c r="L22" i="26"/>
  <c r="K152" i="26"/>
  <c r="L16" i="26"/>
  <c r="K151" i="26"/>
  <c r="L15" i="26"/>
  <c r="L14" i="26"/>
  <c r="K150" i="26"/>
  <c r="L21" i="26"/>
  <c r="K157" i="26"/>
  <c r="K18" i="26"/>
  <c r="J154" i="26"/>
  <c r="K226" i="26" l="1"/>
  <c r="K33" i="26"/>
  <c r="J168" i="26"/>
  <c r="L20" i="26"/>
  <c r="K156" i="26"/>
  <c r="N105" i="26"/>
  <c r="L106" i="26"/>
  <c r="K125" i="26"/>
  <c r="K60" i="26"/>
  <c r="J74" i="26"/>
  <c r="N294" i="26"/>
  <c r="N299" i="26" s="1"/>
  <c r="N200" i="26"/>
  <c r="O195" i="26"/>
  <c r="N17" i="26"/>
  <c r="M153" i="26"/>
  <c r="M59" i="26"/>
  <c r="J233" i="26"/>
  <c r="K266" i="26"/>
  <c r="M16" i="26"/>
  <c r="L152" i="26"/>
  <c r="O19" i="26"/>
  <c r="N155" i="26"/>
  <c r="M21" i="26"/>
  <c r="L157" i="26"/>
  <c r="L150" i="26"/>
  <c r="M14" i="26"/>
  <c r="M15" i="26"/>
  <c r="L151" i="26"/>
  <c r="M22" i="26"/>
  <c r="L158" i="26"/>
  <c r="L18" i="26"/>
  <c r="K154" i="26"/>
  <c r="K168" i="26" l="1"/>
  <c r="M20" i="26"/>
  <c r="L156" i="26"/>
  <c r="L226" i="26"/>
  <c r="K233" i="26"/>
  <c r="M106" i="26"/>
  <c r="L125" i="26"/>
  <c r="L266" i="26"/>
  <c r="M261" i="26"/>
  <c r="O17" i="26"/>
  <c r="N153" i="26"/>
  <c r="N59" i="26"/>
  <c r="P195" i="26"/>
  <c r="O200" i="26"/>
  <c r="O294" i="26"/>
  <c r="O299" i="26" s="1"/>
  <c r="L60" i="26"/>
  <c r="K74" i="26"/>
  <c r="O105" i="26"/>
  <c r="L154" i="26"/>
  <c r="M18" i="26"/>
  <c r="N22" i="26"/>
  <c r="M158" i="26"/>
  <c r="L33" i="26"/>
  <c r="N21" i="26"/>
  <c r="M157" i="26"/>
  <c r="N14" i="26"/>
  <c r="M150" i="26"/>
  <c r="O155" i="26"/>
  <c r="P19" i="26"/>
  <c r="N15" i="26"/>
  <c r="M151" i="26"/>
  <c r="N16" i="26"/>
  <c r="M152" i="26"/>
  <c r="Q19" i="26" l="1"/>
  <c r="I29" i="33" s="1"/>
  <c r="M29" i="33" s="1"/>
  <c r="Q195" i="26"/>
  <c r="Q200" i="26"/>
  <c r="G19" i="34"/>
  <c r="L168" i="26"/>
  <c r="N20" i="26"/>
  <c r="M156" i="26"/>
  <c r="O59" i="26"/>
  <c r="N106" i="26"/>
  <c r="M125" i="26"/>
  <c r="P294" i="26"/>
  <c r="P200" i="26"/>
  <c r="M266" i="26"/>
  <c r="N261" i="26"/>
  <c r="P105" i="26"/>
  <c r="M60" i="26"/>
  <c r="L74" i="26"/>
  <c r="P17" i="26"/>
  <c r="O153" i="26"/>
  <c r="M226" i="26"/>
  <c r="L233" i="26"/>
  <c r="N18" i="26"/>
  <c r="M154" i="26"/>
  <c r="O16" i="26"/>
  <c r="N152" i="26"/>
  <c r="P155" i="26"/>
  <c r="Q155" i="26" s="1"/>
  <c r="N150" i="26"/>
  <c r="O14" i="26"/>
  <c r="O22" i="26"/>
  <c r="N158" i="26"/>
  <c r="O21" i="26"/>
  <c r="N157" i="26"/>
  <c r="O15" i="26"/>
  <c r="N151" i="26"/>
  <c r="M33" i="26"/>
  <c r="Q29" i="33" l="1"/>
  <c r="Q17" i="26"/>
  <c r="I27" i="33" s="1"/>
  <c r="Q27" i="33" s="1"/>
  <c r="Q105" i="26"/>
  <c r="S22" i="33" s="1"/>
  <c r="P299" i="26"/>
  <c r="Q294" i="26"/>
  <c r="Q299" i="26" s="1"/>
  <c r="M168" i="26"/>
  <c r="N33" i="26"/>
  <c r="N156" i="26"/>
  <c r="O20" i="26"/>
  <c r="P153" i="26"/>
  <c r="Q153" i="26" s="1"/>
  <c r="O106" i="26"/>
  <c r="N125" i="26"/>
  <c r="N226" i="26"/>
  <c r="M233" i="26"/>
  <c r="N60" i="26"/>
  <c r="M74" i="26"/>
  <c r="N266" i="26"/>
  <c r="O261" i="26"/>
  <c r="P59" i="26"/>
  <c r="P16" i="26"/>
  <c r="O152" i="26"/>
  <c r="N154" i="26"/>
  <c r="O18" i="26"/>
  <c r="O151" i="26"/>
  <c r="P15" i="26"/>
  <c r="O158" i="26"/>
  <c r="P22" i="26"/>
  <c r="O157" i="26"/>
  <c r="P21" i="26"/>
  <c r="P14" i="26"/>
  <c r="O150" i="26"/>
  <c r="Q22" i="26" l="1"/>
  <c r="I32" i="33" s="1"/>
  <c r="Q59" i="26"/>
  <c r="Y22" i="33" s="1"/>
  <c r="Q16" i="26"/>
  <c r="I24" i="33" s="1"/>
  <c r="Q24" i="33" s="1"/>
  <c r="M27" i="33"/>
  <c r="Q14" i="26"/>
  <c r="I22" i="33" s="1"/>
  <c r="Q22" i="33" s="1"/>
  <c r="Q21" i="26"/>
  <c r="I31" i="33" s="1"/>
  <c r="M31" i="33" s="1"/>
  <c r="Q15" i="26"/>
  <c r="I23" i="33" s="1"/>
  <c r="Q23" i="33" s="1"/>
  <c r="Q32" i="33"/>
  <c r="M32" i="33"/>
  <c r="M22" i="33"/>
  <c r="O33" i="26"/>
  <c r="N168" i="26"/>
  <c r="P20" i="26"/>
  <c r="O156" i="26"/>
  <c r="O60" i="26"/>
  <c r="N74" i="26"/>
  <c r="P261" i="26"/>
  <c r="O266" i="26"/>
  <c r="N233" i="26"/>
  <c r="O226" i="26"/>
  <c r="P106" i="26"/>
  <c r="O125" i="26"/>
  <c r="P158" i="26"/>
  <c r="Q158" i="26" s="1"/>
  <c r="P152" i="26"/>
  <c r="Q152" i="26" s="1"/>
  <c r="P18" i="26"/>
  <c r="O154" i="26"/>
  <c r="P157" i="26"/>
  <c r="Q157" i="26" s="1"/>
  <c r="AC29" i="33"/>
  <c r="O29" i="33"/>
  <c r="P150" i="26"/>
  <c r="Q150" i="26" s="1"/>
  <c r="P151" i="26"/>
  <c r="Q151" i="26" s="1"/>
  <c r="Q31" i="33" l="1"/>
  <c r="M24" i="33"/>
  <c r="Q106" i="26"/>
  <c r="S23" i="33" s="1"/>
  <c r="M23" i="33" s="1"/>
  <c r="Q20" i="26"/>
  <c r="I30" i="33" s="1"/>
  <c r="M30" i="33" s="1"/>
  <c r="Q18" i="26"/>
  <c r="Q261" i="26"/>
  <c r="Q266" i="26"/>
  <c r="P33" i="26"/>
  <c r="O168" i="26"/>
  <c r="P156" i="26"/>
  <c r="Q156" i="26" s="1"/>
  <c r="P226" i="26"/>
  <c r="O233" i="26"/>
  <c r="P266" i="26"/>
  <c r="P60" i="26"/>
  <c r="O74" i="26"/>
  <c r="O33" i="33"/>
  <c r="AC33" i="33"/>
  <c r="P125" i="26"/>
  <c r="P154" i="26"/>
  <c r="Q154" i="26" s="1"/>
  <c r="Q125" i="26" l="1"/>
  <c r="Q30" i="33"/>
  <c r="Q33" i="26"/>
  <c r="Q168" i="26"/>
  <c r="Q60" i="26"/>
  <c r="Q74" i="26" s="1"/>
  <c r="Q226" i="26"/>
  <c r="K19" i="34" s="1"/>
  <c r="I28" i="33"/>
  <c r="Q28" i="33" s="1"/>
  <c r="Q233" i="26"/>
  <c r="P168" i="26"/>
  <c r="P74" i="26"/>
  <c r="P233" i="26"/>
  <c r="Y23" i="33" l="1"/>
  <c r="M28" i="33"/>
  <c r="P77" i="26"/>
  <c r="G24" i="34" l="1"/>
  <c r="O27" i="33" l="1"/>
  <c r="AC27" i="33"/>
  <c r="S38" i="33" l="1"/>
  <c r="AC31" i="33"/>
  <c r="O31" i="33"/>
  <c r="AC32" i="33"/>
  <c r="O32" i="33"/>
  <c r="O22" i="33"/>
  <c r="AC22" i="33"/>
  <c r="O24" i="33"/>
  <c r="AC24" i="33"/>
  <c r="I38" i="33" l="1"/>
  <c r="O23" i="33"/>
  <c r="O30" i="33"/>
  <c r="AC30" i="33"/>
  <c r="O28" i="33"/>
  <c r="AC28" i="33"/>
  <c r="O38" i="33" l="1"/>
  <c r="Q38" i="33"/>
  <c r="K24" i="34"/>
  <c r="O19" i="34"/>
  <c r="Y38" i="33"/>
  <c r="AC23" i="33"/>
  <c r="AC38" i="33" s="1"/>
  <c r="F18" i="35" s="1"/>
  <c r="O24" i="34" l="1"/>
  <c r="F20" i="35" s="1"/>
  <c r="J373" i="26" l="1"/>
  <c r="K373" i="26" l="1"/>
  <c r="L373" i="26" l="1"/>
  <c r="M373" i="26" l="1"/>
  <c r="N373" i="26" l="1"/>
  <c r="O373" i="26" l="1"/>
  <c r="P373" i="26" l="1"/>
  <c r="Q371" i="26"/>
  <c r="Q373" i="26" s="1"/>
  <c r="F22" i="35" s="1"/>
  <c r="F24" i="35" s="1"/>
  <c r="H18" i="35" l="1"/>
  <c r="H16" i="35"/>
  <c r="H20" i="35"/>
  <c r="H22" i="35" l="1"/>
  <c r="H24" i="35" s="1"/>
</calcChain>
</file>

<file path=xl/comments1.xml><?xml version="1.0" encoding="utf-8"?>
<comments xmlns="http://schemas.openxmlformats.org/spreadsheetml/2006/main">
  <authors>
    <author>RUNGRESW</author>
  </authors>
  <commentList>
    <comment ref="M160" authorId="0" shapeId="0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Issuance occurred mid-September.</t>
        </r>
      </text>
    </comment>
  </commentList>
</comments>
</file>

<file path=xl/sharedStrings.xml><?xml version="1.0" encoding="utf-8"?>
<sst xmlns="http://schemas.openxmlformats.org/spreadsheetml/2006/main" count="625" uniqueCount="201">
  <si>
    <t>Common Equity</t>
  </si>
  <si>
    <t>Preferred Stock</t>
  </si>
  <si>
    <t>KENTUCKY-AMERICAN WATER COMPANY</t>
  </si>
  <si>
    <t>Net</t>
  </si>
  <si>
    <t>Line</t>
  </si>
  <si>
    <t>Class of</t>
  </si>
  <si>
    <t>Carrying</t>
  </si>
  <si>
    <t>Average</t>
  </si>
  <si>
    <t>No.</t>
  </si>
  <si>
    <t>Capital</t>
  </si>
  <si>
    <t>Amount</t>
  </si>
  <si>
    <t>% of Total</t>
  </si>
  <si>
    <t>Cost Rate</t>
  </si>
  <si>
    <t>Short-Term Debt</t>
  </si>
  <si>
    <t>Long-Term Debt</t>
  </si>
  <si>
    <t>Interest</t>
  </si>
  <si>
    <t>Issue</t>
  </si>
  <si>
    <t>Outstanding</t>
  </si>
  <si>
    <t>Rate</t>
  </si>
  <si>
    <t>Annual Amort.</t>
  </si>
  <si>
    <t>Unamortized</t>
  </si>
  <si>
    <t>Debt Issue</t>
  </si>
  <si>
    <t>Maturity</t>
  </si>
  <si>
    <t>Annualized</t>
  </si>
  <si>
    <t>Principal</t>
  </si>
  <si>
    <t>of Issue</t>
  </si>
  <si>
    <t>Type &amp; Rate</t>
  </si>
  <si>
    <t>Date</t>
  </si>
  <si>
    <t>at Issue</t>
  </si>
  <si>
    <t>at Maturity</t>
  </si>
  <si>
    <t>Expense</t>
  </si>
  <si>
    <t>Premium</t>
  </si>
  <si>
    <t>Debt Expense</t>
  </si>
  <si>
    <t>Gain/Loss</t>
  </si>
  <si>
    <t>Value</t>
  </si>
  <si>
    <t>General Mortgage Bonds:</t>
  </si>
  <si>
    <t>Total Long-Term Debt and Annualized Cost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</si>
  <si>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</si>
  <si>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</si>
  <si>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</si>
  <si>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</si>
  <si>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</si>
  <si>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</si>
  <si>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</si>
  <si>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</si>
  <si>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</si>
  <si>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8.47% Series, $100 Par</t>
  </si>
  <si>
    <t>Total</t>
  </si>
  <si>
    <t>Type &amp;</t>
  </si>
  <si>
    <t>Balance @</t>
  </si>
  <si>
    <t xml:space="preserve">  TOTAL</t>
  </si>
  <si>
    <t>UNAMORTIZED DEBT EXPENSE</t>
  </si>
  <si>
    <t>LONG TERM DEBT EXPENSE AMORTIZATION</t>
  </si>
  <si>
    <t>Amount @</t>
  </si>
  <si>
    <t>Test Period</t>
  </si>
  <si>
    <t>INTEREST ON LONG TERM DEBT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</si>
  <si>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</si>
  <si>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</si>
  <si>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</si>
  <si>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</si>
  <si>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</si>
  <si>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COMMON EQUITY</t>
  </si>
  <si>
    <t>JDITC</t>
  </si>
  <si>
    <t>DEFERRED ITC (JDITC - 4% AND 10%)</t>
  </si>
  <si>
    <t>DEFERRED ITC - 3%</t>
  </si>
  <si>
    <t>ANNUAL AMORTIZATION OF 3% ITC</t>
  </si>
  <si>
    <t>ANNUAL AMORTIZATION OF 4% ITC</t>
  </si>
  <si>
    <t>ANNUAL AMORTIZATION OF 10% ITC</t>
  </si>
  <si>
    <t xml:space="preserve">    Series 8.5% w/o over life of 6.96% issue</t>
  </si>
  <si>
    <t>BD120016</t>
  </si>
  <si>
    <t>BD120018</t>
  </si>
  <si>
    <t>BD120019</t>
  </si>
  <si>
    <t>BD120026</t>
  </si>
  <si>
    <t>BD120027</t>
  </si>
  <si>
    <t>BD120028</t>
  </si>
  <si>
    <t>BD120029</t>
  </si>
  <si>
    <t>BD120023</t>
  </si>
  <si>
    <t>BD120030</t>
  </si>
  <si>
    <t xml:space="preserve">    Amortize Gain on Loan Payoff (Outside)</t>
  </si>
  <si>
    <t>Retained Earnings</t>
  </si>
  <si>
    <t>GENERAL MORTGAGE BONDS &amp; NOTES PAYABLE</t>
  </si>
  <si>
    <t xml:space="preserve">    Series 6.593%  Note</t>
  </si>
  <si>
    <t xml:space="preserve">    Series 5.625%  Note</t>
  </si>
  <si>
    <t xml:space="preserve">    Series 5.375%  Note</t>
  </si>
  <si>
    <t xml:space="preserve">    Series 5.05%    Note</t>
  </si>
  <si>
    <t xml:space="preserve">    Series 6.25%    Note</t>
  </si>
  <si>
    <t xml:space="preserve">    Series 6.96%   GMB</t>
  </si>
  <si>
    <t xml:space="preserve">    Series 7.15%   GMB</t>
  </si>
  <si>
    <t xml:space="preserve">    Series 6.99%   GMB</t>
  </si>
  <si>
    <t>Common Stock</t>
  </si>
  <si>
    <t>Average Net</t>
  </si>
  <si>
    <t>Carrying Amount</t>
  </si>
  <si>
    <t>Page 1 of 1</t>
  </si>
  <si>
    <t>LONG TERM DEBT FACE AMOUNT OUTSTANDING</t>
  </si>
  <si>
    <t xml:space="preserve">    Series 4.00%    Note</t>
  </si>
  <si>
    <t>BD120031</t>
  </si>
  <si>
    <t>Period</t>
  </si>
  <si>
    <t>Debit</t>
  </si>
  <si>
    <t>Credit</t>
  </si>
  <si>
    <t>Balance</t>
  </si>
  <si>
    <t>Cumulative balance</t>
  </si>
  <si>
    <t>Bal.Carryforward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</si>
  <si>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</si>
  <si>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</si>
  <si>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</si>
  <si>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</si>
  <si>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</si>
  <si>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</si>
  <si>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</si>
  <si>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</si>
  <si>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</si>
  <si>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</si>
  <si>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</si>
  <si>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</si>
  <si>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 xml:space="preserve">Account 25510100 </t>
  </si>
  <si>
    <t>Unamortized ITC - 3%</t>
  </si>
  <si>
    <t xml:space="preserve">Account 25510200 </t>
  </si>
  <si>
    <t>Unamortized ITC - 4%</t>
  </si>
  <si>
    <t>Unamortized ITC - 10%</t>
  </si>
  <si>
    <t xml:space="preserve">Account 25510300 </t>
  </si>
  <si>
    <t>SHORT-TERM DEBT (23121000)</t>
  </si>
  <si>
    <t>Paid In Capital</t>
  </si>
  <si>
    <t>Kentucky-American Water Company Capital Structure Workpaper Notes</t>
  </si>
  <si>
    <t xml:space="preserve">The interest account 81010000 on the GL includes a ($10,875.79) credit each month to 'Amortize Gain on Loan Payoff' that </t>
  </si>
  <si>
    <t xml:space="preserve">       reduces the interest expense.</t>
  </si>
  <si>
    <t>This adj is included in the file as the annualized amount of $130,509 (or $10,875.79 x 12).</t>
  </si>
  <si>
    <t>Note that the following Notes Payable Series are tax exempt per Corp Treasury 6.25%, 5.625%, 5.375%.</t>
  </si>
  <si>
    <t>Note that there is an ongoing amortization of the Unamortized Debt for the 6.96% Series (BD120023).</t>
  </si>
  <si>
    <t>Def ITC Accts in SAP:</t>
  </si>
  <si>
    <t xml:space="preserve">Unamort. </t>
  </si>
  <si>
    <t>Amort</t>
  </si>
  <si>
    <t>Instrument</t>
  </si>
  <si>
    <t>Subledger</t>
  </si>
  <si>
    <t>Liability Account</t>
  </si>
  <si>
    <t>LT Debt</t>
  </si>
  <si>
    <t>22110000</t>
  </si>
  <si>
    <t>outside</t>
  </si>
  <si>
    <t>22115000</t>
  </si>
  <si>
    <t>inside</t>
  </si>
  <si>
    <t>Retired Series 8.5% amortized over life of 6.96% issue</t>
  </si>
  <si>
    <t>Pref. Stock</t>
  </si>
  <si>
    <t>PS120007</t>
  </si>
  <si>
    <t>21510000</t>
  </si>
  <si>
    <t>Average For Period Ended December 31, 2017</t>
  </si>
  <si>
    <t>Kentucky-American Water Company</t>
  </si>
  <si>
    <t>Response to KAW_R_PSCDR1_NUM002</t>
  </si>
  <si>
    <t>Unamortized Debt Discount; Account 22110400</t>
  </si>
  <si>
    <t>Balances for Jan-Dec, 2017</t>
  </si>
  <si>
    <t>BD120032</t>
  </si>
  <si>
    <t>BD120033</t>
  </si>
  <si>
    <t>Issue Date</t>
  </si>
  <si>
    <t>Mat Date</t>
  </si>
  <si>
    <t>Int Rate</t>
  </si>
  <si>
    <t xml:space="preserve">Issue </t>
  </si>
  <si>
    <t>Unamortized Balance</t>
  </si>
  <si>
    <t>Check</t>
  </si>
  <si>
    <t xml:space="preserve">    Series 3.75%    Note</t>
  </si>
  <si>
    <t>GL</t>
  </si>
  <si>
    <t>Interest Rate (actual rates)</t>
  </si>
  <si>
    <t>MONTHLY AMORTIZATION OF 3% ITC</t>
  </si>
  <si>
    <t>MONTHLY AMORTIZATION OF 4% ITC</t>
  </si>
  <si>
    <t>MONTHLY AMORTIZATION OF 10% ITC</t>
  </si>
  <si>
    <t>Monthly</t>
  </si>
  <si>
    <t>Case No. 2018-00042</t>
  </si>
  <si>
    <t>Monthly Short-Term Debt Balances for December 2016 - December 2017</t>
  </si>
  <si>
    <t>Unamortized ITC Balances for December 2016 - December 2017</t>
  </si>
  <si>
    <t>or Premium</t>
  </si>
  <si>
    <t>Annual</t>
  </si>
  <si>
    <t xml:space="preserve"> Amort.  of</t>
  </si>
  <si>
    <t>(Discount) or</t>
  </si>
  <si>
    <t>All lines on the 'Sch J WPs' tab were updated with historical data; i.e., Dec 2016-Dec 2017.</t>
  </si>
  <si>
    <t>Page 1 of 11</t>
  </si>
  <si>
    <t>Page 2 of 11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</si>
  <si>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</si>
  <si>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</si>
  <si>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</si>
  <si>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</si>
  <si>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</si>
  <si>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</si>
  <si>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</si>
  <si>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</si>
  <si>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</si>
  <si>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Note that account 23121000 is the in-house bank balance with AWCC (i.e., ST borrowings).</t>
  </si>
  <si>
    <t>Short-Term Debt; Account 23121000</t>
  </si>
  <si>
    <t>The Non Leading Ledger (Z1) was used for SAP reports for actual data.</t>
  </si>
  <si>
    <t>The Prf Stk dividend accrual on the 8.47% $2.25 M balance is $15,881.25 per month.  See the 'Workpaper' tab for details.</t>
  </si>
  <si>
    <t>Capital Structure</t>
  </si>
  <si>
    <t>Long-Term Debt Carrying Value</t>
  </si>
  <si>
    <t>Preferred Stock Carrying Value</t>
  </si>
  <si>
    <t>Reference</t>
  </si>
  <si>
    <t>AWCC Notes:</t>
  </si>
  <si>
    <t>Balances for Dec 2016 - Dec 2017</t>
  </si>
  <si>
    <t xml:space="preserve">     Total Capital</t>
  </si>
  <si>
    <t>Reflecting Removal of the Gain From One-Time Land Sale</t>
  </si>
  <si>
    <t>Reduction to RE Due to Removal of Gain on Land Sale</t>
  </si>
  <si>
    <t>Retained Earnings at Beginning of Period</t>
  </si>
  <si>
    <t>Total Dividends</t>
  </si>
  <si>
    <t>Adjusted Net Income</t>
  </si>
  <si>
    <t>Adj Retained Earnings at End of Period 12/31/2017</t>
  </si>
  <si>
    <t>Increase to RE in 2017</t>
  </si>
  <si>
    <t>Attachment 2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</si>
</sst>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m/dd/yy"/>
    <numFmt numFmtId="167" formatCode="&quot;$&quot;#,##0.00"/>
    <numFmt numFmtId="168" formatCode="_(&quot;$&quot;* #,##0_);_(&quot;$&quot;* \(#,##0\);_(&quot;$&quot;* &quot;-&quot;??_);_(@_)"/>
    <numFmt numFmtId="169" formatCode="mmm\-yyyy"/>
    <numFmt numFmtId="170" formatCode="[$-409]mmmm\ d\,\ yyyy;@"/>
    <numFmt numFmtId="171" formatCode="#,##0.000_);\(#,##0.000\)"/>
    <numFmt numFmtId="172" formatCode="_(* #,##0_);_(* \(#,##0\);_(* &quot;-&quot;??_);_(@_)"/>
    <numFmt numFmtId="173" formatCode="###,000"/>
    <numFmt numFmtId="174" formatCode="_(&quot;$&quot;* #,##0.000_);_(&quot;$&quot;* \(#,##0.000\);_(&quot;$&quot;* &quot;-&quot;_);_(@_)"/>
    <numFmt numFmtId="175" formatCode="m/d/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7" fillId="0" borderId="0"/>
    <xf numFmtId="9" fontId="5" fillId="0" borderId="0" applyFont="0" applyFill="0" applyBorder="0" applyAlignment="0" applyProtection="0"/>
    <xf numFmtId="173" fontId="9" fillId="0" borderId="7" applyNumberFormat="0" applyProtection="0">
      <alignment horizontal="right" vertical="center"/>
    </xf>
    <xf numFmtId="173" fontId="10" fillId="0" borderId="8" applyNumberFormat="0" applyProtection="0">
      <alignment horizontal="right" vertical="center"/>
    </xf>
    <xf numFmtId="0" fontId="10" fillId="3" borderId="9" applyNumberFormat="0" applyAlignment="0" applyProtection="0">
      <alignment horizontal="left" vertical="center" indent="1"/>
    </xf>
    <xf numFmtId="0" fontId="11" fillId="0" borderId="10" applyNumberFormat="0" applyFill="0" applyBorder="0" applyAlignment="0" applyProtection="0"/>
    <xf numFmtId="0" fontId="12" fillId="4" borderId="9" applyNumberFormat="0" applyAlignment="0" applyProtection="0">
      <alignment horizontal="left" vertical="center" indent="1"/>
    </xf>
    <xf numFmtId="0" fontId="12" fillId="5" borderId="9" applyNumberFormat="0" applyAlignment="0" applyProtection="0">
      <alignment horizontal="left" vertical="center" indent="1"/>
    </xf>
    <xf numFmtId="0" fontId="12" fillId="6" borderId="9" applyNumberFormat="0" applyAlignment="0" applyProtection="0">
      <alignment horizontal="left" vertical="center" indent="1"/>
    </xf>
    <xf numFmtId="0" fontId="12" fillId="7" borderId="9" applyNumberFormat="0" applyAlignment="0" applyProtection="0">
      <alignment horizontal="left" vertical="center" indent="1"/>
    </xf>
    <xf numFmtId="0" fontId="12" fillId="8" borderId="8" applyNumberFormat="0" applyAlignment="0" applyProtection="0">
      <alignment horizontal="left" vertical="center" indent="1"/>
    </xf>
    <xf numFmtId="173" fontId="9" fillId="9" borderId="9" applyNumberFormat="0" applyAlignment="0" applyProtection="0">
      <alignment horizontal="left" vertical="center" indent="1"/>
    </xf>
    <xf numFmtId="0" fontId="10" fillId="3" borderId="8" applyNumberFormat="0" applyAlignment="0" applyProtection="0">
      <alignment horizontal="left" vertical="center" indent="1"/>
    </xf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Fill="1" applyAlignment="1"/>
    <xf numFmtId="0" fontId="18" fillId="0" borderId="0" xfId="0" applyFont="1" applyFill="1" applyAlignment="1"/>
    <xf numFmtId="3" fontId="14" fillId="0" borderId="0" xfId="0" applyNumberFormat="1" applyFont="1" applyFill="1" applyAlignment="1">
      <alignment horizontal="centerContinuous"/>
    </xf>
    <xf numFmtId="3" fontId="17" fillId="0" borderId="0" xfId="0" applyNumberFormat="1" applyFont="1" applyFill="1" applyAlignment="1">
      <alignment horizontal="centerContinuous"/>
    </xf>
    <xf numFmtId="3" fontId="17" fillId="0" borderId="0" xfId="0" applyNumberFormat="1" applyFont="1" applyFill="1" applyAlignment="1"/>
    <xf numFmtId="170" fontId="14" fillId="0" borderId="0" xfId="0" applyNumberFormat="1" applyFont="1" applyFill="1" applyAlignment="1">
      <alignment horizontal="centerContinuous"/>
    </xf>
    <xf numFmtId="0" fontId="18" fillId="0" borderId="0" xfId="0" applyFont="1" applyFill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42" fontId="17" fillId="0" borderId="0" xfId="0" applyNumberFormat="1" applyFont="1" applyFill="1" applyAlignment="1"/>
    <xf numFmtId="42" fontId="17" fillId="0" borderId="0" xfId="0" applyNumberFormat="1" applyFont="1" applyFill="1" applyBorder="1" applyAlignment="1"/>
    <xf numFmtId="165" fontId="17" fillId="0" borderId="0" xfId="0" applyNumberFormat="1" applyFont="1" applyFill="1"/>
    <xf numFmtId="0" fontId="17" fillId="0" borderId="0" xfId="0" applyFont="1" applyFill="1" applyBorder="1" applyAlignment="1"/>
    <xf numFmtId="165" fontId="17" fillId="0" borderId="0" xfId="0" applyNumberFormat="1" applyFont="1" applyFill="1" applyAlignment="1"/>
    <xf numFmtId="37" fontId="17" fillId="0" borderId="0" xfId="0" applyNumberFormat="1" applyFont="1" applyFill="1" applyAlignment="1"/>
    <xf numFmtId="37" fontId="17" fillId="0" borderId="0" xfId="0" applyNumberFormat="1" applyFont="1" applyFill="1" applyBorder="1" applyAlignment="1"/>
    <xf numFmtId="37" fontId="17" fillId="0" borderId="0" xfId="0" applyNumberFormat="1" applyFont="1" applyFill="1"/>
    <xf numFmtId="37" fontId="17" fillId="0" borderId="5" xfId="0" applyNumberFormat="1" applyFont="1" applyFill="1" applyBorder="1" applyAlignment="1"/>
    <xf numFmtId="165" fontId="17" fillId="0" borderId="5" xfId="0" applyNumberFormat="1" applyFont="1" applyFill="1" applyBorder="1" applyAlignment="1"/>
    <xf numFmtId="165" fontId="17" fillId="0" borderId="0" xfId="0" applyNumberFormat="1" applyFont="1" applyFill="1" applyBorder="1" applyAlignment="1"/>
    <xf numFmtId="165" fontId="17" fillId="0" borderId="0" xfId="0" applyNumberFormat="1" applyFont="1" applyFill="1" applyBorder="1"/>
    <xf numFmtId="165" fontId="17" fillId="0" borderId="3" xfId="0" applyNumberFormat="1" applyFont="1" applyFill="1" applyBorder="1" applyAlignment="1"/>
    <xf numFmtId="5" fontId="17" fillId="0" borderId="0" xfId="0" applyNumberFormat="1" applyFont="1" applyFill="1" applyAlignment="1"/>
    <xf numFmtId="3" fontId="14" fillId="0" borderId="0" xfId="0" applyNumberFormat="1" applyFont="1" applyFill="1" applyAlignment="1"/>
    <xf numFmtId="37" fontId="17" fillId="0" borderId="0" xfId="0" applyNumberFormat="1" applyFont="1" applyFill="1" applyBorder="1"/>
    <xf numFmtId="0" fontId="18" fillId="0" borderId="0" xfId="0" applyFont="1" applyFill="1" applyBorder="1" applyAlignment="1"/>
    <xf numFmtId="3" fontId="17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Alignment="1"/>
    <xf numFmtId="166" fontId="17" fillId="0" borderId="0" xfId="0" applyNumberFormat="1" applyFont="1" applyFill="1" applyAlignment="1">
      <alignment horizontal="center"/>
    </xf>
    <xf numFmtId="37" fontId="18" fillId="0" borderId="0" xfId="0" applyNumberFormat="1" applyFont="1" applyFill="1"/>
    <xf numFmtId="14" fontId="17" fillId="0" borderId="0" xfId="0" applyNumberFormat="1" applyFont="1" applyFill="1" applyAlignment="1">
      <alignment horizontal="center"/>
    </xf>
    <xf numFmtId="37" fontId="17" fillId="0" borderId="5" xfId="0" applyNumberFormat="1" applyFont="1" applyFill="1" applyBorder="1"/>
    <xf numFmtId="5" fontId="17" fillId="0" borderId="3" xfId="0" applyNumberFormat="1" applyFont="1" applyFill="1" applyBorder="1" applyAlignment="1"/>
    <xf numFmtId="5" fontId="17" fillId="0" borderId="0" xfId="0" applyNumberFormat="1" applyFont="1" applyFill="1" applyBorder="1" applyAlignment="1"/>
    <xf numFmtId="5" fontId="17" fillId="0" borderId="0" xfId="0" applyNumberFormat="1" applyFont="1" applyFill="1"/>
    <xf numFmtId="3" fontId="14" fillId="0" borderId="0" xfId="0" applyNumberFormat="1" applyFont="1" applyFill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3" fontId="17" fillId="0" borderId="5" xfId="0" applyNumberFormat="1" applyFont="1" applyFill="1" applyBorder="1" applyAlignment="1"/>
    <xf numFmtId="164" fontId="17" fillId="0" borderId="0" xfId="0" applyNumberFormat="1" applyFont="1" applyFill="1" applyAlignment="1"/>
    <xf numFmtId="3" fontId="17" fillId="0" borderId="0" xfId="0" applyNumberFormat="1" applyFont="1" applyFill="1"/>
    <xf numFmtId="164" fontId="17" fillId="0" borderId="3" xfId="0" applyNumberFormat="1" applyFont="1" applyFill="1" applyBorder="1" applyAlignment="1"/>
    <xf numFmtId="5" fontId="17" fillId="0" borderId="5" xfId="0" applyNumberFormat="1" applyFont="1" applyFill="1" applyBorder="1"/>
    <xf numFmtId="41" fontId="17" fillId="0" borderId="0" xfId="0" applyNumberFormat="1" applyFont="1" applyFill="1" applyAlignment="1"/>
    <xf numFmtId="41" fontId="17" fillId="0" borderId="0" xfId="0" applyNumberFormat="1" applyFont="1" applyFill="1"/>
    <xf numFmtId="164" fontId="17" fillId="0" borderId="0" xfId="0" applyNumberFormat="1" applyFont="1" applyFill="1"/>
    <xf numFmtId="165" fontId="17" fillId="0" borderId="0" xfId="4" applyNumberFormat="1" applyFont="1" applyFill="1"/>
    <xf numFmtId="10" fontId="17" fillId="0" borderId="0" xfId="0" applyNumberFormat="1" applyFont="1" applyFill="1"/>
    <xf numFmtId="43" fontId="0" fillId="0" borderId="0" xfId="1" applyFont="1" applyAlignment="1">
      <alignment horizontal="right" vertical="top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Alignment="1"/>
    <xf numFmtId="3" fontId="20" fillId="0" borderId="0" xfId="0" applyNumberFormat="1" applyFont="1" applyFill="1"/>
    <xf numFmtId="0" fontId="20" fillId="0" borderId="0" xfId="0" applyFont="1" applyFill="1" applyAlignment="1"/>
    <xf numFmtId="3" fontId="14" fillId="0" borderId="0" xfId="0" applyNumberFormat="1" applyFont="1" applyFill="1" applyBorder="1" applyAlignment="1"/>
    <xf numFmtId="0" fontId="13" fillId="0" borderId="0" xfId="0" applyFont="1" applyBorder="1" applyAlignment="1">
      <alignment horizontal="right"/>
    </xf>
    <xf numFmtId="3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19" fillId="0" borderId="0" xfId="0" applyNumberFormat="1" applyFont="1" applyFill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169" fontId="17" fillId="0" borderId="5" xfId="0" applyNumberFormat="1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17" fillId="0" borderId="0" xfId="0" applyNumberFormat="1" applyFont="1" applyFill="1" applyAlignment="1">
      <alignment horizontal="left" indent="1"/>
    </xf>
    <xf numFmtId="165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indent="1"/>
    </xf>
    <xf numFmtId="5" fontId="17" fillId="0" borderId="0" xfId="0" applyNumberFormat="1" applyFont="1" applyFill="1" applyBorder="1"/>
    <xf numFmtId="0" fontId="17" fillId="0" borderId="0" xfId="0" quotePrefix="1" applyFont="1" applyFill="1" applyBorder="1"/>
    <xf numFmtId="165" fontId="17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Alignment="1">
      <alignment horizontal="center"/>
    </xf>
    <xf numFmtId="5" fontId="17" fillId="0" borderId="6" xfId="0" applyNumberFormat="1" applyFont="1" applyFill="1" applyBorder="1" applyAlignment="1"/>
    <xf numFmtId="164" fontId="17" fillId="0" borderId="0" xfId="0" applyNumberFormat="1" applyFont="1" applyFill="1" applyBorder="1" applyAlignment="1"/>
    <xf numFmtId="42" fontId="17" fillId="0" borderId="0" xfId="0" applyNumberFormat="1" applyFont="1" applyFill="1"/>
    <xf numFmtId="0" fontId="17" fillId="0" borderId="0" xfId="0" applyNumberFormat="1" applyFont="1" applyFill="1"/>
    <xf numFmtId="0" fontId="20" fillId="0" borderId="0" xfId="0" applyFont="1" applyFill="1" applyAlignment="1">
      <alignment horizontal="center"/>
    </xf>
    <xf numFmtId="37" fontId="19" fillId="0" borderId="0" xfId="0" applyNumberFormat="1" applyFont="1" applyFill="1" applyAlignment="1"/>
    <xf numFmtId="172" fontId="17" fillId="0" borderId="0" xfId="1" applyNumberFormat="1" applyFont="1" applyFill="1" applyAlignment="1"/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/>
    <xf numFmtId="168" fontId="17" fillId="0" borderId="0" xfId="0" applyNumberFormat="1" applyFont="1" applyFill="1" applyAlignment="1"/>
    <xf numFmtId="164" fontId="17" fillId="0" borderId="6" xfId="0" applyNumberFormat="1" applyFont="1" applyFill="1" applyBorder="1" applyAlignment="1"/>
    <xf numFmtId="0" fontId="17" fillId="0" borderId="0" xfId="0" quotePrefix="1" applyFont="1" applyFill="1" applyAlignment="1"/>
    <xf numFmtId="44" fontId="17" fillId="0" borderId="0" xfId="0" applyNumberFormat="1" applyFont="1" applyFill="1" applyAlignment="1">
      <alignment horizontal="right"/>
    </xf>
    <xf numFmtId="43" fontId="17" fillId="0" borderId="0" xfId="1" applyFont="1" applyFill="1" applyAlignment="1"/>
    <xf numFmtId="10" fontId="17" fillId="0" borderId="0" xfId="4" applyNumberFormat="1" applyFont="1" applyFill="1" applyAlignment="1"/>
    <xf numFmtId="43" fontId="17" fillId="0" borderId="0" xfId="0" applyNumberFormat="1" applyFont="1" applyFill="1" applyAlignment="1"/>
    <xf numFmtId="172" fontId="17" fillId="0" borderId="0" xfId="0" applyNumberFormat="1" applyFont="1" applyFill="1" applyAlignment="1">
      <alignment horizontal="right"/>
    </xf>
    <xf numFmtId="0" fontId="17" fillId="0" borderId="11" xfId="0" applyFont="1" applyFill="1" applyBorder="1" applyAlignment="1">
      <alignment horizontal="center"/>
    </xf>
    <xf numFmtId="44" fontId="17" fillId="0" borderId="0" xfId="0" applyNumberFormat="1" applyFont="1" applyFill="1" applyAlignment="1"/>
    <xf numFmtId="171" fontId="17" fillId="0" borderId="0" xfId="0" applyNumberFormat="1" applyFont="1" applyFill="1" applyAlignment="1"/>
    <xf numFmtId="174" fontId="17" fillId="0" borderId="0" xfId="0" applyNumberFormat="1" applyFont="1" applyFill="1" applyAlignment="1"/>
    <xf numFmtId="172" fontId="17" fillId="0" borderId="0" xfId="1" applyNumberFormat="1" applyFont="1" applyFill="1"/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2" borderId="2" xfId="0" applyFont="1" applyFill="1" applyBorder="1" applyAlignment="1">
      <alignment vertical="top"/>
    </xf>
    <xf numFmtId="43" fontId="17" fillId="0" borderId="0" xfId="1" applyFont="1" applyAlignment="1">
      <alignment horizontal="right" vertical="top"/>
    </xf>
    <xf numFmtId="0" fontId="4" fillId="0" borderId="0" xfId="0" applyFont="1" applyFill="1" applyAlignment="1">
      <alignment horizontal="right"/>
    </xf>
    <xf numFmtId="3" fontId="17" fillId="0" borderId="0" xfId="0" applyNumberFormat="1" applyFont="1" applyAlignment="1" applyProtection="1">
      <protection locked="0"/>
    </xf>
    <xf numFmtId="9" fontId="17" fillId="0" borderId="0" xfId="0" applyNumberFormat="1" applyFont="1"/>
    <xf numFmtId="0" fontId="19" fillId="0" borderId="0" xfId="0" applyFont="1"/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43" fontId="17" fillId="0" borderId="6" xfId="0" applyNumberFormat="1" applyFont="1" applyFill="1" applyBorder="1" applyAlignment="1"/>
    <xf numFmtId="172" fontId="17" fillId="0" borderId="3" xfId="0" applyNumberFormat="1" applyFont="1" applyFill="1" applyBorder="1" applyAlignment="1"/>
    <xf numFmtId="172" fontId="17" fillId="0" borderId="0" xfId="0" applyNumberFormat="1" applyFont="1" applyFill="1"/>
    <xf numFmtId="172" fontId="17" fillId="0" borderId="0" xfId="0" applyNumberFormat="1" applyFont="1" applyFill="1" applyAlignment="1"/>
    <xf numFmtId="0" fontId="0" fillId="0" borderId="0" xfId="0" applyFill="1" applyBorder="1"/>
    <xf numFmtId="0" fontId="6" fillId="0" borderId="0" xfId="0" applyFont="1" applyFill="1" applyBorder="1"/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170" fontId="14" fillId="0" borderId="0" xfId="0" applyNumberFormat="1" applyFont="1" applyFill="1" applyAlignment="1"/>
    <xf numFmtId="0" fontId="0" fillId="2" borderId="2" xfId="0" applyFill="1" applyBorder="1" applyAlignment="1">
      <alignment vertical="top" wrapText="1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/>
    </xf>
    <xf numFmtId="0" fontId="8" fillId="0" borderId="0" xfId="0" applyFont="1"/>
    <xf numFmtId="14" fontId="8" fillId="0" borderId="0" xfId="0" applyNumberFormat="1" applyFont="1"/>
    <xf numFmtId="172" fontId="0" fillId="0" borderId="0" xfId="1" applyNumberFormat="1" applyFont="1"/>
    <xf numFmtId="0" fontId="0" fillId="0" borderId="0" xfId="0" applyAlignment="1">
      <alignment horizontal="center" vertical="top"/>
    </xf>
    <xf numFmtId="10" fontId="0" fillId="0" borderId="0" xfId="4" applyNumberFormat="1" applyFont="1"/>
    <xf numFmtId="0" fontId="22" fillId="0" borderId="0" xfId="0" applyFont="1" applyAlignment="1">
      <alignment horizontal="center" vertical="top"/>
    </xf>
    <xf numFmtId="175" fontId="8" fillId="0" borderId="0" xfId="0" applyNumberFormat="1" applyFont="1"/>
    <xf numFmtId="0" fontId="17" fillId="0" borderId="0" xfId="0" applyFont="1" applyFill="1" applyAlignment="1">
      <alignment vertical="top"/>
    </xf>
    <xf numFmtId="43" fontId="17" fillId="0" borderId="0" xfId="1" applyFont="1" applyFill="1" applyAlignment="1">
      <alignment horizontal="right" vertical="top"/>
    </xf>
    <xf numFmtId="14" fontId="22" fillId="0" borderId="0" xfId="0" applyNumberFormat="1" applyFont="1" applyAlignment="1">
      <alignment horizontal="center" vertical="top"/>
    </xf>
    <xf numFmtId="43" fontId="0" fillId="0" borderId="0" xfId="1" applyNumberFormat="1" applyFont="1"/>
    <xf numFmtId="43" fontId="0" fillId="0" borderId="5" xfId="1" applyNumberFormat="1" applyFont="1" applyBorder="1"/>
    <xf numFmtId="39" fontId="17" fillId="0" borderId="0" xfId="0" applyNumberFormat="1" applyFont="1" applyFill="1"/>
    <xf numFmtId="7" fontId="17" fillId="0" borderId="0" xfId="0" applyNumberFormat="1" applyFont="1" applyFill="1"/>
    <xf numFmtId="7" fontId="17" fillId="0" borderId="0" xfId="0" applyNumberFormat="1" applyFont="1" applyFill="1" applyAlignment="1"/>
    <xf numFmtId="7" fontId="17" fillId="0" borderId="6" xfId="0" applyNumberFormat="1" applyFont="1" applyFill="1" applyBorder="1" applyAlignment="1"/>
    <xf numFmtId="39" fontId="17" fillId="0" borderId="5" xfId="0" applyNumberFormat="1" applyFont="1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/>
    <xf numFmtId="43" fontId="0" fillId="0" borderId="0" xfId="1" applyFont="1" applyFill="1" applyBorder="1" applyAlignment="1">
      <alignment horizontal="right" vertical="top"/>
    </xf>
    <xf numFmtId="43" fontId="0" fillId="0" borderId="0" xfId="0" applyNumberFormat="1"/>
    <xf numFmtId="0" fontId="2" fillId="0" borderId="0" xfId="0" applyFont="1" applyAlignment="1">
      <alignment horizontal="right"/>
    </xf>
    <xf numFmtId="166" fontId="17" fillId="0" borderId="0" xfId="0" applyNumberFormat="1" applyFont="1" applyFill="1" applyBorder="1" applyAlignment="1"/>
    <xf numFmtId="0" fontId="0" fillId="0" borderId="0" xfId="0" applyBorder="1"/>
    <xf numFmtId="170" fontId="14" fillId="0" borderId="0" xfId="0" applyNumberFormat="1" applyFont="1" applyFill="1" applyBorder="1" applyAlignment="1"/>
    <xf numFmtId="0" fontId="14" fillId="0" borderId="0" xfId="0" applyFont="1"/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17" fillId="0" borderId="0" xfId="4" applyFont="1" applyFill="1" applyAlignment="1"/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7" fontId="17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7">
    <cellStyle name="Comma" xfId="1" builtinId="3"/>
    <cellStyle name="Comma 2" xfId="16"/>
    <cellStyle name="Normal" xfId="0" builtinId="0"/>
    <cellStyle name="Normal 2" xfId="2"/>
    <cellStyle name="Normal 4" xfId="3"/>
    <cellStyle name="Percent" xfId="4" builtinId="5"/>
    <cellStyle name="SAPDataCell" xfId="5"/>
    <cellStyle name="SAPDataTotalCell" xfId="6"/>
    <cellStyle name="SAPDimensionCell" xfId="7"/>
    <cellStyle name="SAPEmphasized" xfId="8"/>
    <cellStyle name="SAPHierarchyCell0" xfId="9"/>
    <cellStyle name="SAPHierarchyCell1" xfId="10"/>
    <cellStyle name="SAPHierarchyCell2" xfId="11"/>
    <cellStyle name="SAPHierarchyCell3" xfId="12"/>
    <cellStyle name="SAPHierarchyCell4" xfId="13"/>
    <cellStyle name="SAPMemberCell" xfId="14"/>
    <cellStyle name="SAPMemberTotalCell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25</xdr:row>
      <xdr:rowOff>28575</xdr:rowOff>
    </xdr:from>
    <xdr:to>
      <xdr:col>4</xdr:col>
      <xdr:colOff>1190625</xdr:colOff>
      <xdr:row>55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97" t="12322" r="5385" b="5588"/>
        <a:stretch/>
      </xdr:blipFill>
      <xdr:spPr>
        <a:xfrm>
          <a:off x="171450" y="4248150"/>
          <a:ext cx="5191125" cy="488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I6" sqref="I6"/>
    </sheetView>
  </sheetViews>
  <sheetFormatPr defaultRowHeight="12.75" x14ac:dyDescent="0.2"/>
  <cols>
    <col min="1" max="1" width="6" customWidth="1"/>
    <col min="2" max="2" width="4.7109375" customWidth="1"/>
    <col min="3" max="3" width="1.7109375" customWidth="1"/>
    <col min="4" max="4" width="17.85546875" customWidth="1"/>
    <col min="5" max="5" width="3.85546875" customWidth="1"/>
    <col min="6" max="6" width="17.85546875" customWidth="1"/>
    <col min="7" max="7" width="3.85546875" customWidth="1"/>
    <col min="8" max="8" width="13.140625" customWidth="1"/>
    <col min="9" max="9" width="9.140625" style="152" customWidth="1"/>
    <col min="10" max="10" width="9.140625" customWidth="1"/>
    <col min="12" max="12" width="9.140625" customWidth="1"/>
  </cols>
  <sheetData>
    <row r="1" spans="1:15" ht="15" x14ac:dyDescent="0.25">
      <c r="A1" s="154" t="s">
        <v>144</v>
      </c>
      <c r="J1" s="158" t="s">
        <v>200</v>
      </c>
    </row>
    <row r="2" spans="1:15" ht="15" x14ac:dyDescent="0.25">
      <c r="A2" s="33" t="s">
        <v>163</v>
      </c>
      <c r="E2" s="33"/>
      <c r="F2" s="33"/>
      <c r="G2" s="33"/>
      <c r="H2" s="33"/>
      <c r="I2" s="63"/>
      <c r="J2" s="158" t="s">
        <v>92</v>
      </c>
    </row>
    <row r="3" spans="1:15" ht="15" x14ac:dyDescent="0.25">
      <c r="A3" s="154" t="s">
        <v>145</v>
      </c>
      <c r="C3" s="33"/>
      <c r="D3" s="33"/>
      <c r="E3" s="33"/>
      <c r="F3" s="33"/>
      <c r="G3" s="33"/>
      <c r="H3" s="33"/>
      <c r="I3" s="63"/>
      <c r="J3" s="33"/>
    </row>
    <row r="4" spans="1:15" ht="15" x14ac:dyDescent="0.25">
      <c r="B4" s="154"/>
      <c r="C4" s="33"/>
      <c r="D4" s="33"/>
      <c r="E4" s="33"/>
      <c r="F4" s="33"/>
      <c r="G4" s="33"/>
      <c r="H4" s="33"/>
      <c r="I4" s="63"/>
      <c r="J4" s="33"/>
    </row>
    <row r="5" spans="1:15" ht="15" x14ac:dyDescent="0.25">
      <c r="C5" s="33"/>
      <c r="D5" s="33"/>
      <c r="E5" s="33"/>
      <c r="F5" s="33"/>
      <c r="G5" s="33"/>
      <c r="H5" s="33"/>
      <c r="I5" s="63"/>
    </row>
    <row r="6" spans="1:15" ht="15" x14ac:dyDescent="0.25">
      <c r="C6" s="33"/>
      <c r="D6" s="33"/>
      <c r="E6" s="33"/>
      <c r="F6" s="33"/>
      <c r="G6" s="33"/>
      <c r="H6" s="33"/>
      <c r="I6" s="153"/>
      <c r="J6" s="33"/>
    </row>
    <row r="7" spans="1:15" ht="15" x14ac:dyDescent="0.25">
      <c r="B7" s="161" t="s">
        <v>186</v>
      </c>
      <c r="C7" s="161"/>
      <c r="D7" s="161"/>
      <c r="E7" s="161"/>
      <c r="F7" s="161"/>
      <c r="G7" s="161"/>
      <c r="H7" s="161"/>
      <c r="J7" s="33"/>
    </row>
    <row r="8" spans="1:15" ht="15" x14ac:dyDescent="0.25">
      <c r="B8" s="161" t="s">
        <v>143</v>
      </c>
      <c r="C8" s="161"/>
      <c r="D8" s="161"/>
      <c r="E8" s="161"/>
      <c r="F8" s="161"/>
      <c r="G8" s="161"/>
      <c r="H8" s="161"/>
    </row>
    <row r="9" spans="1:15" ht="15" x14ac:dyDescent="0.25">
      <c r="B9" s="161" t="s">
        <v>193</v>
      </c>
      <c r="C9" s="161"/>
      <c r="D9" s="161"/>
      <c r="E9" s="161"/>
      <c r="F9" s="161"/>
      <c r="G9" s="161"/>
      <c r="H9" s="161"/>
      <c r="I9" s="22"/>
      <c r="J9" s="4"/>
    </row>
    <row r="10" spans="1:15" ht="15" x14ac:dyDescent="0.25">
      <c r="C10" s="4"/>
      <c r="D10" s="4"/>
      <c r="E10" s="4"/>
      <c r="F10" s="4"/>
      <c r="G10" s="4"/>
      <c r="H10" s="4"/>
      <c r="I10" s="22"/>
      <c r="J10" s="4"/>
    </row>
    <row r="11" spans="1:15" ht="15" x14ac:dyDescent="0.25">
      <c r="B11" s="17"/>
      <c r="C11" s="4"/>
      <c r="D11" s="4"/>
      <c r="E11" s="4"/>
      <c r="F11" s="4"/>
      <c r="G11" s="4"/>
      <c r="H11" s="4"/>
      <c r="I11" s="22"/>
      <c r="J11" s="4"/>
    </row>
    <row r="12" spans="1:15" ht="15" x14ac:dyDescent="0.25">
      <c r="B12" s="8"/>
      <c r="C12" s="8"/>
      <c r="D12" s="8"/>
      <c r="E12" s="8"/>
      <c r="F12" s="12"/>
      <c r="G12" s="12"/>
      <c r="H12" s="8"/>
      <c r="I12" s="16"/>
      <c r="J12" s="8"/>
      <c r="L12" s="24"/>
      <c r="M12" s="4"/>
      <c r="N12" s="24"/>
      <c r="O12" s="24"/>
    </row>
    <row r="13" spans="1:15" ht="15" x14ac:dyDescent="0.25">
      <c r="B13" s="13" t="s">
        <v>4</v>
      </c>
      <c r="C13" s="4"/>
      <c r="D13" s="13" t="s">
        <v>5</v>
      </c>
      <c r="E13" s="8"/>
      <c r="F13" s="13" t="s">
        <v>90</v>
      </c>
      <c r="G13" s="13"/>
      <c r="H13" s="4"/>
      <c r="I13" s="59"/>
      <c r="J13" s="4"/>
      <c r="L13" s="24"/>
      <c r="M13" s="24"/>
      <c r="N13" s="4"/>
      <c r="O13" s="24"/>
    </row>
    <row r="14" spans="1:15" ht="15.75" thickBot="1" x14ac:dyDescent="0.3">
      <c r="B14" s="14" t="s">
        <v>8</v>
      </c>
      <c r="C14" s="15"/>
      <c r="D14" s="14" t="s">
        <v>9</v>
      </c>
      <c r="E14" s="15"/>
      <c r="F14" s="14" t="s">
        <v>91</v>
      </c>
      <c r="G14" s="16"/>
      <c r="H14" s="14" t="s">
        <v>11</v>
      </c>
      <c r="I14" s="16"/>
      <c r="J14" s="16"/>
      <c r="L14" s="24"/>
      <c r="M14" s="24"/>
      <c r="N14" s="24"/>
      <c r="O14" s="24"/>
    </row>
    <row r="15" spans="1:15" ht="15" x14ac:dyDescent="0.25">
      <c r="B15" s="12">
        <v>1</v>
      </c>
      <c r="C15" s="17"/>
      <c r="D15" s="17"/>
      <c r="E15" s="8"/>
      <c r="F15" s="17"/>
      <c r="G15" s="18"/>
      <c r="H15" s="17"/>
      <c r="I15" s="18"/>
      <c r="J15" s="17"/>
      <c r="L15" s="101"/>
      <c r="M15" s="101"/>
      <c r="N15" s="101"/>
      <c r="O15" s="101"/>
    </row>
    <row r="16" spans="1:15" ht="15" x14ac:dyDescent="0.25">
      <c r="B16" s="12">
        <f>B15+1</f>
        <v>2</v>
      </c>
      <c r="C16" s="4"/>
      <c r="D16" s="8" t="s">
        <v>13</v>
      </c>
      <c r="E16" s="8"/>
      <c r="F16" s="49">
        <f>Workpaper!Q329</f>
        <v>17133359.009999998</v>
      </c>
      <c r="G16" s="20"/>
      <c r="H16" s="21">
        <f>ROUND(F16/$F$24,5)</f>
        <v>4.1610000000000001E-2</v>
      </c>
      <c r="I16" s="30"/>
      <c r="J16" s="60"/>
      <c r="L16" s="5"/>
      <c r="M16" s="5"/>
      <c r="N16" s="5"/>
    </row>
    <row r="17" spans="2:14" ht="15" x14ac:dyDescent="0.25">
      <c r="B17" s="12">
        <f t="shared" ref="B17:B24" si="0">B16+1</f>
        <v>3</v>
      </c>
      <c r="C17" s="4"/>
      <c r="D17" s="4"/>
      <c r="E17" s="4"/>
      <c r="F17" s="8"/>
      <c r="G17" s="22"/>
      <c r="H17" s="23"/>
      <c r="I17" s="30"/>
      <c r="J17" s="60"/>
      <c r="L17" s="4"/>
      <c r="M17" s="5"/>
      <c r="N17" s="5"/>
    </row>
    <row r="18" spans="2:14" ht="15" x14ac:dyDescent="0.25">
      <c r="B18" s="12">
        <f t="shared" si="0"/>
        <v>4</v>
      </c>
      <c r="C18" s="4"/>
      <c r="D18" s="8" t="s">
        <v>14</v>
      </c>
      <c r="E18" s="4"/>
      <c r="F18" s="8">
        <f>'LT Debt'!AC38</f>
        <v>201723062.82533336</v>
      </c>
      <c r="G18" s="25"/>
      <c r="H18" s="21">
        <f t="shared" ref="H18" si="1">ROUND(F18/$F$24,5)</f>
        <v>0.48988999999999999</v>
      </c>
      <c r="I18" s="30"/>
      <c r="J18" s="60"/>
      <c r="L18" s="4"/>
      <c r="M18" s="5"/>
      <c r="N18" s="5"/>
    </row>
    <row r="19" spans="2:14" ht="15" x14ac:dyDescent="0.25">
      <c r="B19" s="12">
        <f t="shared" si="0"/>
        <v>5</v>
      </c>
      <c r="C19" s="4"/>
      <c r="D19" s="4"/>
      <c r="E19" s="4"/>
      <c r="F19" s="8"/>
      <c r="G19" s="22"/>
      <c r="H19" s="23"/>
      <c r="I19" s="29"/>
      <c r="J19" s="4"/>
      <c r="L19" s="8"/>
      <c r="M19" s="5"/>
      <c r="N19" s="57"/>
    </row>
    <row r="20" spans="2:14" ht="15" x14ac:dyDescent="0.25">
      <c r="B20" s="12">
        <f t="shared" si="0"/>
        <v>6</v>
      </c>
      <c r="C20" s="4"/>
      <c r="D20" s="8" t="s">
        <v>1</v>
      </c>
      <c r="E20" s="4"/>
      <c r="F20" s="8">
        <f>'Pref Stock'!O24</f>
        <v>2242499.73</v>
      </c>
      <c r="G20" s="25"/>
      <c r="H20" s="21">
        <f t="shared" ref="H20" si="2">ROUND(F20/$F$24,5)</f>
        <v>5.45E-3</v>
      </c>
      <c r="I20" s="30"/>
      <c r="J20" s="4"/>
      <c r="L20" s="4"/>
      <c r="M20" s="5"/>
      <c r="N20" s="4"/>
    </row>
    <row r="21" spans="2:14" ht="15" x14ac:dyDescent="0.25">
      <c r="B21" s="12">
        <f t="shared" si="0"/>
        <v>7</v>
      </c>
      <c r="C21" s="4"/>
      <c r="D21" s="4"/>
      <c r="E21" s="4"/>
      <c r="F21" s="8"/>
      <c r="G21" s="22"/>
      <c r="H21" s="23"/>
      <c r="I21" s="29"/>
      <c r="J21" s="4"/>
      <c r="L21" s="8"/>
      <c r="M21" s="5"/>
      <c r="N21" s="57"/>
    </row>
    <row r="22" spans="2:14" ht="15" x14ac:dyDescent="0.25">
      <c r="B22" s="12">
        <f t="shared" si="0"/>
        <v>8</v>
      </c>
      <c r="C22" s="4"/>
      <c r="D22" s="8" t="s">
        <v>0</v>
      </c>
      <c r="E22" s="4"/>
      <c r="F22" s="48">
        <f>Workpaper!Q373</f>
        <v>190673800.42900002</v>
      </c>
      <c r="G22" s="25"/>
      <c r="H22" s="28">
        <f>1-SUM(H16:H20)</f>
        <v>0.46305000000000007</v>
      </c>
      <c r="I22" s="29"/>
      <c r="J22" s="4"/>
    </row>
    <row r="23" spans="2:14" ht="15" x14ac:dyDescent="0.25">
      <c r="B23" s="12">
        <f t="shared" si="0"/>
        <v>9</v>
      </c>
      <c r="C23" s="4"/>
      <c r="D23" s="4"/>
      <c r="E23" s="4"/>
      <c r="F23" s="50"/>
      <c r="G23" s="18"/>
      <c r="H23" s="21"/>
      <c r="I23" s="30"/>
      <c r="J23" s="4"/>
    </row>
    <row r="24" spans="2:14" ht="15.75" thickBot="1" x14ac:dyDescent="0.3">
      <c r="B24" s="12">
        <f t="shared" si="0"/>
        <v>10</v>
      </c>
      <c r="C24" s="4"/>
      <c r="D24" s="8" t="s">
        <v>192</v>
      </c>
      <c r="E24" s="4"/>
      <c r="F24" s="51">
        <f>SUM(F16:F22)</f>
        <v>411772721.99433339</v>
      </c>
      <c r="G24" s="20"/>
      <c r="H24" s="31">
        <f>SUM(H16:H22)</f>
        <v>1</v>
      </c>
      <c r="I24" s="29"/>
      <c r="J24" s="4"/>
    </row>
    <row r="25" spans="2:14" ht="15.75" thickTop="1" x14ac:dyDescent="0.25">
      <c r="B25" s="12"/>
      <c r="C25" s="4"/>
      <c r="D25" s="4"/>
      <c r="E25" s="4"/>
      <c r="F25" s="17"/>
      <c r="G25" s="18"/>
      <c r="H25" s="17"/>
      <c r="I25" s="18"/>
      <c r="J25" s="4"/>
    </row>
    <row r="26" spans="2:14" ht="15" x14ac:dyDescent="0.25">
      <c r="B26" s="12"/>
      <c r="C26" s="4"/>
      <c r="D26" s="4"/>
      <c r="E26" s="4"/>
      <c r="F26" s="4"/>
      <c r="G26" s="4"/>
      <c r="H26" s="4"/>
      <c r="I26" s="22"/>
      <c r="J26" s="4"/>
    </row>
    <row r="27" spans="2:14" ht="15" x14ac:dyDescent="0.25">
      <c r="B27" s="12"/>
      <c r="C27" s="4"/>
      <c r="D27" s="4"/>
      <c r="E27" s="4"/>
      <c r="F27" s="4"/>
      <c r="G27" s="4"/>
      <c r="H27" s="4"/>
      <c r="I27" s="22"/>
      <c r="J27" s="4"/>
    </row>
    <row r="28" spans="2:14" ht="15" x14ac:dyDescent="0.25">
      <c r="B28" s="12"/>
      <c r="C28" s="4"/>
      <c r="D28" s="4"/>
      <c r="E28" s="4"/>
      <c r="F28" s="4"/>
      <c r="G28" s="4"/>
      <c r="H28" s="4"/>
      <c r="I28" s="22"/>
      <c r="J28" s="4"/>
    </row>
    <row r="29" spans="2:14" ht="15" x14ac:dyDescent="0.25">
      <c r="B29" s="12"/>
      <c r="C29" s="4"/>
      <c r="D29" s="4"/>
      <c r="E29" s="4"/>
      <c r="F29" s="4"/>
      <c r="G29" s="4"/>
      <c r="H29" s="4"/>
      <c r="I29" s="22"/>
      <c r="J29" s="4"/>
    </row>
    <row r="30" spans="2:14" ht="15" x14ac:dyDescent="0.25">
      <c r="B30" s="12"/>
      <c r="C30" s="4"/>
      <c r="D30" s="8"/>
      <c r="E30" s="4"/>
      <c r="F30" s="83"/>
      <c r="G30" s="4"/>
      <c r="H30" s="4"/>
      <c r="I30" s="22"/>
      <c r="J30" s="4"/>
    </row>
    <row r="33" spans="2:9" x14ac:dyDescent="0.2">
      <c r="B33" s="119"/>
      <c r="C33" s="119"/>
      <c r="D33" s="119"/>
      <c r="E33" s="119"/>
      <c r="F33" s="119"/>
      <c r="G33" s="119"/>
      <c r="H33" s="119"/>
      <c r="I33" s="119"/>
    </row>
    <row r="34" spans="2:9" ht="15" x14ac:dyDescent="0.25">
      <c r="B34" s="120"/>
      <c r="C34" s="119"/>
      <c r="D34" s="119"/>
      <c r="E34" s="119"/>
      <c r="F34" s="49"/>
      <c r="G34" s="20"/>
      <c r="H34" s="21"/>
      <c r="I34" s="30"/>
    </row>
    <row r="35" spans="2:9" ht="15" x14ac:dyDescent="0.25">
      <c r="B35" s="15"/>
      <c r="C35" s="15"/>
      <c r="D35" s="15"/>
      <c r="E35" s="15"/>
      <c r="F35" s="8"/>
      <c r="G35" s="22"/>
      <c r="H35" s="23"/>
      <c r="I35" s="30"/>
    </row>
    <row r="36" spans="2:9" ht="15" x14ac:dyDescent="0.25">
      <c r="B36" s="59"/>
      <c r="C36" s="22"/>
      <c r="D36" s="59"/>
      <c r="E36" s="15"/>
      <c r="F36" s="15"/>
      <c r="G36" s="25"/>
      <c r="H36" s="30"/>
      <c r="I36" s="30"/>
    </row>
    <row r="37" spans="2:9" ht="15" x14ac:dyDescent="0.25">
      <c r="B37" s="16"/>
      <c r="C37" s="15"/>
      <c r="D37" s="16"/>
      <c r="E37" s="15"/>
      <c r="F37" s="15"/>
      <c r="G37" s="22"/>
      <c r="H37" s="29"/>
      <c r="I37" s="29"/>
    </row>
    <row r="38" spans="2:9" ht="15" x14ac:dyDescent="0.25">
      <c r="B38" s="16"/>
      <c r="C38" s="18"/>
      <c r="D38" s="18"/>
      <c r="E38" s="15"/>
      <c r="F38" s="15"/>
      <c r="G38" s="25"/>
      <c r="H38" s="30"/>
      <c r="I38" s="30"/>
    </row>
    <row r="39" spans="2:9" ht="15" x14ac:dyDescent="0.25">
      <c r="B39" s="16"/>
      <c r="C39" s="22"/>
      <c r="D39" s="15"/>
      <c r="E39" s="15"/>
      <c r="F39" s="15"/>
      <c r="G39" s="22"/>
      <c r="H39" s="29"/>
      <c r="I39" s="29"/>
    </row>
    <row r="40" spans="2:9" ht="15" x14ac:dyDescent="0.25">
      <c r="B40" s="16"/>
      <c r="C40" s="22"/>
      <c r="D40" s="22"/>
      <c r="E40" s="22"/>
      <c r="F40" s="15"/>
      <c r="G40" s="25"/>
      <c r="H40" s="29"/>
      <c r="I40" s="29"/>
    </row>
    <row r="41" spans="2:9" ht="15" x14ac:dyDescent="0.25">
      <c r="B41" s="16"/>
      <c r="C41" s="22"/>
      <c r="D41" s="15"/>
      <c r="E41" s="22"/>
      <c r="F41" s="73"/>
      <c r="G41" s="18"/>
      <c r="H41" s="30"/>
      <c r="I41" s="30"/>
    </row>
    <row r="42" spans="2:9" ht="15" x14ac:dyDescent="0.25">
      <c r="B42" s="16"/>
      <c r="C42" s="22"/>
      <c r="D42" s="22"/>
      <c r="E42" s="22"/>
      <c r="F42" s="83"/>
      <c r="G42" s="20"/>
      <c r="H42" s="29"/>
      <c r="I42" s="29"/>
    </row>
    <row r="43" spans="2:9" ht="15" x14ac:dyDescent="0.25">
      <c r="B43" s="16"/>
      <c r="C43" s="22"/>
      <c r="D43" s="15"/>
      <c r="E43" s="22"/>
      <c r="F43" s="15"/>
      <c r="G43" s="25"/>
      <c r="H43" s="30"/>
      <c r="I43" s="30"/>
    </row>
    <row r="44" spans="2:9" ht="15" x14ac:dyDescent="0.25">
      <c r="B44" s="16"/>
      <c r="C44" s="22"/>
      <c r="D44" s="22"/>
      <c r="E44" s="22"/>
      <c r="F44" s="15"/>
      <c r="G44" s="22"/>
      <c r="H44" s="29"/>
      <c r="I44" s="29"/>
    </row>
    <row r="45" spans="2:9" ht="15" x14ac:dyDescent="0.25">
      <c r="B45" s="16"/>
      <c r="C45" s="22"/>
      <c r="D45" s="15"/>
      <c r="E45" s="22"/>
      <c r="F45" s="15"/>
      <c r="G45" s="25"/>
      <c r="H45" s="29"/>
      <c r="I45" s="29"/>
    </row>
    <row r="46" spans="2:9" ht="15" x14ac:dyDescent="0.25">
      <c r="B46" s="16"/>
      <c r="C46" s="22"/>
      <c r="D46" s="22"/>
      <c r="E46" s="22"/>
      <c r="F46" s="73"/>
      <c r="G46" s="18"/>
      <c r="H46" s="30"/>
      <c r="I46" s="30"/>
    </row>
    <row r="47" spans="2:9" ht="15" x14ac:dyDescent="0.25">
      <c r="B47" s="16"/>
      <c r="C47" s="22"/>
      <c r="D47" s="15"/>
      <c r="E47" s="22"/>
      <c r="F47" s="83"/>
      <c r="G47" s="20"/>
      <c r="H47" s="29"/>
      <c r="I47" s="29"/>
    </row>
    <row r="48" spans="2:9" ht="15" x14ac:dyDescent="0.25">
      <c r="B48" s="16"/>
      <c r="C48" s="22"/>
      <c r="D48" s="22"/>
      <c r="E48" s="22"/>
      <c r="F48" s="18"/>
      <c r="G48" s="18"/>
      <c r="H48" s="18"/>
      <c r="I48" s="18"/>
    </row>
    <row r="49" spans="2:9" ht="15" x14ac:dyDescent="0.25">
      <c r="B49" s="16"/>
      <c r="C49" s="22"/>
      <c r="D49" s="22"/>
      <c r="E49" s="22"/>
      <c r="F49" s="22"/>
      <c r="G49" s="22"/>
      <c r="H49" s="22"/>
      <c r="I49" s="22"/>
    </row>
    <row r="50" spans="2:9" ht="15" x14ac:dyDescent="0.25">
      <c r="B50" s="16"/>
      <c r="C50" s="22"/>
      <c r="D50" s="22"/>
      <c r="E50" s="22"/>
      <c r="F50" s="22"/>
      <c r="G50" s="22"/>
      <c r="H50" s="22"/>
      <c r="I50" s="22"/>
    </row>
    <row r="51" spans="2:9" ht="15" x14ac:dyDescent="0.25">
      <c r="B51" s="16"/>
      <c r="C51" s="22"/>
      <c r="D51" s="22"/>
      <c r="E51" s="22"/>
      <c r="F51" s="22"/>
      <c r="G51" s="22"/>
      <c r="H51" s="22"/>
      <c r="I51" s="22"/>
    </row>
    <row r="52" spans="2:9" ht="15" x14ac:dyDescent="0.25">
      <c r="B52" s="16"/>
      <c r="C52" s="22"/>
      <c r="D52" s="22"/>
      <c r="E52" s="22"/>
      <c r="F52" s="22"/>
      <c r="G52" s="22"/>
      <c r="H52" s="22"/>
      <c r="I52" s="22"/>
    </row>
    <row r="53" spans="2:9" ht="15" x14ac:dyDescent="0.25">
      <c r="B53" s="16"/>
      <c r="C53" s="22"/>
      <c r="D53" s="15"/>
      <c r="E53" s="22"/>
      <c r="F53" s="83"/>
      <c r="G53" s="22"/>
      <c r="H53" s="22"/>
      <c r="I53" s="22"/>
    </row>
  </sheetData>
  <mergeCells count="3">
    <mergeCell ref="B7:H7"/>
    <mergeCell ref="B8:H8"/>
    <mergeCell ref="B9:H9"/>
  </mergeCells>
  <printOptions horizontalCentered="1"/>
  <pageMargins left="0.75" right="0.75" top="1" bottom="0.5" header="0.3" footer="0.3"/>
  <pageSetup scale="99" orientation="portrait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CU72"/>
  <sheetViews>
    <sheetView zoomScaleNormal="100" zoomScaleSheetLayoutView="100" workbookViewId="0"/>
  </sheetViews>
  <sheetFormatPr defaultColWidth="16.7109375" defaultRowHeight="14.25" x14ac:dyDescent="0.2"/>
  <cols>
    <col min="1" max="1" width="4.7109375" style="5" customWidth="1"/>
    <col min="2" max="2" width="1.7109375" style="5" customWidth="1"/>
    <col min="3" max="3" width="20" style="5" customWidth="1"/>
    <col min="4" max="4" width="1.7109375" style="5" customWidth="1"/>
    <col min="5" max="5" width="11.140625" style="5" customWidth="1"/>
    <col min="6" max="6" width="1.7109375" style="5" customWidth="1"/>
    <col min="7" max="7" width="10.7109375" style="5" bestFit="1" customWidth="1"/>
    <col min="8" max="8" width="1.7109375" style="5" customWidth="1"/>
    <col min="9" max="9" width="12.85546875" style="5" bestFit="1" customWidth="1"/>
    <col min="10" max="10" width="1.7109375" style="5" customWidth="1"/>
    <col min="11" max="11" width="8.42578125" style="5" bestFit="1" customWidth="1"/>
    <col min="12" max="12" width="1.85546875" style="5" customWidth="1"/>
    <col min="13" max="13" width="10" style="5" bestFit="1" customWidth="1"/>
    <col min="14" max="14" width="1.7109375" style="5" customWidth="1"/>
    <col min="15" max="15" width="12.5703125" style="5" bestFit="1" customWidth="1"/>
    <col min="16" max="16" width="1.7109375" style="5" customWidth="1"/>
    <col min="17" max="17" width="12.85546875" style="5" bestFit="1" customWidth="1"/>
    <col min="18" max="18" width="1.7109375" style="5" customWidth="1"/>
    <col min="19" max="19" width="12.28515625" style="5" customWidth="1"/>
    <col min="20" max="20" width="1.7109375" style="5" customWidth="1"/>
    <col min="21" max="21" width="11.42578125" style="5" bestFit="1" customWidth="1"/>
    <col min="22" max="22" width="1.7109375" style="5" customWidth="1"/>
    <col min="23" max="23" width="11.140625" style="5" bestFit="1" customWidth="1"/>
    <col min="24" max="24" width="1.7109375" style="5" customWidth="1"/>
    <col min="25" max="25" width="11.5703125" style="5" bestFit="1" customWidth="1"/>
    <col min="26" max="26" width="1.7109375" style="5" customWidth="1"/>
    <col min="27" max="27" width="12.42578125" style="5" bestFit="1" customWidth="1"/>
    <col min="28" max="28" width="1.7109375" style="5" customWidth="1"/>
    <col min="29" max="29" width="12.85546875" style="5" bestFit="1" customWidth="1"/>
    <col min="30" max="30" width="16.7109375" style="5"/>
    <col min="31" max="31" width="16.85546875" style="5" bestFit="1" customWidth="1"/>
    <col min="32" max="34" width="16.7109375" style="5"/>
    <col min="35" max="35" width="6.85546875" style="5" customWidth="1"/>
    <col min="36" max="43" width="16.7109375" style="5"/>
    <col min="44" max="44" width="15" style="5" customWidth="1"/>
    <col min="45" max="16384" width="16.7109375" style="5"/>
  </cols>
  <sheetData>
    <row r="1" spans="1:99" ht="15" x14ac:dyDescent="0.25">
      <c r="A1" s="154" t="s">
        <v>144</v>
      </c>
      <c r="AC1" s="109" t="s">
        <v>92</v>
      </c>
    </row>
    <row r="2" spans="1:99" ht="15" x14ac:dyDescent="0.25">
      <c r="A2" s="33" t="s">
        <v>163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0"/>
    </row>
    <row r="3" spans="1:99" ht="15" x14ac:dyDescent="0.25">
      <c r="A3" s="154" t="s">
        <v>145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ht="15" customHeight="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0"/>
    </row>
    <row r="5" spans="1:99" ht="15" customHeight="1" x14ac:dyDescent="0.2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0"/>
    </row>
    <row r="6" spans="1:99" ht="15" x14ac:dyDescent="0.25">
      <c r="A6" s="9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D6" s="10"/>
    </row>
    <row r="7" spans="1:99" ht="15" x14ac:dyDescent="0.25">
      <c r="A7" s="110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D7" s="10"/>
    </row>
    <row r="8" spans="1:99" ht="15" x14ac:dyDescent="0.25">
      <c r="A8" s="8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D8" s="10"/>
    </row>
    <row r="9" spans="1:99" ht="15" x14ac:dyDescent="0.25">
      <c r="A9" s="161" t="s">
        <v>187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0"/>
    </row>
    <row r="10" spans="1:99" ht="15" x14ac:dyDescent="0.25">
      <c r="A10" s="162" t="s">
        <v>143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0"/>
    </row>
    <row r="11" spans="1:99" ht="15" x14ac:dyDescent="0.25">
      <c r="A11" s="8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1"/>
      <c r="AD11" s="10"/>
    </row>
    <row r="12" spans="1:99" ht="15" x14ac:dyDescent="0.25">
      <c r="A12" s="8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1"/>
      <c r="AD12" s="10"/>
    </row>
    <row r="13" spans="1:99" ht="15" x14ac:dyDescent="0.25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1"/>
      <c r="AD13" s="10"/>
    </row>
    <row r="14" spans="1:99" ht="15" x14ac:dyDescent="0.25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1"/>
      <c r="AD14" s="10"/>
    </row>
    <row r="15" spans="1:99" ht="15" x14ac:dyDescent="0.25">
      <c r="A15" s="17"/>
      <c r="B15" s="18"/>
      <c r="C15" s="4"/>
      <c r="D15" s="22"/>
      <c r="E15" s="4"/>
      <c r="F15" s="22"/>
      <c r="G15" s="4"/>
      <c r="H15" s="4"/>
      <c r="I15" s="4"/>
      <c r="J15" s="4"/>
      <c r="K15" s="4"/>
      <c r="L15" s="4"/>
      <c r="M15" s="22"/>
      <c r="N15" s="4"/>
      <c r="O15" s="4"/>
      <c r="P15" s="4"/>
      <c r="Q15" s="4"/>
      <c r="R15" s="4"/>
      <c r="S15" s="4"/>
      <c r="T15" s="4"/>
      <c r="U15" s="12" t="s">
        <v>167</v>
      </c>
      <c r="V15" s="4"/>
      <c r="W15" s="12" t="s">
        <v>7</v>
      </c>
      <c r="X15" s="4"/>
      <c r="Y15" s="4"/>
      <c r="Z15" s="4"/>
      <c r="AA15" s="4"/>
      <c r="AB15" s="4"/>
      <c r="AC15" s="4"/>
      <c r="AD15" s="10"/>
    </row>
    <row r="16" spans="1:99" ht="15" x14ac:dyDescent="0.25">
      <c r="A16" s="8"/>
      <c r="B16" s="8"/>
      <c r="C16" s="8"/>
      <c r="D16" s="8"/>
      <c r="E16" s="8"/>
      <c r="F16" s="8"/>
      <c r="G16" s="8"/>
      <c r="H16" s="8"/>
      <c r="I16" s="12" t="s">
        <v>7</v>
      </c>
      <c r="J16" s="8"/>
      <c r="K16" s="8"/>
      <c r="L16" s="8"/>
      <c r="M16" s="8"/>
      <c r="N16" s="8"/>
      <c r="O16" s="8"/>
      <c r="P16" s="8"/>
      <c r="Q16" s="12" t="s">
        <v>7</v>
      </c>
      <c r="R16" s="8"/>
      <c r="S16" s="12" t="s">
        <v>19</v>
      </c>
      <c r="T16" s="12"/>
      <c r="U16" s="12" t="s">
        <v>168</v>
      </c>
      <c r="V16" s="12"/>
      <c r="W16" s="12" t="s">
        <v>20</v>
      </c>
      <c r="X16" s="12"/>
      <c r="Y16" s="12" t="s">
        <v>7</v>
      </c>
      <c r="Z16" s="8"/>
      <c r="AA16" s="12" t="s">
        <v>7</v>
      </c>
      <c r="AB16" s="8"/>
      <c r="AC16" s="12" t="s">
        <v>7</v>
      </c>
      <c r="AD16" s="10"/>
    </row>
    <row r="17" spans="1:30" ht="15" x14ac:dyDescent="0.25">
      <c r="A17" s="13" t="s">
        <v>4</v>
      </c>
      <c r="B17" s="4"/>
      <c r="C17" s="13" t="s">
        <v>21</v>
      </c>
      <c r="D17" s="7"/>
      <c r="E17" s="13" t="s">
        <v>16</v>
      </c>
      <c r="F17" s="13"/>
      <c r="G17" s="13" t="s">
        <v>22</v>
      </c>
      <c r="H17" s="13"/>
      <c r="I17" s="13" t="s">
        <v>10</v>
      </c>
      <c r="J17" s="13"/>
      <c r="K17" s="13" t="s">
        <v>12</v>
      </c>
      <c r="L17" s="13"/>
      <c r="M17" s="13" t="s">
        <v>12</v>
      </c>
      <c r="N17" s="13"/>
      <c r="O17" s="13" t="s">
        <v>23</v>
      </c>
      <c r="P17" s="13"/>
      <c r="Q17" s="13" t="s">
        <v>24</v>
      </c>
      <c r="R17" s="13"/>
      <c r="S17" s="13" t="s">
        <v>25</v>
      </c>
      <c r="T17" s="13"/>
      <c r="U17" s="13" t="s">
        <v>43</v>
      </c>
      <c r="V17" s="13"/>
      <c r="W17" s="13" t="s">
        <v>169</v>
      </c>
      <c r="X17" s="13"/>
      <c r="Y17" s="13" t="s">
        <v>20</v>
      </c>
      <c r="Z17" s="13"/>
      <c r="AA17" s="13" t="s">
        <v>20</v>
      </c>
      <c r="AB17" s="13"/>
      <c r="AC17" s="13" t="s">
        <v>6</v>
      </c>
      <c r="AD17" s="10"/>
    </row>
    <row r="18" spans="1:30" ht="15.75" thickBot="1" x14ac:dyDescent="0.3">
      <c r="A18" s="14" t="s">
        <v>8</v>
      </c>
      <c r="B18" s="16"/>
      <c r="C18" s="14" t="s">
        <v>26</v>
      </c>
      <c r="D18" s="36"/>
      <c r="E18" s="14" t="s">
        <v>27</v>
      </c>
      <c r="F18" s="16"/>
      <c r="G18" s="14" t="s">
        <v>27</v>
      </c>
      <c r="H18" s="16"/>
      <c r="I18" s="14" t="s">
        <v>17</v>
      </c>
      <c r="J18" s="16"/>
      <c r="K18" s="14" t="s">
        <v>28</v>
      </c>
      <c r="L18" s="16"/>
      <c r="M18" s="14" t="s">
        <v>29</v>
      </c>
      <c r="N18" s="16"/>
      <c r="O18" s="14" t="s">
        <v>15</v>
      </c>
      <c r="P18" s="16"/>
      <c r="Q18" s="14" t="s">
        <v>10</v>
      </c>
      <c r="R18" s="16"/>
      <c r="S18" s="14" t="s">
        <v>30</v>
      </c>
      <c r="T18" s="16"/>
      <c r="U18" s="14" t="s">
        <v>166</v>
      </c>
      <c r="V18" s="16"/>
      <c r="W18" s="14" t="s">
        <v>31</v>
      </c>
      <c r="X18" s="16"/>
      <c r="Y18" s="14" t="s">
        <v>32</v>
      </c>
      <c r="Z18" s="16"/>
      <c r="AA18" s="14" t="s">
        <v>33</v>
      </c>
      <c r="AB18" s="16"/>
      <c r="AC18" s="14" t="s">
        <v>34</v>
      </c>
      <c r="AD18" s="10"/>
    </row>
    <row r="19" spans="1:30" ht="15" x14ac:dyDescent="0.25">
      <c r="A19" s="12">
        <v>1</v>
      </c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0"/>
    </row>
    <row r="20" spans="1:30" ht="15" x14ac:dyDescent="0.25">
      <c r="A20" s="12">
        <f>A19+1</f>
        <v>2</v>
      </c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0"/>
    </row>
    <row r="21" spans="1:30" ht="15" x14ac:dyDescent="0.25">
      <c r="A21" s="12">
        <f t="shared" ref="A21:A36" si="0">A20+1</f>
        <v>3</v>
      </c>
      <c r="B21" s="12"/>
      <c r="C21" s="37" t="s">
        <v>35</v>
      </c>
      <c r="D21" s="3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0"/>
    </row>
    <row r="22" spans="1:30" ht="15" x14ac:dyDescent="0.25">
      <c r="A22" s="12">
        <v>2</v>
      </c>
      <c r="B22" s="12"/>
      <c r="C22" s="11" t="str">
        <f>+Workpaper!B14</f>
        <v xml:space="preserve">    Series 6.96%   GMB</v>
      </c>
      <c r="D22" s="11"/>
      <c r="E22" s="38">
        <v>34304</v>
      </c>
      <c r="F22" s="38"/>
      <c r="G22" s="38">
        <f>DATE(23,12,1)</f>
        <v>8736</v>
      </c>
      <c r="H22" s="38"/>
      <c r="I22" s="32">
        <f>Workpaper!Q14</f>
        <v>7000000</v>
      </c>
      <c r="J22" s="32"/>
      <c r="K22" s="56">
        <f>Workpaper!C14</f>
        <v>6.9599999999999995E-2</v>
      </c>
      <c r="L22" s="44"/>
      <c r="M22" s="56">
        <f>IF(I22=0,0,ROUND((I22*K22+S22+U22)/I22,5))</f>
        <v>7.0059999999999997E-2</v>
      </c>
      <c r="N22" s="54"/>
      <c r="O22" s="32">
        <f t="shared" ref="O22:O34" si="1">ROUND(M22*I22,0)</f>
        <v>490420</v>
      </c>
      <c r="P22" s="53"/>
      <c r="Q22" s="32">
        <f>I22</f>
        <v>7000000</v>
      </c>
      <c r="R22" s="53"/>
      <c r="S22" s="32">
        <f>SUM(Workpaper!Q105,Workpaper!Q118)</f>
        <v>3231.24</v>
      </c>
      <c r="T22" s="32"/>
      <c r="U22" s="32"/>
      <c r="V22" s="54"/>
      <c r="W22" s="26">
        <v>0</v>
      </c>
      <c r="X22" s="54"/>
      <c r="Y22" s="32">
        <f>Workpaper!Q59+Workpaper!Q72</f>
        <v>20703.738333333338</v>
      </c>
      <c r="Z22" s="54"/>
      <c r="AA22" s="55">
        <v>0</v>
      </c>
      <c r="AB22" s="54"/>
      <c r="AC22" s="32">
        <f t="shared" ref="AC22:AC34" si="2">I22+W22-Y22+AA22</f>
        <v>6979296.2616666667</v>
      </c>
      <c r="AD22" s="39"/>
    </row>
    <row r="23" spans="1:30" ht="15" x14ac:dyDescent="0.25">
      <c r="A23" s="12">
        <f t="shared" ref="A23" si="3">A22+1</f>
        <v>3</v>
      </c>
      <c r="B23" s="12"/>
      <c r="C23" s="11" t="str">
        <f>+Workpaper!B15</f>
        <v xml:space="preserve">    Series 7.15%   GMB</v>
      </c>
      <c r="D23" s="11"/>
      <c r="E23" s="38">
        <v>35462</v>
      </c>
      <c r="F23" s="38"/>
      <c r="G23" s="38">
        <f>DATE(27,2,1)</f>
        <v>9894</v>
      </c>
      <c r="H23" s="38"/>
      <c r="I23" s="24">
        <f>Workpaper!Q15</f>
        <v>7500000</v>
      </c>
      <c r="J23" s="24"/>
      <c r="K23" s="56">
        <f>Workpaper!C15</f>
        <v>7.1499999999999994E-2</v>
      </c>
      <c r="L23" s="26"/>
      <c r="M23" s="56">
        <f t="shared" ref="M23:M34" si="4">IF(I23=0,0,ROUND((I23*K23+S23+U23)/I23,5))</f>
        <v>7.1819999999999995E-2</v>
      </c>
      <c r="N23" s="54"/>
      <c r="O23" s="24">
        <f t="shared" si="1"/>
        <v>538650</v>
      </c>
      <c r="P23" s="8"/>
      <c r="Q23" s="24">
        <f t="shared" ref="Q23:Q34" si="5">I23</f>
        <v>7500000</v>
      </c>
      <c r="R23" s="8"/>
      <c r="S23" s="24">
        <f>Workpaper!Q106</f>
        <v>2434.16</v>
      </c>
      <c r="T23" s="24"/>
      <c r="U23" s="24"/>
      <c r="V23" s="50"/>
      <c r="W23" s="26">
        <v>0</v>
      </c>
      <c r="X23" s="50"/>
      <c r="Y23" s="24">
        <f>Workpaper!Q60</f>
        <v>23271.594333333334</v>
      </c>
      <c r="Z23" s="50"/>
      <c r="AA23" s="50">
        <v>0</v>
      </c>
      <c r="AB23" s="50"/>
      <c r="AC23" s="24">
        <f t="shared" si="2"/>
        <v>7476728.405666667</v>
      </c>
      <c r="AD23" s="39"/>
    </row>
    <row r="24" spans="1:30" ht="15" x14ac:dyDescent="0.25">
      <c r="A24" s="12">
        <f t="shared" si="0"/>
        <v>4</v>
      </c>
      <c r="B24" s="12"/>
      <c r="C24" s="11" t="str">
        <f>+Workpaper!B16</f>
        <v xml:space="preserve">    Series 6.99%   GMB</v>
      </c>
      <c r="D24" s="11"/>
      <c r="E24" s="38">
        <v>35947</v>
      </c>
      <c r="F24" s="38"/>
      <c r="G24" s="38">
        <f>DATE(28,6,1)</f>
        <v>10380</v>
      </c>
      <c r="H24" s="38"/>
      <c r="I24" s="24">
        <f>Workpaper!Q16</f>
        <v>9000000</v>
      </c>
      <c r="J24" s="24"/>
      <c r="K24" s="56">
        <f>Workpaper!C16</f>
        <v>6.9900000000000004E-2</v>
      </c>
      <c r="L24" s="26"/>
      <c r="M24" s="56">
        <f t="shared" si="4"/>
        <v>7.0260000000000003E-2</v>
      </c>
      <c r="N24" s="54"/>
      <c r="O24" s="24">
        <f t="shared" si="1"/>
        <v>632340</v>
      </c>
      <c r="P24" s="8"/>
      <c r="Q24" s="24">
        <f t="shared" si="5"/>
        <v>9000000</v>
      </c>
      <c r="R24" s="8"/>
      <c r="S24" s="24">
        <f>Workpaper!Q107</f>
        <v>3269.0600000000009</v>
      </c>
      <c r="T24" s="24"/>
      <c r="U24" s="24"/>
      <c r="V24" s="50"/>
      <c r="W24" s="26">
        <v>0</v>
      </c>
      <c r="X24" s="50"/>
      <c r="Y24" s="24">
        <f>Workpaper!Q61</f>
        <v>35600.167333333331</v>
      </c>
      <c r="Z24" s="50"/>
      <c r="AA24" s="50">
        <v>0</v>
      </c>
      <c r="AB24" s="50"/>
      <c r="AC24" s="24">
        <f t="shared" si="2"/>
        <v>8964399.8326666672</v>
      </c>
      <c r="AD24" s="39"/>
    </row>
    <row r="25" spans="1:30" ht="15" x14ac:dyDescent="0.25">
      <c r="A25" s="12">
        <v>3</v>
      </c>
      <c r="B25" s="12"/>
      <c r="C25" s="11"/>
      <c r="D25" s="11"/>
      <c r="E25" s="38"/>
      <c r="F25" s="38"/>
      <c r="G25" s="38"/>
      <c r="H25" s="38"/>
      <c r="I25" s="24"/>
      <c r="J25" s="24"/>
      <c r="K25" s="56"/>
      <c r="L25" s="26"/>
      <c r="M25" s="56"/>
      <c r="N25" s="54"/>
      <c r="O25" s="24"/>
      <c r="P25" s="8"/>
      <c r="Q25" s="24"/>
      <c r="R25" s="8"/>
      <c r="S25" s="24"/>
      <c r="T25" s="24"/>
      <c r="U25" s="24"/>
      <c r="V25" s="50"/>
      <c r="W25" s="26"/>
      <c r="X25" s="50"/>
      <c r="Y25" s="24"/>
      <c r="Z25" s="50"/>
      <c r="AA25" s="50"/>
      <c r="AB25" s="50"/>
      <c r="AC25" s="24"/>
      <c r="AD25" s="39"/>
    </row>
    <row r="26" spans="1:30" ht="15" x14ac:dyDescent="0.25">
      <c r="A26" s="12">
        <f t="shared" ref="A26" si="6">A25+1</f>
        <v>4</v>
      </c>
      <c r="B26" s="12"/>
      <c r="C26" s="37" t="s">
        <v>190</v>
      </c>
      <c r="D26" s="11"/>
      <c r="E26" s="38"/>
      <c r="F26" s="38"/>
      <c r="G26" s="38"/>
      <c r="H26" s="38"/>
      <c r="I26" s="24"/>
      <c r="J26" s="24"/>
      <c r="K26" s="56"/>
      <c r="L26" s="26"/>
      <c r="M26" s="56"/>
      <c r="N26" s="54"/>
      <c r="O26" s="24"/>
      <c r="P26" s="8"/>
      <c r="Q26" s="24"/>
      <c r="R26" s="8"/>
      <c r="S26" s="24"/>
      <c r="T26" s="24"/>
      <c r="U26" s="24"/>
      <c r="V26" s="50"/>
      <c r="W26" s="26"/>
      <c r="X26" s="50"/>
      <c r="Y26" s="24"/>
      <c r="Z26" s="50"/>
      <c r="AA26" s="50"/>
      <c r="AB26" s="50"/>
      <c r="AC26" s="24"/>
      <c r="AD26" s="39"/>
    </row>
    <row r="27" spans="1:30" ht="15" x14ac:dyDescent="0.25">
      <c r="A27" s="12">
        <f t="shared" si="0"/>
        <v>5</v>
      </c>
      <c r="B27" s="12"/>
      <c r="C27" s="11" t="str">
        <f>+Workpaper!B17</f>
        <v xml:space="preserve">    Series 6.593%  Note</v>
      </c>
      <c r="D27" s="11"/>
      <c r="E27" s="40">
        <v>39377</v>
      </c>
      <c r="F27" s="40"/>
      <c r="G27" s="40">
        <v>50328</v>
      </c>
      <c r="H27" s="40"/>
      <c r="I27" s="24">
        <f>Workpaper!Q17</f>
        <v>47000000</v>
      </c>
      <c r="J27" s="24"/>
      <c r="K27" s="56">
        <f>Workpaper!C17</f>
        <v>6.5930000000000002E-2</v>
      </c>
      <c r="L27" s="26"/>
      <c r="M27" s="56">
        <f t="shared" si="4"/>
        <v>6.6280000000000006E-2</v>
      </c>
      <c r="N27" s="54"/>
      <c r="O27" s="24">
        <f t="shared" si="1"/>
        <v>3115160</v>
      </c>
      <c r="P27" s="8"/>
      <c r="Q27" s="24">
        <f t="shared" si="5"/>
        <v>47000000</v>
      </c>
      <c r="R27" s="8"/>
      <c r="S27" s="24">
        <f>Workpaper!Q108</f>
        <v>16643.629999999997</v>
      </c>
      <c r="T27" s="24"/>
      <c r="U27" s="24"/>
      <c r="V27" s="50"/>
      <c r="W27" s="26">
        <v>0</v>
      </c>
      <c r="X27" s="50"/>
      <c r="Y27" s="24">
        <f>Workpaper!Q62</f>
        <v>336804.04999999993</v>
      </c>
      <c r="Z27" s="50"/>
      <c r="AA27" s="50">
        <v>0</v>
      </c>
      <c r="AB27" s="50"/>
      <c r="AC27" s="24">
        <f t="shared" si="2"/>
        <v>46663195.950000003</v>
      </c>
      <c r="AD27" s="39"/>
    </row>
    <row r="28" spans="1:30" ht="15" x14ac:dyDescent="0.25">
      <c r="A28" s="12">
        <v>4</v>
      </c>
      <c r="B28" s="12"/>
      <c r="C28" s="11" t="str">
        <f>+Workpaper!B18</f>
        <v xml:space="preserve">    Series 6.25%    Note</v>
      </c>
      <c r="D28" s="11"/>
      <c r="E28" s="40">
        <v>39987</v>
      </c>
      <c r="F28" s="40"/>
      <c r="G28" s="40">
        <v>50922</v>
      </c>
      <c r="H28" s="40"/>
      <c r="I28" s="24">
        <f>Workpaper!Q18</f>
        <v>45390000</v>
      </c>
      <c r="J28" s="24"/>
      <c r="K28" s="56">
        <f>Workpaper!C18</f>
        <v>6.25E-2</v>
      </c>
      <c r="L28" s="26"/>
      <c r="M28" s="56">
        <f t="shared" si="4"/>
        <v>6.2950000000000006E-2</v>
      </c>
      <c r="N28" s="54"/>
      <c r="O28" s="24">
        <f t="shared" si="1"/>
        <v>2857301</v>
      </c>
      <c r="P28" s="8"/>
      <c r="Q28" s="24">
        <f t="shared" si="5"/>
        <v>45390000</v>
      </c>
      <c r="R28" s="8"/>
      <c r="S28" s="24">
        <f>Workpaper!Q109</f>
        <v>20440.590000000004</v>
      </c>
      <c r="T28" s="24"/>
      <c r="U28" s="24"/>
      <c r="V28" s="50"/>
      <c r="W28" s="26">
        <v>0</v>
      </c>
      <c r="X28" s="50"/>
      <c r="Y28" s="24">
        <f>Workpaper!Q63</f>
        <v>446818.9123333334</v>
      </c>
      <c r="Z28" s="50"/>
      <c r="AA28" s="50">
        <v>0</v>
      </c>
      <c r="AB28" s="50"/>
      <c r="AC28" s="24">
        <f t="shared" si="2"/>
        <v>44943181.087666668</v>
      </c>
      <c r="AD28" s="39"/>
    </row>
    <row r="29" spans="1:30" ht="15" x14ac:dyDescent="0.25">
      <c r="A29" s="12">
        <f t="shared" ref="A29" si="7">A28+1</f>
        <v>5</v>
      </c>
      <c r="B29" s="12"/>
      <c r="C29" s="11" t="str">
        <f>+Workpaper!B19</f>
        <v xml:space="preserve">    Series 5.625%  Note</v>
      </c>
      <c r="D29" s="11"/>
      <c r="E29" s="38">
        <v>40066</v>
      </c>
      <c r="F29" s="38"/>
      <c r="G29" s="38">
        <v>51014</v>
      </c>
      <c r="H29" s="38"/>
      <c r="I29" s="24">
        <f>Workpaper!Q19</f>
        <v>26000000</v>
      </c>
      <c r="J29" s="24"/>
      <c r="K29" s="56">
        <f>Workpaper!C19</f>
        <v>5.6250000000000001E-2</v>
      </c>
      <c r="L29" s="26"/>
      <c r="M29" s="56">
        <f t="shared" si="4"/>
        <v>5.6750000000000002E-2</v>
      </c>
      <c r="N29" s="54"/>
      <c r="O29" s="24">
        <f t="shared" si="1"/>
        <v>1475500</v>
      </c>
      <c r="P29" s="8"/>
      <c r="Q29" s="24">
        <f t="shared" si="5"/>
        <v>26000000</v>
      </c>
      <c r="R29" s="8"/>
      <c r="S29" s="24">
        <f>Workpaper!Q110</f>
        <v>13040.449999999999</v>
      </c>
      <c r="T29" s="24"/>
      <c r="U29" s="24"/>
      <c r="V29" s="50"/>
      <c r="W29" s="26">
        <v>0</v>
      </c>
      <c r="X29" s="50"/>
      <c r="Y29" s="24">
        <f>Workpaper!Q64</f>
        <v>288306.78133333346</v>
      </c>
      <c r="Z29" s="50"/>
      <c r="AA29" s="50">
        <v>0</v>
      </c>
      <c r="AB29" s="50"/>
      <c r="AC29" s="24">
        <f t="shared" si="2"/>
        <v>25711693.218666665</v>
      </c>
      <c r="AD29" s="39"/>
    </row>
    <row r="30" spans="1:30" ht="15" x14ac:dyDescent="0.25">
      <c r="A30" s="12">
        <f t="shared" si="0"/>
        <v>6</v>
      </c>
      <c r="B30" s="12"/>
      <c r="C30" s="11" t="str">
        <f>+Workpaper!B20</f>
        <v xml:space="preserve">    Series 5.375%  Note</v>
      </c>
      <c r="D30" s="11"/>
      <c r="E30" s="38">
        <v>40353</v>
      </c>
      <c r="F30" s="38"/>
      <c r="G30" s="38">
        <v>51288</v>
      </c>
      <c r="H30" s="38"/>
      <c r="I30" s="24">
        <f>Workpaper!Q20</f>
        <v>26000000</v>
      </c>
      <c r="J30" s="24"/>
      <c r="K30" s="56">
        <f>Workpaper!C20</f>
        <v>5.3749999999999999E-2</v>
      </c>
      <c r="L30" s="26"/>
      <c r="M30" s="56">
        <f t="shared" si="4"/>
        <v>5.4170000000000003E-2</v>
      </c>
      <c r="N30" s="54"/>
      <c r="O30" s="24">
        <f t="shared" si="1"/>
        <v>1408420</v>
      </c>
      <c r="P30" s="8"/>
      <c r="Q30" s="24">
        <f t="shared" si="5"/>
        <v>26000000</v>
      </c>
      <c r="R30" s="8"/>
      <c r="S30" s="24">
        <f>Workpaper!Q111</f>
        <v>10892.53</v>
      </c>
      <c r="T30" s="24"/>
      <c r="U30" s="24"/>
      <c r="V30" s="50"/>
      <c r="W30" s="26">
        <v>0</v>
      </c>
      <c r="X30" s="50"/>
      <c r="Y30" s="24">
        <f>Workpaper!Q65</f>
        <v>248967.59099999996</v>
      </c>
      <c r="Z30" s="50"/>
      <c r="AA30" s="50">
        <v>0</v>
      </c>
      <c r="AB30" s="50"/>
      <c r="AC30" s="24">
        <f t="shared" si="2"/>
        <v>25751032.409000002</v>
      </c>
      <c r="AD30" s="39"/>
    </row>
    <row r="31" spans="1:30" ht="15" x14ac:dyDescent="0.25">
      <c r="A31" s="12">
        <v>5</v>
      </c>
      <c r="B31" s="12"/>
      <c r="C31" s="11" t="str">
        <f>+Workpaper!B21</f>
        <v xml:space="preserve">    Series 5.05%    Note</v>
      </c>
      <c r="D31" s="11"/>
      <c r="E31" s="38">
        <v>40868</v>
      </c>
      <c r="F31" s="38"/>
      <c r="G31" s="38">
        <v>50328</v>
      </c>
      <c r="H31" s="38"/>
      <c r="I31" s="24">
        <f>Workpaper!Q21</f>
        <v>20000000</v>
      </c>
      <c r="J31" s="24"/>
      <c r="K31" s="56">
        <f>Workpaper!C21</f>
        <v>5.0500000000000003E-2</v>
      </c>
      <c r="L31" s="26"/>
      <c r="M31" s="56">
        <f t="shared" si="4"/>
        <v>5.0500000000000003E-2</v>
      </c>
      <c r="N31" s="54"/>
      <c r="O31" s="24">
        <f t="shared" si="1"/>
        <v>1010000</v>
      </c>
      <c r="P31" s="8"/>
      <c r="Q31" s="24">
        <f t="shared" si="5"/>
        <v>20000000</v>
      </c>
      <c r="R31" s="8"/>
      <c r="S31" s="24">
        <f>Workpaper!Q112</f>
        <v>0</v>
      </c>
      <c r="T31" s="24"/>
      <c r="U31" s="24"/>
      <c r="V31" s="50"/>
      <c r="W31" s="26">
        <v>0</v>
      </c>
      <c r="X31" s="50"/>
      <c r="Y31" s="24">
        <f>Workpaper!Q66</f>
        <v>0</v>
      </c>
      <c r="Z31" s="50"/>
      <c r="AA31" s="50">
        <v>0</v>
      </c>
      <c r="AB31" s="50"/>
      <c r="AC31" s="24">
        <f t="shared" si="2"/>
        <v>20000000</v>
      </c>
      <c r="AD31" s="39"/>
    </row>
    <row r="32" spans="1:30" ht="15" x14ac:dyDescent="0.25">
      <c r="A32" s="12">
        <f t="shared" ref="A32" si="8">A31+1</f>
        <v>6</v>
      </c>
      <c r="B32" s="12"/>
      <c r="C32" s="11" t="str">
        <f>+Workpaper!B22</f>
        <v xml:space="preserve">    Series 4.00%    Note</v>
      </c>
      <c r="D32" s="11"/>
      <c r="E32" s="38">
        <v>41409</v>
      </c>
      <c r="F32" s="38"/>
      <c r="G32" s="38">
        <v>50328</v>
      </c>
      <c r="H32" s="38"/>
      <c r="I32" s="24">
        <f>Workpaper!Q22</f>
        <v>7859000</v>
      </c>
      <c r="J32" s="24"/>
      <c r="K32" s="56">
        <f>Workpaper!C22</f>
        <v>0.04</v>
      </c>
      <c r="L32" s="26"/>
      <c r="M32" s="56">
        <f t="shared" si="4"/>
        <v>0.04</v>
      </c>
      <c r="N32" s="54"/>
      <c r="O32" s="24">
        <f t="shared" si="1"/>
        <v>314360</v>
      </c>
      <c r="P32" s="8"/>
      <c r="Q32" s="24">
        <f t="shared" si="5"/>
        <v>7859000</v>
      </c>
      <c r="R32" s="8"/>
      <c r="S32" s="24">
        <f>Workpaper!Q113</f>
        <v>0</v>
      </c>
      <c r="T32" s="24"/>
      <c r="U32" s="24"/>
      <c r="V32" s="50"/>
      <c r="W32" s="26">
        <v>0</v>
      </c>
      <c r="X32" s="50"/>
      <c r="Y32" s="24">
        <f>Workpaper!Q67</f>
        <v>0</v>
      </c>
      <c r="Z32" s="50"/>
      <c r="AA32" s="50">
        <v>0</v>
      </c>
      <c r="AB32" s="50"/>
      <c r="AC32" s="24">
        <f t="shared" si="2"/>
        <v>7859000</v>
      </c>
      <c r="AD32" s="39"/>
    </row>
    <row r="33" spans="1:30" ht="15" x14ac:dyDescent="0.25">
      <c r="A33" s="12">
        <f t="shared" si="0"/>
        <v>7</v>
      </c>
      <c r="B33" s="12"/>
      <c r="C33" s="11" t="str">
        <f>+Workpaper!B23</f>
        <v xml:space="preserve">    Series 4.00%    Note</v>
      </c>
      <c r="D33" s="11"/>
      <c r="E33" s="38">
        <v>42691</v>
      </c>
      <c r="F33" s="38"/>
      <c r="G33" s="38">
        <v>53662</v>
      </c>
      <c r="H33" s="38"/>
      <c r="I33" s="24">
        <f>Workpaper!Q23</f>
        <v>5000000</v>
      </c>
      <c r="J33" s="24"/>
      <c r="K33" s="56">
        <f>Workpaper!C23</f>
        <v>0.04</v>
      </c>
      <c r="L33" s="26"/>
      <c r="M33" s="56">
        <f t="shared" si="4"/>
        <v>4.0629999999999999E-2</v>
      </c>
      <c r="N33" s="54"/>
      <c r="O33" s="24">
        <f t="shared" si="1"/>
        <v>203150</v>
      </c>
      <c r="P33" s="8"/>
      <c r="Q33" s="24">
        <f t="shared" si="5"/>
        <v>5000000</v>
      </c>
      <c r="R33" s="8"/>
      <c r="S33" s="24">
        <f>Workpaper!Q114</f>
        <v>1753.5300000000002</v>
      </c>
      <c r="T33" s="24"/>
      <c r="U33" s="24">
        <f>'Debt Discount 2017 WP'!G46</f>
        <v>1384.8000000000002</v>
      </c>
      <c r="V33" s="50"/>
      <c r="W33" s="26">
        <f>-'Debt Discount 2017 WP'!J46</f>
        <v>-40738.339999999997</v>
      </c>
      <c r="X33" s="50"/>
      <c r="Y33" s="24">
        <f>Workpaper!Q68</f>
        <v>51445.524999999987</v>
      </c>
      <c r="Z33" s="50"/>
      <c r="AA33" s="50">
        <v>0</v>
      </c>
      <c r="AB33" s="50"/>
      <c r="AC33" s="24">
        <f t="shared" si="2"/>
        <v>4907816.1349999998</v>
      </c>
      <c r="AD33" s="39"/>
    </row>
    <row r="34" spans="1:30" ht="15" x14ac:dyDescent="0.25">
      <c r="A34" s="12">
        <v>6</v>
      </c>
      <c r="B34" s="12"/>
      <c r="C34" s="11" t="str">
        <f>+Workpaper!B24</f>
        <v xml:space="preserve">    Series 3.75%    Note</v>
      </c>
      <c r="D34" s="11"/>
      <c r="E34" s="38">
        <v>42991</v>
      </c>
      <c r="F34" s="38"/>
      <c r="G34" s="38">
        <v>53936</v>
      </c>
      <c r="H34" s="38"/>
      <c r="I34" s="24">
        <f>Workpaper!Q24</f>
        <v>2500000</v>
      </c>
      <c r="J34" s="24"/>
      <c r="K34" s="56">
        <f>Workpaper!C24</f>
        <v>3.7499999999999999E-2</v>
      </c>
      <c r="L34" s="26"/>
      <c r="M34" s="56">
        <f t="shared" si="4"/>
        <v>3.7769999999999998E-2</v>
      </c>
      <c r="N34" s="54"/>
      <c r="O34" s="24">
        <f t="shared" si="1"/>
        <v>94425</v>
      </c>
      <c r="P34" s="8"/>
      <c r="Q34" s="24">
        <f t="shared" si="5"/>
        <v>2500000</v>
      </c>
      <c r="R34" s="8"/>
      <c r="S34" s="24">
        <f>Workpaper!Q115</f>
        <v>514.74</v>
      </c>
      <c r="T34" s="24"/>
      <c r="U34" s="24">
        <f>'Debt Discount 2017 WP'!G47</f>
        <v>170.76</v>
      </c>
      <c r="V34" s="50"/>
      <c r="W34" s="26">
        <f>-'Debt Discount 2017 WP'!J47</f>
        <v>-7589.619999999999</v>
      </c>
      <c r="X34" s="50"/>
      <c r="Y34" s="24">
        <f>Workpaper!Q69</f>
        <v>25690.855</v>
      </c>
      <c r="Z34" s="50"/>
      <c r="AA34" s="50">
        <v>0</v>
      </c>
      <c r="AB34" s="50"/>
      <c r="AC34" s="24">
        <f t="shared" si="2"/>
        <v>2466719.5249999999</v>
      </c>
      <c r="AD34" s="39"/>
    </row>
    <row r="35" spans="1:30" ht="15" x14ac:dyDescent="0.25">
      <c r="A35" s="12">
        <f t="shared" ref="A35" si="9">A34+1</f>
        <v>7</v>
      </c>
      <c r="B35" s="12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0"/>
    </row>
    <row r="36" spans="1:30" ht="15" x14ac:dyDescent="0.25">
      <c r="A36" s="12">
        <f t="shared" si="0"/>
        <v>8</v>
      </c>
      <c r="B36" s="12"/>
      <c r="C36" s="4"/>
      <c r="D36" s="4"/>
      <c r="E36" s="4"/>
      <c r="F36" s="4"/>
      <c r="G36" s="4"/>
      <c r="H36" s="4"/>
      <c r="I36" s="27"/>
      <c r="J36" s="25"/>
      <c r="K36" s="21"/>
      <c r="L36" s="21"/>
      <c r="M36" s="21"/>
      <c r="N36" s="21"/>
      <c r="O36" s="27"/>
      <c r="P36" s="25"/>
      <c r="Q36" s="41"/>
      <c r="R36" s="34"/>
      <c r="S36" s="41"/>
      <c r="T36" s="34"/>
      <c r="U36" s="41"/>
      <c r="V36" s="34"/>
      <c r="W36" s="41"/>
      <c r="X36" s="34"/>
      <c r="Y36" s="41"/>
      <c r="Z36" s="34"/>
      <c r="AA36" s="41"/>
      <c r="AB36" s="34"/>
      <c r="AC36" s="41"/>
      <c r="AD36" s="10"/>
    </row>
    <row r="37" spans="1:30" ht="15" x14ac:dyDescent="0.25">
      <c r="A37" s="12">
        <v>7</v>
      </c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2"/>
      <c r="Q37" s="4"/>
      <c r="R37" s="22"/>
      <c r="S37" s="4"/>
      <c r="T37" s="4"/>
      <c r="U37" s="4"/>
      <c r="V37" s="22"/>
      <c r="W37" s="4"/>
      <c r="X37" s="22"/>
      <c r="Y37" s="4"/>
      <c r="Z37" s="22"/>
      <c r="AA37" s="4"/>
      <c r="AB37" s="22"/>
      <c r="AC37" s="4"/>
      <c r="AD37" s="10"/>
    </row>
    <row r="38" spans="1:30" ht="15.75" thickBot="1" x14ac:dyDescent="0.3">
      <c r="A38" s="12">
        <f t="shared" ref="A38" si="10">A37+1</f>
        <v>8</v>
      </c>
      <c r="B38" s="12"/>
      <c r="C38" s="7" t="s">
        <v>36</v>
      </c>
      <c r="D38" s="7"/>
      <c r="E38" s="7"/>
      <c r="F38" s="7"/>
      <c r="G38" s="7"/>
      <c r="H38" s="7"/>
      <c r="I38" s="42">
        <f>SUM(I22:I36)</f>
        <v>203249000</v>
      </c>
      <c r="J38" s="20"/>
      <c r="K38" s="4"/>
      <c r="L38" s="4"/>
      <c r="M38" s="4"/>
      <c r="N38" s="4"/>
      <c r="O38" s="42">
        <f>SUM(O22:O36)</f>
        <v>12139726</v>
      </c>
      <c r="P38" s="20"/>
      <c r="Q38" s="42">
        <f>SUM(Q22:Q36)</f>
        <v>203249000</v>
      </c>
      <c r="R38" s="20"/>
      <c r="S38" s="42">
        <f>SUM(S22:S36)</f>
        <v>72219.930000000008</v>
      </c>
      <c r="T38" s="20"/>
      <c r="U38" s="42">
        <f>SUM(U22:U36)</f>
        <v>1555.5600000000002</v>
      </c>
      <c r="V38" s="20"/>
      <c r="W38" s="42">
        <f>SUM(W22:W36)</f>
        <v>-48327.959999999992</v>
      </c>
      <c r="X38" s="43"/>
      <c r="Y38" s="42">
        <f>SUM(Y22:Y36)</f>
        <v>1477609.2146666667</v>
      </c>
      <c r="Z38" s="20"/>
      <c r="AA38" s="42">
        <f>SUM(AA22:AA36)</f>
        <v>0</v>
      </c>
      <c r="AB38" s="43"/>
      <c r="AC38" s="42">
        <f>SUM(AC22:AC36)</f>
        <v>201723062.82533336</v>
      </c>
      <c r="AD38" s="39"/>
    </row>
    <row r="39" spans="1:30" ht="15.75" thickTop="1" x14ac:dyDescent="0.25">
      <c r="A39" s="12"/>
      <c r="B39" s="12"/>
      <c r="C39" s="4"/>
      <c r="D39" s="4"/>
      <c r="E39" s="4"/>
      <c r="F39" s="4"/>
      <c r="G39" s="4"/>
      <c r="H39" s="4"/>
      <c r="I39" s="17"/>
      <c r="J39" s="17"/>
      <c r="K39" s="4"/>
      <c r="L39" s="4"/>
      <c r="M39" s="4"/>
      <c r="N39" s="4"/>
      <c r="O39" s="17"/>
      <c r="P39" s="18"/>
      <c r="Q39" s="17"/>
      <c r="R39" s="18"/>
      <c r="S39" s="17"/>
      <c r="T39" s="17"/>
      <c r="U39" s="17"/>
      <c r="V39" s="18"/>
      <c r="W39" s="17"/>
      <c r="X39" s="18"/>
      <c r="Y39" s="17"/>
      <c r="Z39" s="18"/>
      <c r="AA39" s="17"/>
      <c r="AB39" s="18"/>
      <c r="AC39" s="17"/>
      <c r="AD39" s="10"/>
    </row>
    <row r="40" spans="1:30" ht="15" x14ac:dyDescent="0.25">
      <c r="A40" s="12"/>
      <c r="B40" s="12"/>
      <c r="C40" s="22"/>
      <c r="D40" s="22"/>
      <c r="E40" s="22"/>
      <c r="F40" s="22"/>
      <c r="G40" s="22"/>
      <c r="H40" s="22"/>
      <c r="I40" s="22"/>
      <c r="J40" s="22"/>
      <c r="K40" s="2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2"/>
      <c r="Y40" s="4"/>
      <c r="Z40" s="22"/>
      <c r="AA40" s="4"/>
      <c r="AB40" s="22"/>
      <c r="AC40" s="4"/>
      <c r="AD40" s="10"/>
    </row>
    <row r="41" spans="1:30" ht="15" x14ac:dyDescent="0.25">
      <c r="A41" s="12"/>
      <c r="B41" s="12"/>
      <c r="C41" s="22"/>
      <c r="D41" s="22"/>
      <c r="E41" s="151"/>
      <c r="F41" s="151"/>
      <c r="G41" s="22"/>
      <c r="H41" s="22"/>
      <c r="I41" s="29"/>
      <c r="J41" s="29"/>
      <c r="K41" s="22"/>
      <c r="L41" s="4"/>
      <c r="M41" s="4"/>
      <c r="N41" s="4"/>
      <c r="O41" s="4"/>
      <c r="P41" s="4"/>
      <c r="Q41" s="3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0"/>
    </row>
    <row r="42" spans="1:30" ht="15" x14ac:dyDescent="0.25">
      <c r="A42" s="12"/>
      <c r="B42" s="12"/>
      <c r="C42" s="22"/>
      <c r="D42" s="22"/>
      <c r="E42" s="22"/>
      <c r="F42" s="22"/>
      <c r="G42" s="22"/>
      <c r="H42" s="22"/>
      <c r="I42" s="18"/>
      <c r="J42" s="18"/>
      <c r="K42" s="2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0"/>
    </row>
    <row r="43" spans="1:30" ht="15" x14ac:dyDescent="0.25">
      <c r="A43" s="12"/>
      <c r="B43" s="12"/>
      <c r="C43" s="22"/>
      <c r="D43" s="22"/>
      <c r="E43" s="22"/>
      <c r="F43" s="22"/>
      <c r="G43" s="22"/>
      <c r="H43" s="22"/>
      <c r="I43" s="22"/>
      <c r="J43" s="22"/>
      <c r="K43" s="2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0"/>
    </row>
    <row r="44" spans="1:30" ht="15" x14ac:dyDescent="0.25">
      <c r="A44" s="12"/>
      <c r="B44" s="12"/>
      <c r="C44" s="22"/>
      <c r="D44" s="22"/>
      <c r="E44" s="22"/>
      <c r="F44" s="22"/>
      <c r="G44" s="22"/>
      <c r="H44" s="22"/>
      <c r="I44" s="22"/>
      <c r="J44" s="22"/>
      <c r="K44" s="2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0"/>
    </row>
    <row r="45" spans="1:30" ht="15" x14ac:dyDescent="0.25">
      <c r="A45" s="12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0"/>
    </row>
    <row r="46" spans="1:30" ht="15" x14ac:dyDescent="0.25">
      <c r="A46" s="12"/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0"/>
    </row>
    <row r="47" spans="1:30" ht="15" x14ac:dyDescent="0.25">
      <c r="A47" s="12"/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0"/>
    </row>
    <row r="48" spans="1:30" ht="15" x14ac:dyDescent="0.25">
      <c r="A48" s="12"/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0"/>
    </row>
    <row r="49" spans="1:30" ht="15" x14ac:dyDescent="0.25">
      <c r="A49" s="12"/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0"/>
    </row>
    <row r="50" spans="1:30" ht="15" x14ac:dyDescent="0.25">
      <c r="A50" s="12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0"/>
    </row>
    <row r="51" spans="1:30" ht="15" x14ac:dyDescent="0.25">
      <c r="A51" s="12"/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0"/>
    </row>
    <row r="52" spans="1:30" ht="15" x14ac:dyDescent="0.25">
      <c r="A52" s="12"/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0"/>
    </row>
    <row r="53" spans="1:30" ht="15" x14ac:dyDescent="0.25">
      <c r="A53" s="12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0"/>
    </row>
    <row r="54" spans="1:30" ht="15" x14ac:dyDescent="0.25">
      <c r="A54" s="12"/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0"/>
    </row>
    <row r="72" spans="2:14" x14ac:dyDescent="0.2">
      <c r="B72" s="35"/>
      <c r="D72" s="35"/>
      <c r="F72" s="35"/>
      <c r="M72" s="35"/>
      <c r="N72" s="35"/>
    </row>
  </sheetData>
  <mergeCells count="2">
    <mergeCell ref="A9:AC9"/>
    <mergeCell ref="A10:AC10"/>
  </mergeCells>
  <printOptions horizontalCentered="1"/>
  <pageMargins left="0.75" right="0.75" top="0.75" bottom="0.5" header="0" footer="0.25"/>
  <pageSetup scale="5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CP52"/>
  <sheetViews>
    <sheetView zoomScaleNormal="100" workbookViewId="0"/>
  </sheetViews>
  <sheetFormatPr defaultColWidth="16.7109375" defaultRowHeight="14.25" x14ac:dyDescent="0.2"/>
  <cols>
    <col min="1" max="1" width="4.7109375" style="5" customWidth="1"/>
    <col min="2" max="2" width="1.7109375" style="5" customWidth="1"/>
    <col min="3" max="3" width="20.140625" style="5" customWidth="1"/>
    <col min="4" max="4" width="1.7109375" style="5" customWidth="1"/>
    <col min="5" max="5" width="11.28515625" style="5" bestFit="1" customWidth="1"/>
    <col min="6" max="6" width="1.7109375" style="5" customWidth="1"/>
    <col min="7" max="7" width="11.85546875" style="5" bestFit="1" customWidth="1"/>
    <col min="8" max="8" width="1.7109375" style="5" customWidth="1"/>
    <col min="9" max="9" width="11.42578125" style="5" bestFit="1" customWidth="1"/>
    <col min="10" max="10" width="1.7109375" style="5" customWidth="1"/>
    <col min="11" max="11" width="15.7109375" style="5" customWidth="1"/>
    <col min="12" max="12" width="1.7109375" style="5" customWidth="1"/>
    <col min="13" max="13" width="15.7109375" style="5" customWidth="1"/>
    <col min="14" max="14" width="1.7109375" style="5" customWidth="1"/>
    <col min="15" max="15" width="10.85546875" style="5" bestFit="1" customWidth="1"/>
    <col min="16" max="16" width="1.7109375" style="5" customWidth="1"/>
    <col min="17" max="17" width="14" style="5" bestFit="1" customWidth="1"/>
    <col min="18" max="18" width="1.7109375" style="5" customWidth="1"/>
    <col min="19" max="19" width="10.140625" style="5" customWidth="1"/>
    <col min="20" max="20" width="1.7109375" style="5" customWidth="1"/>
    <col min="21" max="21" width="11" style="5" customWidth="1"/>
    <col min="22" max="22" width="1.7109375" style="5" customWidth="1"/>
    <col min="23" max="23" width="15" style="5" bestFit="1" customWidth="1"/>
    <col min="24" max="24" width="19.42578125" style="5" customWidth="1"/>
    <col min="25" max="29" width="16.7109375" style="5"/>
    <col min="30" max="30" width="6.85546875" style="5" customWidth="1"/>
    <col min="31" max="38" width="16.7109375" style="5"/>
    <col min="39" max="39" width="15" style="5" customWidth="1"/>
    <col min="40" max="16384" width="16.7109375" style="5"/>
  </cols>
  <sheetData>
    <row r="1" spans="1:94" ht="15" x14ac:dyDescent="0.25">
      <c r="A1" s="154" t="s">
        <v>144</v>
      </c>
      <c r="O1" s="109" t="s">
        <v>92</v>
      </c>
    </row>
    <row r="2" spans="1:94" ht="15" x14ac:dyDescent="0.25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7"/>
      <c r="Y2" s="10"/>
    </row>
    <row r="3" spans="1:94" ht="15" x14ac:dyDescent="0.25">
      <c r="A3" s="154" t="s">
        <v>145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7"/>
      <c r="Y3" s="10"/>
    </row>
    <row r="4" spans="1:94" ht="15" x14ac:dyDescent="0.25">
      <c r="P4" s="33"/>
      <c r="Q4" s="33"/>
      <c r="R4" s="33"/>
      <c r="S4" s="33"/>
      <c r="T4" s="33"/>
      <c r="U4" s="33"/>
      <c r="V4" s="33"/>
      <c r="W4" s="33"/>
      <c r="X4" s="7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ht="15" x14ac:dyDescent="0.25">
      <c r="P5" s="33"/>
      <c r="Q5" s="33"/>
      <c r="R5" s="33"/>
      <c r="S5" s="33"/>
      <c r="T5" s="33"/>
      <c r="U5" s="33"/>
      <c r="V5" s="33"/>
      <c r="W5" s="33"/>
      <c r="X5" s="7"/>
      <c r="Y5" s="10"/>
    </row>
    <row r="6" spans="1:94" ht="1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P6" s="45"/>
      <c r="Q6" s="45"/>
      <c r="R6" s="45"/>
      <c r="S6" s="45"/>
      <c r="T6" s="45"/>
      <c r="U6" s="45"/>
      <c r="V6" s="45"/>
      <c r="X6" s="7"/>
      <c r="Y6" s="10"/>
    </row>
    <row r="7" spans="1:94" ht="15" x14ac:dyDescent="0.25">
      <c r="A7" s="161" t="s">
        <v>188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7"/>
      <c r="Q7" s="7"/>
      <c r="R7" s="7"/>
      <c r="S7" s="7"/>
      <c r="T7" s="7"/>
      <c r="U7" s="7"/>
      <c r="V7" s="7"/>
      <c r="Y7" s="10"/>
    </row>
    <row r="8" spans="1:94" ht="15" x14ac:dyDescent="0.25">
      <c r="A8" s="161" t="s">
        <v>143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4"/>
      <c r="Q8" s="4"/>
      <c r="R8" s="4"/>
      <c r="S8" s="4"/>
      <c r="T8" s="4"/>
      <c r="U8" s="4"/>
      <c r="V8" s="4"/>
      <c r="W8" s="4"/>
      <c r="X8" s="11"/>
      <c r="Y8" s="10"/>
    </row>
    <row r="9" spans="1:94" ht="15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1"/>
      <c r="Y9" s="10"/>
    </row>
    <row r="10" spans="1:94" ht="15" x14ac:dyDescent="0.2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1"/>
      <c r="Y10" s="10"/>
    </row>
    <row r="11" spans="1:94" ht="15" x14ac:dyDescent="0.25">
      <c r="A11" s="33"/>
      <c r="B11" s="22"/>
      <c r="C11" s="4"/>
      <c r="D11" s="22"/>
      <c r="E11" s="4"/>
      <c r="F11" s="22"/>
      <c r="G11" s="4"/>
      <c r="H11" s="4"/>
      <c r="I11" s="4"/>
      <c r="J11" s="4"/>
      <c r="K11" s="12" t="s">
        <v>7</v>
      </c>
      <c r="L11" s="4"/>
      <c r="M11" s="22"/>
      <c r="N11" s="4"/>
      <c r="O11" s="22"/>
      <c r="P11" s="4"/>
      <c r="Q11" s="22"/>
      <c r="R11" s="22"/>
      <c r="S11" s="22"/>
      <c r="T11" s="22"/>
      <c r="U11" s="22"/>
      <c r="V11" s="22"/>
      <c r="W11" s="22"/>
      <c r="X11" s="4"/>
      <c r="Y11" s="10"/>
    </row>
    <row r="12" spans="1:94" ht="15" x14ac:dyDescent="0.25">
      <c r="A12" s="17"/>
      <c r="B12" s="8"/>
      <c r="C12" s="8"/>
      <c r="D12" s="8"/>
      <c r="E12" s="8"/>
      <c r="F12" s="8"/>
      <c r="G12" s="12" t="s">
        <v>7</v>
      </c>
      <c r="H12" s="8"/>
      <c r="I12" s="8"/>
      <c r="J12" s="8"/>
      <c r="K12" s="12" t="s">
        <v>20</v>
      </c>
      <c r="L12" s="12"/>
      <c r="M12" s="12" t="s">
        <v>37</v>
      </c>
      <c r="N12" s="12"/>
      <c r="O12" s="12" t="s">
        <v>7</v>
      </c>
      <c r="P12" s="8"/>
      <c r="Q12" s="16"/>
      <c r="R12" s="16"/>
      <c r="S12" s="15"/>
      <c r="T12" s="15"/>
      <c r="U12" s="15"/>
      <c r="V12" s="15"/>
      <c r="W12" s="15"/>
      <c r="X12" s="8"/>
      <c r="Y12" s="10"/>
    </row>
    <row r="13" spans="1:94" ht="15" x14ac:dyDescent="0.25">
      <c r="A13" s="12" t="s">
        <v>4</v>
      </c>
      <c r="B13" s="4"/>
      <c r="C13" s="7" t="s">
        <v>38</v>
      </c>
      <c r="D13" s="7"/>
      <c r="E13" s="4"/>
      <c r="F13" s="4"/>
      <c r="G13" s="13" t="s">
        <v>10</v>
      </c>
      <c r="H13" s="13"/>
      <c r="I13" s="13" t="s">
        <v>39</v>
      </c>
      <c r="J13" s="13"/>
      <c r="K13" s="13" t="s">
        <v>16</v>
      </c>
      <c r="L13" s="13"/>
      <c r="M13" s="13" t="s">
        <v>40</v>
      </c>
      <c r="N13" s="13"/>
      <c r="O13" s="13" t="s">
        <v>3</v>
      </c>
      <c r="P13" s="13"/>
      <c r="Q13" s="59"/>
      <c r="R13" s="59"/>
      <c r="S13" s="59"/>
      <c r="T13" s="59"/>
      <c r="U13" s="59"/>
      <c r="V13" s="59"/>
      <c r="W13" s="59"/>
      <c r="X13" s="4"/>
      <c r="Y13" s="10"/>
    </row>
    <row r="14" spans="1:94" ht="15.75" thickBot="1" x14ac:dyDescent="0.3">
      <c r="A14" s="14" t="s">
        <v>8</v>
      </c>
      <c r="B14" s="36"/>
      <c r="C14" s="14" t="s">
        <v>41</v>
      </c>
      <c r="D14" s="16"/>
      <c r="E14" s="14" t="s">
        <v>42</v>
      </c>
      <c r="F14" s="16"/>
      <c r="G14" s="14" t="s">
        <v>17</v>
      </c>
      <c r="H14" s="16"/>
      <c r="I14" s="14" t="s">
        <v>43</v>
      </c>
      <c r="J14" s="16"/>
      <c r="K14" s="14" t="s">
        <v>30</v>
      </c>
      <c r="L14" s="16"/>
      <c r="M14" s="14" t="s">
        <v>44</v>
      </c>
      <c r="N14" s="16"/>
      <c r="O14" s="14" t="s">
        <v>45</v>
      </c>
      <c r="P14" s="16"/>
      <c r="Q14" s="16"/>
      <c r="R14" s="16"/>
      <c r="S14" s="16"/>
      <c r="T14" s="16"/>
      <c r="U14" s="16"/>
      <c r="V14" s="16"/>
      <c r="W14" s="16"/>
      <c r="X14" s="16"/>
      <c r="Y14" s="10"/>
    </row>
    <row r="15" spans="1:94" ht="15" x14ac:dyDescent="0.25">
      <c r="A15" s="12">
        <v>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8"/>
      <c r="W15" s="18"/>
      <c r="X15" s="17"/>
      <c r="Y15" s="10"/>
    </row>
    <row r="16" spans="1:94" ht="15" x14ac:dyDescent="0.25">
      <c r="A16" s="12">
        <f>A15+1</f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2"/>
      <c r="R16" s="22"/>
      <c r="S16" s="22"/>
      <c r="T16" s="22"/>
      <c r="U16" s="22"/>
      <c r="V16" s="22"/>
      <c r="W16" s="22"/>
      <c r="X16" s="4"/>
      <c r="Y16" s="10"/>
    </row>
    <row r="17" spans="1:25" ht="15" x14ac:dyDescent="0.25">
      <c r="A17" s="12">
        <f t="shared" ref="A17:A24" si="0">A16+1</f>
        <v>3</v>
      </c>
      <c r="B17" s="4"/>
      <c r="C17" s="8"/>
      <c r="D17" s="8"/>
      <c r="E17" s="38"/>
      <c r="F17" s="38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3"/>
      <c r="R17" s="43"/>
      <c r="S17" s="30"/>
      <c r="T17" s="30"/>
      <c r="U17" s="30"/>
      <c r="V17" s="30"/>
      <c r="W17" s="43"/>
      <c r="X17" s="4"/>
      <c r="Y17" s="10"/>
    </row>
    <row r="18" spans="1:25" ht="15" x14ac:dyDescent="0.25">
      <c r="A18" s="12">
        <f t="shared" si="0"/>
        <v>4</v>
      </c>
      <c r="B18" s="4"/>
      <c r="C18" s="4"/>
      <c r="D18" s="4"/>
      <c r="E18" s="13"/>
      <c r="F18" s="13"/>
      <c r="G18" s="4"/>
      <c r="H18" s="22"/>
      <c r="I18" s="4"/>
      <c r="J18" s="22"/>
      <c r="K18" s="4"/>
      <c r="L18" s="22"/>
      <c r="M18" s="4"/>
      <c r="N18" s="22"/>
      <c r="O18" s="4"/>
      <c r="P18" s="4"/>
      <c r="Q18" s="22"/>
      <c r="R18" s="22"/>
      <c r="S18" s="29"/>
      <c r="T18" s="29"/>
      <c r="U18" s="29"/>
      <c r="V18" s="29"/>
      <c r="W18" s="22"/>
      <c r="X18" s="4"/>
      <c r="Y18" s="10"/>
    </row>
    <row r="19" spans="1:25" ht="15" x14ac:dyDescent="0.25">
      <c r="A19" s="12">
        <f t="shared" si="0"/>
        <v>5</v>
      </c>
      <c r="B19" s="4"/>
      <c r="C19" s="8" t="s">
        <v>46</v>
      </c>
      <c r="D19" s="8"/>
      <c r="E19" s="38">
        <f>DATE(92,1,24)</f>
        <v>33627</v>
      </c>
      <c r="F19" s="38"/>
      <c r="G19" s="52">
        <f>Workpaper!Q195</f>
        <v>2250000</v>
      </c>
      <c r="H19" s="34"/>
      <c r="I19" s="52">
        <v>0</v>
      </c>
      <c r="J19" s="34"/>
      <c r="K19" s="52">
        <f>Workpaper!Q226</f>
        <v>7500.2700000000023</v>
      </c>
      <c r="L19" s="34"/>
      <c r="M19" s="52">
        <v>0</v>
      </c>
      <c r="N19" s="34"/>
      <c r="O19" s="52">
        <f>G19+I19-K19+M19</f>
        <v>2242499.73</v>
      </c>
      <c r="P19" s="25"/>
      <c r="Q19" s="78"/>
      <c r="R19" s="34"/>
      <c r="S19" s="30"/>
      <c r="T19" s="30"/>
      <c r="U19" s="30"/>
      <c r="V19" s="30"/>
      <c r="W19" s="78"/>
      <c r="X19" s="4"/>
      <c r="Y19" s="10"/>
    </row>
    <row r="20" spans="1:25" ht="15" x14ac:dyDescent="0.25">
      <c r="A20" s="12">
        <f t="shared" si="0"/>
        <v>6</v>
      </c>
      <c r="B20" s="4"/>
      <c r="C20" s="4"/>
      <c r="D20" s="4"/>
      <c r="E20" s="4"/>
      <c r="F20" s="4"/>
      <c r="G20" s="4"/>
      <c r="H20" s="22"/>
      <c r="I20" s="4"/>
      <c r="J20" s="22"/>
      <c r="K20" s="19"/>
      <c r="L20" s="22"/>
      <c r="M20" s="4"/>
      <c r="N20" s="22"/>
      <c r="O20" s="4"/>
      <c r="P20" s="4"/>
      <c r="Q20" s="22"/>
      <c r="R20" s="22"/>
      <c r="S20" s="22"/>
      <c r="T20" s="22"/>
      <c r="U20" s="22"/>
      <c r="V20" s="22"/>
      <c r="W20" s="22"/>
      <c r="X20" s="4"/>
      <c r="Y20" s="10"/>
    </row>
    <row r="21" spans="1:25" ht="15" x14ac:dyDescent="0.25">
      <c r="A21" s="12">
        <f t="shared" si="0"/>
        <v>7</v>
      </c>
      <c r="B21" s="4"/>
      <c r="C21" s="4"/>
      <c r="D21" s="4"/>
      <c r="E21" s="4"/>
      <c r="F21" s="4"/>
      <c r="G21" s="4"/>
      <c r="H21" s="22"/>
      <c r="I21" s="4"/>
      <c r="J21" s="22"/>
      <c r="K21" s="4"/>
      <c r="L21" s="22"/>
      <c r="M21" s="4"/>
      <c r="N21" s="22"/>
      <c r="O21" s="4"/>
      <c r="P21" s="4"/>
      <c r="Q21" s="22"/>
      <c r="R21" s="22"/>
      <c r="S21" s="22"/>
      <c r="T21" s="22"/>
      <c r="U21" s="22"/>
      <c r="V21" s="22"/>
      <c r="W21" s="22"/>
      <c r="X21" s="4"/>
      <c r="Y21" s="10"/>
    </row>
    <row r="22" spans="1:25" ht="15" x14ac:dyDescent="0.25">
      <c r="A22" s="12">
        <f t="shared" si="0"/>
        <v>8</v>
      </c>
      <c r="B22" s="4"/>
      <c r="C22" s="4"/>
      <c r="D22" s="4"/>
      <c r="E22" s="4"/>
      <c r="F22" s="4"/>
      <c r="G22" s="4"/>
      <c r="H22" s="22"/>
      <c r="I22" s="4"/>
      <c r="J22" s="22"/>
      <c r="K22" s="4"/>
      <c r="L22" s="22"/>
      <c r="M22" s="4"/>
      <c r="N22" s="22"/>
      <c r="O22" s="4"/>
      <c r="P22" s="4"/>
      <c r="Q22" s="22"/>
      <c r="R22" s="22"/>
      <c r="S22" s="22"/>
      <c r="T22" s="22"/>
      <c r="U22" s="22"/>
      <c r="V22" s="22"/>
      <c r="W22" s="22"/>
      <c r="X22" s="4"/>
      <c r="Y22" s="10"/>
    </row>
    <row r="23" spans="1:25" ht="15" x14ac:dyDescent="0.25">
      <c r="A23" s="12">
        <f t="shared" si="0"/>
        <v>9</v>
      </c>
      <c r="B23" s="4"/>
      <c r="C23" s="4"/>
      <c r="D23" s="4"/>
      <c r="E23" s="4"/>
      <c r="F23" s="4"/>
      <c r="G23" s="4"/>
      <c r="H23" s="22"/>
      <c r="I23" s="4"/>
      <c r="J23" s="22"/>
      <c r="K23" s="4"/>
      <c r="L23" s="22"/>
      <c r="M23" s="4"/>
      <c r="N23" s="22"/>
      <c r="O23" s="4"/>
      <c r="P23" s="4"/>
      <c r="Q23" s="22"/>
      <c r="R23" s="22"/>
      <c r="S23" s="22"/>
      <c r="T23" s="22"/>
      <c r="U23" s="22"/>
      <c r="V23" s="22"/>
      <c r="W23" s="22"/>
      <c r="X23" s="4"/>
      <c r="Y23" s="10"/>
    </row>
    <row r="24" spans="1:25" ht="15.75" thickBot="1" x14ac:dyDescent="0.3">
      <c r="A24" s="12">
        <f t="shared" si="0"/>
        <v>10</v>
      </c>
      <c r="B24" s="4"/>
      <c r="C24" s="11" t="s">
        <v>47</v>
      </c>
      <c r="D24" s="11"/>
      <c r="E24" s="4"/>
      <c r="F24" s="4"/>
      <c r="G24" s="43">
        <f t="shared" ref="G24:O24" si="1">SUM(G17:G22)</f>
        <v>2250000</v>
      </c>
      <c r="H24" s="43"/>
      <c r="I24" s="42">
        <f t="shared" si="1"/>
        <v>0</v>
      </c>
      <c r="J24" s="43"/>
      <c r="K24" s="42">
        <f t="shared" si="1"/>
        <v>7500.2700000000023</v>
      </c>
      <c r="L24" s="43"/>
      <c r="M24" s="42">
        <f t="shared" si="1"/>
        <v>0</v>
      </c>
      <c r="N24" s="43"/>
      <c r="O24" s="42">
        <f t="shared" si="1"/>
        <v>2242499.73</v>
      </c>
      <c r="P24" s="43"/>
      <c r="Q24" s="43"/>
      <c r="R24" s="20"/>
      <c r="S24" s="22"/>
      <c r="T24" s="22"/>
      <c r="U24" s="22"/>
      <c r="V24" s="22"/>
      <c r="W24" s="43"/>
      <c r="X24" s="4"/>
      <c r="Y24" s="10"/>
    </row>
    <row r="25" spans="1:25" ht="15.75" thickTop="1" x14ac:dyDescent="0.25">
      <c r="A25" s="16"/>
      <c r="B25" s="22"/>
      <c r="C25" s="22"/>
      <c r="D25" s="22"/>
      <c r="E25" s="22"/>
      <c r="F25" s="22"/>
      <c r="G25" s="18"/>
      <c r="H25" s="18"/>
      <c r="I25" s="17"/>
      <c r="J25" s="18"/>
      <c r="K25" s="17"/>
      <c r="L25" s="18"/>
      <c r="M25" s="17"/>
      <c r="N25" s="18"/>
      <c r="O25" s="17"/>
      <c r="P25" s="17"/>
      <c r="Q25" s="18"/>
      <c r="R25" s="18"/>
      <c r="S25" s="22"/>
      <c r="T25" s="22"/>
      <c r="U25" s="22"/>
      <c r="V25" s="22"/>
      <c r="W25" s="18"/>
      <c r="X25" s="4"/>
      <c r="Y25" s="10"/>
    </row>
    <row r="26" spans="1:25" ht="15" x14ac:dyDescent="0.25">
      <c r="A26" s="16"/>
      <c r="B26" s="22"/>
      <c r="C26" s="22"/>
      <c r="D26" s="22"/>
      <c r="E26" s="22"/>
      <c r="F26" s="22"/>
      <c r="G26" s="22"/>
      <c r="H26" s="4"/>
      <c r="I26" s="4"/>
      <c r="J26" s="4"/>
      <c r="K26" s="4"/>
      <c r="L26" s="4"/>
      <c r="M26" s="4"/>
      <c r="N26" s="4"/>
      <c r="O26" s="4"/>
      <c r="P26" s="4"/>
      <c r="Q26" s="22"/>
      <c r="R26" s="22"/>
      <c r="S26" s="22"/>
      <c r="T26" s="22"/>
      <c r="U26" s="22"/>
      <c r="V26" s="22"/>
      <c r="W26" s="22"/>
      <c r="X26" s="4"/>
      <c r="Y26" s="10"/>
    </row>
    <row r="27" spans="1:25" ht="15" x14ac:dyDescent="0.25">
      <c r="A27" s="16"/>
      <c r="B27" s="22"/>
      <c r="C27" s="151"/>
      <c r="D27" s="22"/>
      <c r="E27" s="35"/>
      <c r="F27" s="22"/>
      <c r="G27" s="29"/>
      <c r="H27" s="2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"/>
    </row>
    <row r="28" spans="1:25" ht="15" x14ac:dyDescent="0.25">
      <c r="A28" s="16"/>
      <c r="B28" s="22"/>
      <c r="C28" s="22"/>
      <c r="D28" s="22"/>
      <c r="E28" s="22"/>
      <c r="F28" s="22"/>
      <c r="G28" s="18"/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0"/>
    </row>
    <row r="29" spans="1:25" ht="15" x14ac:dyDescent="0.25">
      <c r="A29" s="16"/>
      <c r="B29" s="22"/>
      <c r="C29" s="22"/>
      <c r="D29" s="22"/>
      <c r="E29" s="22"/>
      <c r="F29" s="22"/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0"/>
    </row>
    <row r="30" spans="1:25" ht="15" x14ac:dyDescent="0.2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0"/>
    </row>
    <row r="31" spans="1:25" ht="15" x14ac:dyDescent="0.25">
      <c r="A31" s="1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0"/>
    </row>
    <row r="32" spans="1:25" ht="15" x14ac:dyDescent="0.25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0"/>
    </row>
    <row r="33" spans="1:25" ht="15" x14ac:dyDescent="0.25">
      <c r="A33" s="1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0"/>
    </row>
    <row r="34" spans="1:25" ht="15" x14ac:dyDescent="0.25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0"/>
    </row>
    <row r="35" spans="1:25" ht="15" x14ac:dyDescent="0.25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0"/>
    </row>
    <row r="36" spans="1:25" ht="15" x14ac:dyDescent="0.25">
      <c r="A36" s="1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0"/>
    </row>
    <row r="37" spans="1:25" ht="15" x14ac:dyDescent="0.25">
      <c r="A37" s="1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"/>
    </row>
    <row r="38" spans="1:25" ht="15" x14ac:dyDescent="0.25">
      <c r="A38" s="1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0"/>
    </row>
    <row r="39" spans="1:25" ht="15" x14ac:dyDescent="0.25">
      <c r="A39" s="1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"/>
    </row>
    <row r="40" spans="1:25" ht="15" x14ac:dyDescent="0.25">
      <c r="A40" s="1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0"/>
    </row>
    <row r="41" spans="1:25" ht="15" x14ac:dyDescent="0.25">
      <c r="A41" s="1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0"/>
    </row>
    <row r="42" spans="1:25" ht="15" x14ac:dyDescent="0.25">
      <c r="A42" s="1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0"/>
    </row>
    <row r="52" spans="2:15" x14ac:dyDescent="0.2">
      <c r="B52" s="35"/>
      <c r="D52" s="35"/>
      <c r="F52" s="35"/>
      <c r="M52" s="35"/>
      <c r="N52" s="35"/>
      <c r="O52" s="35"/>
    </row>
  </sheetData>
  <mergeCells count="2">
    <mergeCell ref="A7:O7"/>
    <mergeCell ref="A8:O8"/>
  </mergeCells>
  <printOptions horizontalCentered="1"/>
  <pageMargins left="0.75" right="0.75" top="1" bottom="0.5" header="0" footer="0.25"/>
  <pageSetup scale="95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23"/>
  <sheetViews>
    <sheetView zoomScale="90" zoomScaleNormal="90" zoomScaleSheetLayoutView="85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D10" sqref="D10"/>
    </sheetView>
  </sheetViews>
  <sheetFormatPr defaultColWidth="11.7109375" defaultRowHeight="15" x14ac:dyDescent="0.25"/>
  <cols>
    <col min="1" max="1" width="6.85546875" style="4" customWidth="1"/>
    <col min="2" max="2" width="25.85546875" style="4" customWidth="1"/>
    <col min="3" max="3" width="8.42578125" style="13" bestFit="1" customWidth="1"/>
    <col min="4" max="15" width="15.85546875" style="4" customWidth="1"/>
    <col min="16" max="17" width="15.85546875" style="17" customWidth="1"/>
    <col min="18" max="18" width="4.7109375" style="4" customWidth="1"/>
    <col min="19" max="19" width="26.85546875" style="4" customWidth="1"/>
    <col min="20" max="20" width="1.7109375" style="4" customWidth="1"/>
    <col min="21" max="21" width="15.42578125" style="4" customWidth="1"/>
    <col min="22" max="22" width="1.7109375" style="4" customWidth="1"/>
    <col min="23" max="23" width="15.42578125" style="4" customWidth="1"/>
    <col min="24" max="24" width="1.7109375" style="4" customWidth="1"/>
    <col min="25" max="25" width="15.42578125" style="4" customWidth="1"/>
    <col min="26" max="26" width="1.7109375" style="4" customWidth="1"/>
    <col min="27" max="27" width="15.42578125" style="4" customWidth="1"/>
    <col min="28" max="28" width="1.7109375" style="4" customWidth="1"/>
    <col min="29" max="29" width="15.42578125" style="4" customWidth="1"/>
    <col min="30" max="30" width="1.7109375" style="4" customWidth="1"/>
    <col min="31" max="31" width="15.42578125" style="4" customWidth="1"/>
    <col min="32" max="32" width="1.7109375" style="4" customWidth="1"/>
    <col min="33" max="33" width="15.42578125" style="4" customWidth="1"/>
    <col min="34" max="34" width="11.7109375" style="4" customWidth="1"/>
    <col min="35" max="35" width="16.28515625" style="4" customWidth="1"/>
    <col min="36" max="36" width="16.42578125" style="4" customWidth="1"/>
    <col min="37" max="37" width="19.140625" style="4" customWidth="1"/>
    <col min="38" max="16384" width="11.7109375" style="4"/>
  </cols>
  <sheetData>
    <row r="1" spans="1:40" x14ac:dyDescent="0.25">
      <c r="A1" s="33" t="s">
        <v>163</v>
      </c>
      <c r="O1" s="47"/>
      <c r="Q1" s="150" t="s">
        <v>171</v>
      </c>
    </row>
    <row r="2" spans="1:40" x14ac:dyDescent="0.25">
      <c r="A2" s="154" t="s">
        <v>145</v>
      </c>
      <c r="O2" s="47"/>
    </row>
    <row r="3" spans="1:40" x14ac:dyDescent="0.25">
      <c r="A3" s="46"/>
      <c r="O3" s="47"/>
    </row>
    <row r="4" spans="1:40" x14ac:dyDescent="0.25">
      <c r="A4" s="33" t="s">
        <v>2</v>
      </c>
      <c r="P4" s="61"/>
      <c r="Q4" s="61"/>
      <c r="S4" s="6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64"/>
      <c r="AH4" s="22"/>
      <c r="AI4" s="63"/>
      <c r="AJ4" s="22"/>
      <c r="AK4" s="22"/>
      <c r="AL4" s="22"/>
    </row>
    <row r="5" spans="1:40" x14ac:dyDescent="0.25">
      <c r="A5" s="33" t="s">
        <v>93</v>
      </c>
      <c r="P5" s="61"/>
      <c r="Q5" s="61"/>
      <c r="S5" s="6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64"/>
      <c r="AH5" s="22"/>
      <c r="AI5" s="63"/>
      <c r="AJ5" s="22"/>
      <c r="AK5" s="22"/>
      <c r="AL5" s="22"/>
    </row>
    <row r="6" spans="1:40" x14ac:dyDescent="0.25">
      <c r="A6" s="8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S6" s="6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63"/>
      <c r="AJ6" s="22"/>
      <c r="AK6" s="22"/>
      <c r="AL6" s="22"/>
      <c r="AM6" s="8"/>
    </row>
    <row r="7" spans="1:40" x14ac:dyDescent="0.25">
      <c r="A7" s="65"/>
      <c r="B7" s="65" t="s">
        <v>21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2"/>
      <c r="AI7" s="22"/>
      <c r="AJ7" s="22"/>
      <c r="AK7" s="22"/>
      <c r="AL7" s="16"/>
      <c r="AN7" s="12"/>
    </row>
    <row r="8" spans="1:40" x14ac:dyDescent="0.25">
      <c r="A8" s="12" t="s">
        <v>4</v>
      </c>
      <c r="B8" s="12" t="s">
        <v>48</v>
      </c>
      <c r="C8" s="12" t="s">
        <v>15</v>
      </c>
      <c r="D8" s="12" t="s">
        <v>49</v>
      </c>
      <c r="E8" s="12" t="s">
        <v>49</v>
      </c>
      <c r="F8" s="12" t="s">
        <v>49</v>
      </c>
      <c r="G8" s="12" t="s">
        <v>49</v>
      </c>
      <c r="H8" s="12" t="s">
        <v>49</v>
      </c>
      <c r="I8" s="12" t="s">
        <v>49</v>
      </c>
      <c r="J8" s="12" t="s">
        <v>49</v>
      </c>
      <c r="K8" s="12" t="s">
        <v>49</v>
      </c>
      <c r="L8" s="12" t="s">
        <v>49</v>
      </c>
      <c r="M8" s="12" t="s">
        <v>49</v>
      </c>
      <c r="N8" s="12" t="s">
        <v>49</v>
      </c>
      <c r="O8" s="12" t="s">
        <v>49</v>
      </c>
      <c r="P8" s="12" t="s">
        <v>49</v>
      </c>
      <c r="Q8" s="12"/>
      <c r="S8" s="3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22"/>
      <c r="AI8" s="22"/>
      <c r="AJ8" s="22"/>
      <c r="AK8" s="67"/>
      <c r="AL8" s="68"/>
      <c r="AN8" s="69"/>
    </row>
    <row r="9" spans="1:40" x14ac:dyDescent="0.25">
      <c r="A9" s="70" t="s">
        <v>8</v>
      </c>
      <c r="B9" s="70" t="s">
        <v>18</v>
      </c>
      <c r="C9" s="70" t="s">
        <v>18</v>
      </c>
      <c r="D9" s="71">
        <v>42735</v>
      </c>
      <c r="E9" s="71">
        <v>42766</v>
      </c>
      <c r="F9" s="71">
        <v>42794</v>
      </c>
      <c r="G9" s="71">
        <v>42825</v>
      </c>
      <c r="H9" s="71">
        <v>42855</v>
      </c>
      <c r="I9" s="71">
        <v>42886</v>
      </c>
      <c r="J9" s="71">
        <v>42916</v>
      </c>
      <c r="K9" s="71">
        <v>42947</v>
      </c>
      <c r="L9" s="71">
        <v>42978</v>
      </c>
      <c r="M9" s="71">
        <v>43008</v>
      </c>
      <c r="N9" s="71">
        <v>43039</v>
      </c>
      <c r="O9" s="71">
        <v>43069</v>
      </c>
      <c r="P9" s="71">
        <v>43100</v>
      </c>
      <c r="Q9" s="71" t="s">
        <v>7</v>
      </c>
      <c r="S9" s="72"/>
      <c r="T9" s="16"/>
      <c r="U9" s="72"/>
      <c r="V9" s="7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22"/>
      <c r="AI9" s="22"/>
      <c r="AJ9" s="22"/>
      <c r="AK9" s="22"/>
      <c r="AL9" s="22"/>
      <c r="AM9" s="17"/>
    </row>
    <row r="10" spans="1:40" x14ac:dyDescent="0.25">
      <c r="A10" s="12">
        <v>1</v>
      </c>
      <c r="B10" s="50"/>
      <c r="C10" s="1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2"/>
      <c r="AI10" s="74"/>
      <c r="AJ10" s="18"/>
      <c r="AK10" s="73"/>
      <c r="AL10" s="73"/>
    </row>
    <row r="11" spans="1:40" x14ac:dyDescent="0.25">
      <c r="A11" s="12">
        <v>2</v>
      </c>
      <c r="P11" s="50"/>
      <c r="Q11" s="5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74"/>
      <c r="AJ11" s="18"/>
      <c r="AK11" s="73"/>
      <c r="AL11" s="22"/>
      <c r="AM11" s="50"/>
    </row>
    <row r="12" spans="1:40" x14ac:dyDescent="0.25">
      <c r="A12" s="12">
        <v>3</v>
      </c>
      <c r="B12" s="37" t="s">
        <v>80</v>
      </c>
      <c r="P12" s="4"/>
      <c r="Q12" s="4"/>
      <c r="S12" s="15"/>
      <c r="T12" s="22"/>
      <c r="U12" s="20"/>
      <c r="V12" s="20"/>
      <c r="W12" s="30"/>
      <c r="X12" s="30"/>
      <c r="Y12" s="30"/>
      <c r="Z12" s="30"/>
      <c r="AA12" s="20"/>
      <c r="AB12" s="20"/>
      <c r="AC12" s="20"/>
      <c r="AD12" s="20"/>
      <c r="AE12" s="20"/>
      <c r="AF12" s="20"/>
      <c r="AG12" s="20"/>
      <c r="AH12" s="22"/>
      <c r="AI12" s="74"/>
      <c r="AJ12" s="18"/>
      <c r="AK12" s="73"/>
      <c r="AL12" s="22"/>
    </row>
    <row r="13" spans="1:40" x14ac:dyDescent="0.25">
      <c r="A13" s="12">
        <v>4</v>
      </c>
      <c r="B13" s="75"/>
      <c r="C13" s="7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S13" s="22"/>
      <c r="T13" s="22"/>
      <c r="U13" s="22"/>
      <c r="V13" s="22"/>
      <c r="W13" s="29"/>
      <c r="X13" s="29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4"/>
      <c r="AJ13" s="18"/>
      <c r="AK13" s="73"/>
      <c r="AL13" s="22"/>
    </row>
    <row r="14" spans="1:40" x14ac:dyDescent="0.25">
      <c r="A14" s="12">
        <v>5</v>
      </c>
      <c r="B14" s="8" t="s">
        <v>86</v>
      </c>
      <c r="C14" s="76">
        <v>6.9599999999999995E-2</v>
      </c>
      <c r="D14" s="44">
        <v>7000000</v>
      </c>
      <c r="E14" s="44">
        <f t="shared" ref="E14:P22" si="0">D14</f>
        <v>7000000</v>
      </c>
      <c r="F14" s="44">
        <f t="shared" si="0"/>
        <v>7000000</v>
      </c>
      <c r="G14" s="44">
        <f t="shared" si="0"/>
        <v>7000000</v>
      </c>
      <c r="H14" s="44">
        <f t="shared" si="0"/>
        <v>7000000</v>
      </c>
      <c r="I14" s="44">
        <f t="shared" si="0"/>
        <v>7000000</v>
      </c>
      <c r="J14" s="44">
        <f t="shared" si="0"/>
        <v>7000000</v>
      </c>
      <c r="K14" s="44">
        <f t="shared" si="0"/>
        <v>7000000</v>
      </c>
      <c r="L14" s="44">
        <f t="shared" si="0"/>
        <v>7000000</v>
      </c>
      <c r="M14" s="44">
        <f t="shared" si="0"/>
        <v>7000000</v>
      </c>
      <c r="N14" s="44">
        <f t="shared" si="0"/>
        <v>7000000</v>
      </c>
      <c r="O14" s="44">
        <f t="shared" si="0"/>
        <v>7000000</v>
      </c>
      <c r="P14" s="44">
        <f t="shared" si="0"/>
        <v>7000000</v>
      </c>
      <c r="Q14" s="44">
        <f>AVERAGE(D14,P14)</f>
        <v>7000000</v>
      </c>
      <c r="S14" s="15"/>
      <c r="T14" s="22"/>
      <c r="U14" s="78"/>
      <c r="V14" s="78"/>
      <c r="W14" s="30"/>
      <c r="X14" s="30"/>
      <c r="Y14" s="30"/>
      <c r="Z14" s="30"/>
      <c r="AA14" s="78"/>
      <c r="AB14" s="78"/>
      <c r="AC14" s="78"/>
      <c r="AD14" s="78"/>
      <c r="AE14" s="78"/>
      <c r="AF14" s="78"/>
      <c r="AG14" s="78"/>
      <c r="AH14" s="22"/>
      <c r="AI14" s="74"/>
      <c r="AJ14" s="18"/>
      <c r="AK14" s="73"/>
      <c r="AL14" s="22"/>
    </row>
    <row r="15" spans="1:40" x14ac:dyDescent="0.25">
      <c r="A15" s="12">
        <v>6</v>
      </c>
      <c r="B15" s="8" t="s">
        <v>87</v>
      </c>
      <c r="C15" s="76">
        <v>7.1499999999999994E-2</v>
      </c>
      <c r="D15" s="26">
        <v>7500000</v>
      </c>
      <c r="E15" s="26">
        <f t="shared" si="0"/>
        <v>7500000</v>
      </c>
      <c r="F15" s="26">
        <f t="shared" si="0"/>
        <v>7500000</v>
      </c>
      <c r="G15" s="26">
        <f t="shared" si="0"/>
        <v>7500000</v>
      </c>
      <c r="H15" s="26">
        <f t="shared" si="0"/>
        <v>7500000</v>
      </c>
      <c r="I15" s="26">
        <f t="shared" si="0"/>
        <v>7500000</v>
      </c>
      <c r="J15" s="26">
        <f t="shared" si="0"/>
        <v>7500000</v>
      </c>
      <c r="K15" s="26">
        <f t="shared" si="0"/>
        <v>7500000</v>
      </c>
      <c r="L15" s="26">
        <f t="shared" si="0"/>
        <v>7500000</v>
      </c>
      <c r="M15" s="26">
        <f t="shared" si="0"/>
        <v>7500000</v>
      </c>
      <c r="N15" s="26">
        <f t="shared" si="0"/>
        <v>7500000</v>
      </c>
      <c r="O15" s="26">
        <f t="shared" si="0"/>
        <v>7500000</v>
      </c>
      <c r="P15" s="26">
        <f t="shared" si="0"/>
        <v>7500000</v>
      </c>
      <c r="Q15" s="26">
        <f t="shared" ref="Q15:Q24" si="1">AVERAGE(D15,P15)</f>
        <v>7500000</v>
      </c>
      <c r="S15" s="22"/>
      <c r="T15" s="22"/>
      <c r="U15" s="34"/>
      <c r="V15" s="34"/>
      <c r="W15" s="29"/>
      <c r="X15" s="29"/>
      <c r="Y15" s="22"/>
      <c r="Z15" s="22"/>
      <c r="AA15" s="34"/>
      <c r="AB15" s="34"/>
      <c r="AC15" s="34"/>
      <c r="AD15" s="34"/>
      <c r="AE15" s="34"/>
      <c r="AF15" s="34"/>
      <c r="AG15" s="34"/>
      <c r="AH15" s="22"/>
      <c r="AI15" s="74"/>
      <c r="AJ15" s="79"/>
      <c r="AK15" s="73"/>
      <c r="AL15" s="22"/>
    </row>
    <row r="16" spans="1:40" x14ac:dyDescent="0.25">
      <c r="A16" s="12">
        <v>7</v>
      </c>
      <c r="B16" s="8" t="s">
        <v>88</v>
      </c>
      <c r="C16" s="76">
        <v>6.9900000000000004E-2</v>
      </c>
      <c r="D16" s="26">
        <v>9000000</v>
      </c>
      <c r="E16" s="26">
        <f t="shared" si="0"/>
        <v>9000000</v>
      </c>
      <c r="F16" s="26">
        <f t="shared" si="0"/>
        <v>9000000</v>
      </c>
      <c r="G16" s="26">
        <f t="shared" si="0"/>
        <v>9000000</v>
      </c>
      <c r="H16" s="26">
        <f t="shared" si="0"/>
        <v>9000000</v>
      </c>
      <c r="I16" s="26">
        <f t="shared" si="0"/>
        <v>9000000</v>
      </c>
      <c r="J16" s="26">
        <f t="shared" si="0"/>
        <v>9000000</v>
      </c>
      <c r="K16" s="26">
        <f t="shared" si="0"/>
        <v>9000000</v>
      </c>
      <c r="L16" s="26">
        <f t="shared" si="0"/>
        <v>9000000</v>
      </c>
      <c r="M16" s="26">
        <f t="shared" si="0"/>
        <v>9000000</v>
      </c>
      <c r="N16" s="26">
        <f t="shared" si="0"/>
        <v>9000000</v>
      </c>
      <c r="O16" s="26">
        <f t="shared" si="0"/>
        <v>9000000</v>
      </c>
      <c r="P16" s="26">
        <f t="shared" si="0"/>
        <v>9000000</v>
      </c>
      <c r="Q16" s="26">
        <f t="shared" si="1"/>
        <v>9000000</v>
      </c>
      <c r="S16" s="15"/>
      <c r="T16" s="22"/>
      <c r="U16" s="34"/>
      <c r="V16" s="34"/>
      <c r="W16" s="30"/>
      <c r="X16" s="30"/>
      <c r="Y16" s="30"/>
      <c r="Z16" s="30"/>
      <c r="AA16" s="34"/>
      <c r="AB16" s="34"/>
      <c r="AC16" s="34"/>
      <c r="AD16" s="34"/>
      <c r="AE16" s="34"/>
      <c r="AF16" s="34"/>
      <c r="AG16" s="34"/>
      <c r="AH16" s="22"/>
      <c r="AI16" s="74"/>
      <c r="AJ16" s="18"/>
      <c r="AK16" s="73"/>
      <c r="AL16" s="22"/>
    </row>
    <row r="17" spans="1:39" x14ac:dyDescent="0.25">
      <c r="A17" s="12">
        <v>8</v>
      </c>
      <c r="B17" s="8" t="s">
        <v>81</v>
      </c>
      <c r="C17" s="76">
        <v>6.5930000000000002E-2</v>
      </c>
      <c r="D17" s="26">
        <v>47000000</v>
      </c>
      <c r="E17" s="26">
        <f>D17</f>
        <v>47000000</v>
      </c>
      <c r="F17" s="26">
        <f>E17</f>
        <v>47000000</v>
      </c>
      <c r="G17" s="26">
        <f t="shared" si="0"/>
        <v>47000000</v>
      </c>
      <c r="H17" s="26">
        <f t="shared" si="0"/>
        <v>47000000</v>
      </c>
      <c r="I17" s="26">
        <f>+H17</f>
        <v>47000000</v>
      </c>
      <c r="J17" s="26">
        <f>+I17</f>
        <v>47000000</v>
      </c>
      <c r="K17" s="26">
        <f>+J17</f>
        <v>47000000</v>
      </c>
      <c r="L17" s="26">
        <f t="shared" si="0"/>
        <v>47000000</v>
      </c>
      <c r="M17" s="26">
        <f>+L17</f>
        <v>47000000</v>
      </c>
      <c r="N17" s="26">
        <f t="shared" si="0"/>
        <v>47000000</v>
      </c>
      <c r="O17" s="26">
        <f t="shared" si="0"/>
        <v>47000000</v>
      </c>
      <c r="P17" s="26">
        <f t="shared" si="0"/>
        <v>47000000</v>
      </c>
      <c r="Q17" s="26">
        <f t="shared" si="1"/>
        <v>47000000</v>
      </c>
      <c r="S17" s="22"/>
      <c r="T17" s="22"/>
      <c r="U17" s="34"/>
      <c r="V17" s="34"/>
      <c r="W17" s="29"/>
      <c r="X17" s="29"/>
      <c r="Y17" s="22"/>
      <c r="Z17" s="22"/>
      <c r="AA17" s="34"/>
      <c r="AB17" s="34"/>
      <c r="AC17" s="34"/>
      <c r="AD17" s="34"/>
      <c r="AE17" s="34"/>
      <c r="AF17" s="34"/>
      <c r="AG17" s="34"/>
      <c r="AH17" s="22"/>
      <c r="AI17" s="74"/>
      <c r="AJ17" s="18"/>
      <c r="AK17" s="73"/>
      <c r="AL17" s="22"/>
    </row>
    <row r="18" spans="1:39" x14ac:dyDescent="0.25">
      <c r="A18" s="12">
        <v>9</v>
      </c>
      <c r="B18" s="8" t="s">
        <v>85</v>
      </c>
      <c r="C18" s="76">
        <v>6.25E-2</v>
      </c>
      <c r="D18" s="26">
        <v>45390000</v>
      </c>
      <c r="E18" s="26">
        <f t="shared" ref="E18:M22" si="2">D18</f>
        <v>45390000</v>
      </c>
      <c r="F18" s="26">
        <f t="shared" si="2"/>
        <v>45390000</v>
      </c>
      <c r="G18" s="26">
        <f t="shared" si="2"/>
        <v>45390000</v>
      </c>
      <c r="H18" s="26">
        <f t="shared" si="2"/>
        <v>45390000</v>
      </c>
      <c r="I18" s="26">
        <f t="shared" si="2"/>
        <v>45390000</v>
      </c>
      <c r="J18" s="26">
        <f t="shared" si="2"/>
        <v>45390000</v>
      </c>
      <c r="K18" s="26">
        <f t="shared" si="2"/>
        <v>45390000</v>
      </c>
      <c r="L18" s="26">
        <f>+K18</f>
        <v>45390000</v>
      </c>
      <c r="M18" s="26">
        <f>+L18</f>
        <v>45390000</v>
      </c>
      <c r="N18" s="26">
        <f>+M18</f>
        <v>45390000</v>
      </c>
      <c r="O18" s="26">
        <f t="shared" si="0"/>
        <v>45390000</v>
      </c>
      <c r="P18" s="26">
        <f t="shared" si="0"/>
        <v>45390000</v>
      </c>
      <c r="Q18" s="26">
        <f t="shared" si="1"/>
        <v>45390000</v>
      </c>
      <c r="S18" s="15"/>
      <c r="T18" s="22"/>
      <c r="U18" s="34"/>
      <c r="V18" s="34"/>
      <c r="W18" s="30"/>
      <c r="X18" s="30"/>
      <c r="Y18" s="30"/>
      <c r="Z18" s="30"/>
      <c r="AA18" s="34"/>
      <c r="AB18" s="34"/>
      <c r="AC18" s="34"/>
      <c r="AD18" s="34"/>
      <c r="AE18" s="34"/>
      <c r="AF18" s="34"/>
      <c r="AG18" s="34"/>
      <c r="AH18" s="22"/>
      <c r="AI18" s="74"/>
      <c r="AJ18" s="79"/>
      <c r="AK18" s="30"/>
      <c r="AL18" s="80"/>
    </row>
    <row r="19" spans="1:39" x14ac:dyDescent="0.25">
      <c r="A19" s="12">
        <v>10</v>
      </c>
      <c r="B19" s="8" t="s">
        <v>82</v>
      </c>
      <c r="C19" s="76">
        <v>5.6250000000000001E-2</v>
      </c>
      <c r="D19" s="26">
        <v>26000000</v>
      </c>
      <c r="E19" s="26">
        <f t="shared" si="2"/>
        <v>26000000</v>
      </c>
      <c r="F19" s="26">
        <f t="shared" si="2"/>
        <v>26000000</v>
      </c>
      <c r="G19" s="26">
        <f t="shared" si="2"/>
        <v>26000000</v>
      </c>
      <c r="H19" s="26">
        <f t="shared" si="2"/>
        <v>26000000</v>
      </c>
      <c r="I19" s="26">
        <f t="shared" si="2"/>
        <v>26000000</v>
      </c>
      <c r="J19" s="26">
        <f t="shared" si="2"/>
        <v>26000000</v>
      </c>
      <c r="K19" s="26">
        <f t="shared" si="2"/>
        <v>26000000</v>
      </c>
      <c r="L19" s="26">
        <f t="shared" si="2"/>
        <v>26000000</v>
      </c>
      <c r="M19" s="26">
        <f t="shared" si="2"/>
        <v>26000000</v>
      </c>
      <c r="N19" s="26">
        <f t="shared" si="0"/>
        <v>26000000</v>
      </c>
      <c r="O19" s="26">
        <f>N19</f>
        <v>26000000</v>
      </c>
      <c r="P19" s="26">
        <f>O19</f>
        <v>26000000</v>
      </c>
      <c r="Q19" s="26">
        <f t="shared" si="1"/>
        <v>26000000</v>
      </c>
      <c r="S19" s="22"/>
      <c r="T19" s="22"/>
      <c r="U19" s="25"/>
      <c r="V19" s="25"/>
      <c r="W19" s="29"/>
      <c r="X19" s="29"/>
      <c r="Y19" s="22"/>
      <c r="Z19" s="22"/>
      <c r="AA19" s="25"/>
      <c r="AB19" s="25"/>
      <c r="AC19" s="25"/>
      <c r="AD19" s="25"/>
      <c r="AE19" s="25"/>
      <c r="AF19" s="25"/>
      <c r="AG19" s="25"/>
      <c r="AH19" s="22"/>
      <c r="AI19" s="74"/>
      <c r="AJ19" s="18"/>
      <c r="AK19" s="73"/>
      <c r="AL19" s="22"/>
    </row>
    <row r="20" spans="1:39" x14ac:dyDescent="0.25">
      <c r="A20" s="12">
        <v>11</v>
      </c>
      <c r="B20" s="8" t="s">
        <v>83</v>
      </c>
      <c r="C20" s="76">
        <v>5.3749999999999999E-2</v>
      </c>
      <c r="D20" s="26">
        <v>26000000</v>
      </c>
      <c r="E20" s="26">
        <f t="shared" si="2"/>
        <v>26000000</v>
      </c>
      <c r="F20" s="26">
        <f t="shared" si="2"/>
        <v>26000000</v>
      </c>
      <c r="G20" s="26">
        <f t="shared" si="2"/>
        <v>26000000</v>
      </c>
      <c r="H20" s="26">
        <f t="shared" si="2"/>
        <v>26000000</v>
      </c>
      <c r="I20" s="26">
        <f t="shared" si="2"/>
        <v>26000000</v>
      </c>
      <c r="J20" s="26">
        <f t="shared" si="2"/>
        <v>26000000</v>
      </c>
      <c r="K20" s="26">
        <f t="shared" si="2"/>
        <v>26000000</v>
      </c>
      <c r="L20" s="26">
        <f t="shared" si="2"/>
        <v>26000000</v>
      </c>
      <c r="M20" s="26">
        <f t="shared" si="2"/>
        <v>26000000</v>
      </c>
      <c r="N20" s="26">
        <f t="shared" si="0"/>
        <v>26000000</v>
      </c>
      <c r="O20" s="26">
        <f>N20</f>
        <v>26000000</v>
      </c>
      <c r="P20" s="26">
        <f t="shared" ref="P20" si="3">O20</f>
        <v>26000000</v>
      </c>
      <c r="Q20" s="26">
        <f t="shared" si="1"/>
        <v>26000000</v>
      </c>
      <c r="S20" s="15"/>
      <c r="T20" s="22"/>
      <c r="U20" s="25"/>
      <c r="V20" s="25"/>
      <c r="W20" s="30"/>
      <c r="X20" s="30"/>
      <c r="Y20" s="30"/>
      <c r="Z20" s="30"/>
      <c r="AA20" s="25"/>
      <c r="AB20" s="25"/>
      <c r="AC20" s="25"/>
      <c r="AD20" s="25"/>
      <c r="AE20" s="25"/>
      <c r="AF20" s="25"/>
      <c r="AG20" s="25"/>
      <c r="AH20" s="22"/>
      <c r="AI20" s="74"/>
      <c r="AJ20" s="18"/>
      <c r="AK20" s="73"/>
      <c r="AL20" s="22"/>
    </row>
    <row r="21" spans="1:39" x14ac:dyDescent="0.25">
      <c r="A21" s="12">
        <v>12</v>
      </c>
      <c r="B21" s="8" t="s">
        <v>84</v>
      </c>
      <c r="C21" s="76">
        <v>5.0500000000000003E-2</v>
      </c>
      <c r="D21" s="26">
        <v>20000000</v>
      </c>
      <c r="E21" s="26">
        <f t="shared" si="2"/>
        <v>20000000</v>
      </c>
      <c r="F21" s="26">
        <f t="shared" si="2"/>
        <v>20000000</v>
      </c>
      <c r="G21" s="26">
        <f t="shared" si="2"/>
        <v>20000000</v>
      </c>
      <c r="H21" s="26">
        <f t="shared" si="2"/>
        <v>20000000</v>
      </c>
      <c r="I21" s="26">
        <f t="shared" ref="I21:M22" si="4">H21</f>
        <v>20000000</v>
      </c>
      <c r="J21" s="26">
        <f t="shared" si="4"/>
        <v>20000000</v>
      </c>
      <c r="K21" s="26">
        <f t="shared" si="4"/>
        <v>20000000</v>
      </c>
      <c r="L21" s="26">
        <f t="shared" si="4"/>
        <v>20000000</v>
      </c>
      <c r="M21" s="26">
        <f t="shared" si="4"/>
        <v>20000000</v>
      </c>
      <c r="N21" s="26">
        <f t="shared" si="0"/>
        <v>20000000</v>
      </c>
      <c r="O21" s="26">
        <f>N21</f>
        <v>20000000</v>
      </c>
      <c r="P21" s="26">
        <f>O21</f>
        <v>20000000</v>
      </c>
      <c r="Q21" s="26">
        <f t="shared" si="1"/>
        <v>20000000</v>
      </c>
      <c r="S21" s="22"/>
      <c r="T21" s="22"/>
      <c r="U21" s="25"/>
      <c r="V21" s="25"/>
      <c r="W21" s="29"/>
      <c r="X21" s="29"/>
      <c r="Y21" s="22"/>
      <c r="Z21" s="22"/>
      <c r="AA21" s="25"/>
      <c r="AB21" s="25"/>
      <c r="AC21" s="25"/>
      <c r="AD21" s="25"/>
      <c r="AE21" s="25"/>
      <c r="AF21" s="25"/>
      <c r="AG21" s="25"/>
      <c r="AH21" s="22"/>
      <c r="AI21" s="74"/>
      <c r="AJ21" s="18"/>
      <c r="AK21" s="73"/>
      <c r="AL21" s="22"/>
    </row>
    <row r="22" spans="1:39" x14ac:dyDescent="0.25">
      <c r="A22" s="12">
        <v>13</v>
      </c>
      <c r="B22" s="8" t="s">
        <v>94</v>
      </c>
      <c r="C22" s="76">
        <v>0.04</v>
      </c>
      <c r="D22" s="26">
        <v>7859000</v>
      </c>
      <c r="E22" s="26">
        <f t="shared" si="2"/>
        <v>7859000</v>
      </c>
      <c r="F22" s="26">
        <f t="shared" ref="F22" si="5">E22</f>
        <v>7859000</v>
      </c>
      <c r="G22" s="26">
        <f t="shared" ref="G22" si="6">F22</f>
        <v>7859000</v>
      </c>
      <c r="H22" s="26">
        <f t="shared" ref="H22" si="7">G22</f>
        <v>7859000</v>
      </c>
      <c r="I22" s="26">
        <f t="shared" si="4"/>
        <v>7859000</v>
      </c>
      <c r="J22" s="26">
        <f t="shared" si="4"/>
        <v>7859000</v>
      </c>
      <c r="K22" s="26">
        <f t="shared" si="4"/>
        <v>7859000</v>
      </c>
      <c r="L22" s="26">
        <f t="shared" si="4"/>
        <v>7859000</v>
      </c>
      <c r="M22" s="26">
        <f t="shared" si="4"/>
        <v>7859000</v>
      </c>
      <c r="N22" s="26">
        <f t="shared" si="0"/>
        <v>7859000</v>
      </c>
      <c r="O22" s="26">
        <f t="shared" ref="O22" si="8">N22</f>
        <v>7859000</v>
      </c>
      <c r="P22" s="26">
        <f t="shared" ref="P22" si="9">O22</f>
        <v>7859000</v>
      </c>
      <c r="Q22" s="26">
        <f t="shared" si="1"/>
        <v>7859000</v>
      </c>
      <c r="S22" s="15"/>
      <c r="T22" s="22"/>
      <c r="U22" s="25"/>
      <c r="V22" s="25"/>
      <c r="W22" s="30"/>
      <c r="X22" s="30"/>
      <c r="Y22" s="30"/>
      <c r="Z22" s="30"/>
      <c r="AA22" s="25"/>
      <c r="AB22" s="25"/>
      <c r="AC22" s="25"/>
      <c r="AD22" s="25"/>
      <c r="AE22" s="25"/>
      <c r="AF22" s="25"/>
      <c r="AG22" s="25"/>
      <c r="AH22" s="22"/>
      <c r="AI22" s="74"/>
      <c r="AJ22" s="18"/>
      <c r="AK22" s="73"/>
      <c r="AL22" s="22"/>
    </row>
    <row r="23" spans="1:39" x14ac:dyDescent="0.25">
      <c r="A23" s="12">
        <v>14</v>
      </c>
      <c r="B23" s="8" t="s">
        <v>94</v>
      </c>
      <c r="C23" s="76">
        <v>0.04</v>
      </c>
      <c r="D23" s="26">
        <v>5000000</v>
      </c>
      <c r="E23" s="26">
        <v>5000000</v>
      </c>
      <c r="F23" s="26">
        <v>5000000</v>
      </c>
      <c r="G23" s="26">
        <v>5000000</v>
      </c>
      <c r="H23" s="26">
        <v>5000000</v>
      </c>
      <c r="I23" s="26">
        <v>5000000</v>
      </c>
      <c r="J23" s="26">
        <v>5000000</v>
      </c>
      <c r="K23" s="26">
        <v>5000000</v>
      </c>
      <c r="L23" s="26">
        <v>5000000</v>
      </c>
      <c r="M23" s="26">
        <v>5000000</v>
      </c>
      <c r="N23" s="26">
        <v>5000000</v>
      </c>
      <c r="O23" s="26">
        <v>5000000</v>
      </c>
      <c r="P23" s="26">
        <v>5000000</v>
      </c>
      <c r="Q23" s="26">
        <f t="shared" si="1"/>
        <v>5000000</v>
      </c>
      <c r="S23" s="22"/>
      <c r="T23" s="22"/>
      <c r="U23" s="22"/>
      <c r="V23" s="22"/>
      <c r="W23" s="29"/>
      <c r="X23" s="29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74"/>
      <c r="AJ23" s="18"/>
      <c r="AK23" s="73"/>
      <c r="AL23" s="22"/>
    </row>
    <row r="24" spans="1:39" x14ac:dyDescent="0.25">
      <c r="A24" s="12">
        <v>15</v>
      </c>
      <c r="B24" s="8" t="s">
        <v>156</v>
      </c>
      <c r="C24" s="76">
        <v>3.7499999999999999E-2</v>
      </c>
      <c r="D24" s="26">
        <v>0</v>
      </c>
      <c r="E24" s="26">
        <f>D24</f>
        <v>0</v>
      </c>
      <c r="F24" s="26">
        <f t="shared" ref="F24:L24" si="10">E24</f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v>5000000</v>
      </c>
      <c r="N24" s="26">
        <v>5000000</v>
      </c>
      <c r="O24" s="26">
        <v>5000000</v>
      </c>
      <c r="P24" s="26">
        <v>5000000</v>
      </c>
      <c r="Q24" s="26">
        <f t="shared" si="1"/>
        <v>2500000</v>
      </c>
      <c r="S24" s="22"/>
      <c r="T24" s="22"/>
      <c r="U24" s="22"/>
      <c r="V24" s="22"/>
      <c r="W24" s="29"/>
      <c r="X24" s="29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74"/>
      <c r="AJ24" s="18"/>
      <c r="AK24" s="73"/>
      <c r="AL24" s="22"/>
    </row>
    <row r="25" spans="1:39" x14ac:dyDescent="0.25">
      <c r="A25" s="12">
        <v>16</v>
      </c>
      <c r="B25" s="8"/>
      <c r="C25" s="7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22"/>
      <c r="T25" s="22"/>
      <c r="U25" s="22"/>
      <c r="V25" s="22"/>
      <c r="W25" s="29"/>
      <c r="X25" s="29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74"/>
      <c r="AJ25" s="18"/>
      <c r="AK25" s="73"/>
      <c r="AL25" s="22"/>
    </row>
    <row r="26" spans="1:39" x14ac:dyDescent="0.25">
      <c r="A26" s="12">
        <v>17</v>
      </c>
      <c r="C26" s="7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S26" s="22"/>
      <c r="T26" s="22"/>
      <c r="U26" s="22"/>
      <c r="V26" s="22"/>
      <c r="W26" s="29"/>
      <c r="X26" s="29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74"/>
      <c r="AJ26" s="18"/>
      <c r="AK26" s="73"/>
      <c r="AL26" s="22"/>
    </row>
    <row r="27" spans="1:39" x14ac:dyDescent="0.25">
      <c r="A27" s="12">
        <v>18</v>
      </c>
      <c r="C27" s="7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S27" s="15"/>
      <c r="T27" s="22"/>
      <c r="U27" s="43"/>
      <c r="V27" s="43"/>
      <c r="W27" s="29"/>
      <c r="X27" s="29"/>
      <c r="Y27" s="22"/>
      <c r="Z27" s="22"/>
      <c r="AA27" s="43"/>
      <c r="AB27" s="43"/>
      <c r="AC27" s="43"/>
      <c r="AD27" s="43"/>
      <c r="AE27" s="43"/>
      <c r="AF27" s="43"/>
      <c r="AG27" s="43"/>
      <c r="AH27" s="22"/>
      <c r="AI27" s="74"/>
      <c r="AJ27" s="18"/>
      <c r="AK27" s="73"/>
      <c r="AL27" s="22"/>
    </row>
    <row r="28" spans="1:39" x14ac:dyDescent="0.25">
      <c r="A28" s="12">
        <v>19</v>
      </c>
      <c r="B28" s="8"/>
      <c r="C28" s="7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S28" s="22"/>
      <c r="T28" s="22"/>
      <c r="U28" s="22"/>
      <c r="V28" s="22"/>
      <c r="W28" s="29"/>
      <c r="X28" s="29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74"/>
      <c r="AJ28" s="18"/>
      <c r="AK28" s="73"/>
      <c r="AL28" s="22"/>
      <c r="AM28" s="50"/>
    </row>
    <row r="29" spans="1:39" x14ac:dyDescent="0.25">
      <c r="A29" s="12">
        <v>20</v>
      </c>
      <c r="C29" s="8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S29" s="63"/>
      <c r="T29" s="22"/>
      <c r="U29" s="22"/>
      <c r="V29" s="22"/>
      <c r="W29" s="29"/>
      <c r="X29" s="29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73"/>
      <c r="AK29" s="22"/>
      <c r="AL29" s="22"/>
    </row>
    <row r="30" spans="1:39" x14ac:dyDescent="0.25">
      <c r="A30" s="12">
        <v>21</v>
      </c>
      <c r="B30" s="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S30" s="22"/>
      <c r="T30" s="22"/>
      <c r="U30" s="22"/>
      <c r="V30" s="22"/>
      <c r="W30" s="73"/>
      <c r="X30" s="73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73"/>
      <c r="AK30" s="22"/>
      <c r="AL30" s="22"/>
    </row>
    <row r="31" spans="1:39" x14ac:dyDescent="0.25">
      <c r="A31" s="12">
        <v>22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73"/>
      <c r="AK31" s="22"/>
      <c r="AL31" s="22"/>
    </row>
    <row r="32" spans="1:39" x14ac:dyDescent="0.25">
      <c r="A32" s="12">
        <v>23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3"/>
      <c r="AK32" s="22"/>
      <c r="AL32" s="22"/>
    </row>
    <row r="33" spans="1:40" ht="15.75" thickBot="1" x14ac:dyDescent="0.3">
      <c r="A33" s="12">
        <v>24</v>
      </c>
      <c r="B33" s="8" t="s">
        <v>50</v>
      </c>
      <c r="D33" s="82">
        <f t="shared" ref="D33:Q33" si="11">SUM(D13:D32)</f>
        <v>200749000</v>
      </c>
      <c r="E33" s="82">
        <f t="shared" si="11"/>
        <v>200749000</v>
      </c>
      <c r="F33" s="82">
        <f t="shared" si="11"/>
        <v>200749000</v>
      </c>
      <c r="G33" s="82">
        <f t="shared" si="11"/>
        <v>200749000</v>
      </c>
      <c r="H33" s="82">
        <f t="shared" si="11"/>
        <v>200749000</v>
      </c>
      <c r="I33" s="82">
        <f t="shared" si="11"/>
        <v>200749000</v>
      </c>
      <c r="J33" s="82">
        <f t="shared" si="11"/>
        <v>200749000</v>
      </c>
      <c r="K33" s="82">
        <f t="shared" si="11"/>
        <v>200749000</v>
      </c>
      <c r="L33" s="82">
        <f t="shared" si="11"/>
        <v>200749000</v>
      </c>
      <c r="M33" s="82">
        <f t="shared" si="11"/>
        <v>205749000</v>
      </c>
      <c r="N33" s="82">
        <f t="shared" si="11"/>
        <v>205749000</v>
      </c>
      <c r="O33" s="82">
        <f t="shared" si="11"/>
        <v>205749000</v>
      </c>
      <c r="P33" s="82">
        <f t="shared" si="11"/>
        <v>205749000</v>
      </c>
      <c r="Q33" s="82">
        <f t="shared" si="11"/>
        <v>203249000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73"/>
      <c r="AK33" s="22"/>
      <c r="AL33" s="16"/>
      <c r="AM33" s="12"/>
    </row>
    <row r="34" spans="1:40" ht="15.75" thickTop="1" x14ac:dyDescent="0.25">
      <c r="A34" s="1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73"/>
      <c r="AK34" s="22"/>
      <c r="AL34" s="22"/>
    </row>
    <row r="35" spans="1:40" x14ac:dyDescent="0.25">
      <c r="A35" s="12"/>
      <c r="P35" s="50"/>
      <c r="Q35" s="50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73"/>
      <c r="AK35" s="22"/>
      <c r="AL35" s="22"/>
    </row>
    <row r="36" spans="1:40" x14ac:dyDescent="0.25">
      <c r="A36" s="12"/>
      <c r="D36" s="19"/>
      <c r="P36" s="50"/>
      <c r="Q36" s="50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73"/>
      <c r="AK36" s="22"/>
      <c r="AL36" s="83"/>
      <c r="AM36" s="49"/>
      <c r="AN36" s="49"/>
    </row>
    <row r="37" spans="1:40" x14ac:dyDescent="0.25">
      <c r="A37" s="12"/>
      <c r="P37" s="50"/>
      <c r="Q37" s="50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73"/>
      <c r="AK37" s="22"/>
      <c r="AL37" s="22"/>
    </row>
    <row r="38" spans="1:40" x14ac:dyDescent="0.25">
      <c r="A38" s="12"/>
      <c r="D38" s="19"/>
      <c r="J38" s="19"/>
      <c r="P38" s="50"/>
      <c r="Q38" s="50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73"/>
      <c r="AK38" s="22"/>
      <c r="AL38" s="22"/>
    </row>
    <row r="39" spans="1:40" x14ac:dyDescent="0.25">
      <c r="A39" s="12"/>
      <c r="P39" s="50"/>
      <c r="Q39" s="50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73"/>
      <c r="AK39" s="22"/>
      <c r="AL39" s="22"/>
    </row>
    <row r="40" spans="1:40" x14ac:dyDescent="0.25">
      <c r="A40" s="12"/>
      <c r="P40" s="50"/>
      <c r="Q40" s="50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73"/>
      <c r="AK40" s="22"/>
      <c r="AL40" s="22"/>
    </row>
    <row r="41" spans="1:40" x14ac:dyDescent="0.25">
      <c r="A41" s="12"/>
      <c r="P41" s="50"/>
      <c r="Q41" s="50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73"/>
      <c r="AK41" s="22"/>
      <c r="AL41" s="22"/>
    </row>
    <row r="42" spans="1:40" x14ac:dyDescent="0.25">
      <c r="A42" s="12"/>
      <c r="P42" s="50"/>
      <c r="Q42" s="50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73"/>
      <c r="AK42" s="22"/>
      <c r="AL42" s="22"/>
    </row>
    <row r="43" spans="1:40" x14ac:dyDescent="0.25">
      <c r="A43" s="12"/>
      <c r="P43" s="50"/>
      <c r="Q43" s="50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73"/>
      <c r="AK43" s="22"/>
      <c r="AL43" s="22"/>
    </row>
    <row r="44" spans="1:40" x14ac:dyDescent="0.25">
      <c r="A44" s="50"/>
      <c r="B44" s="50"/>
      <c r="C44" s="1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73"/>
      <c r="AK44" s="22"/>
      <c r="AL44" s="22"/>
    </row>
    <row r="45" spans="1:40" x14ac:dyDescent="0.25">
      <c r="A45" s="33" t="s">
        <v>163</v>
      </c>
      <c r="B45" s="50"/>
      <c r="C45" s="1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7"/>
      <c r="P45" s="50"/>
      <c r="Q45" s="150" t="s">
        <v>172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73"/>
      <c r="AK45" s="22"/>
      <c r="AL45" s="22"/>
    </row>
    <row r="46" spans="1:40" x14ac:dyDescent="0.25">
      <c r="A46" s="154" t="s">
        <v>145</v>
      </c>
      <c r="B46" s="50"/>
      <c r="C46" s="1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47"/>
      <c r="P46" s="50"/>
      <c r="Q46" s="50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73"/>
      <c r="AK46" s="22"/>
      <c r="AL46" s="22"/>
    </row>
    <row r="47" spans="1:40" x14ac:dyDescent="0.25">
      <c r="A47" s="46"/>
      <c r="B47" s="50"/>
      <c r="C47" s="1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7"/>
      <c r="P47" s="50"/>
      <c r="Q47" s="50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73"/>
      <c r="AK47" s="22"/>
      <c r="AL47" s="22"/>
    </row>
    <row r="48" spans="1:40" x14ac:dyDescent="0.25">
      <c r="A48" s="33" t="s">
        <v>2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7"/>
      <c r="AL48" s="17"/>
      <c r="AM48" s="17"/>
      <c r="AN48" s="17"/>
    </row>
    <row r="49" spans="1:37" x14ac:dyDescent="0.25">
      <c r="A49" s="33" t="s">
        <v>51</v>
      </c>
      <c r="P49" s="50"/>
      <c r="Q49" s="50"/>
      <c r="AJ49" s="50"/>
    </row>
    <row r="50" spans="1:37" x14ac:dyDescent="0.25">
      <c r="C50" s="81"/>
      <c r="P50" s="50"/>
      <c r="Q50" s="50"/>
      <c r="AJ50" s="50"/>
    </row>
    <row r="51" spans="1:37" x14ac:dyDescent="0.25">
      <c r="A51" s="65"/>
      <c r="B51" s="65" t="s">
        <v>21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AJ51" s="50"/>
      <c r="AK51" s="4">
        <v>2</v>
      </c>
    </row>
    <row r="52" spans="1:37" x14ac:dyDescent="0.25">
      <c r="A52" s="12" t="s">
        <v>4</v>
      </c>
      <c r="B52" s="12" t="s">
        <v>48</v>
      </c>
      <c r="D52" s="12" t="s">
        <v>49</v>
      </c>
      <c r="E52" s="12" t="s">
        <v>49</v>
      </c>
      <c r="F52" s="12" t="s">
        <v>49</v>
      </c>
      <c r="G52" s="12" t="s">
        <v>49</v>
      </c>
      <c r="H52" s="12" t="s">
        <v>49</v>
      </c>
      <c r="I52" s="12" t="s">
        <v>49</v>
      </c>
      <c r="J52" s="12" t="s">
        <v>49</v>
      </c>
      <c r="K52" s="12" t="s">
        <v>49</v>
      </c>
      <c r="L52" s="12" t="s">
        <v>49</v>
      </c>
      <c r="M52" s="12" t="s">
        <v>49</v>
      </c>
      <c r="N52" s="12" t="s">
        <v>49</v>
      </c>
      <c r="O52" s="12" t="s">
        <v>49</v>
      </c>
      <c r="P52" s="12" t="s">
        <v>49</v>
      </c>
      <c r="Q52" s="12"/>
      <c r="AJ52" s="50"/>
    </row>
    <row r="53" spans="1:37" x14ac:dyDescent="0.25">
      <c r="A53" s="70" t="s">
        <v>8</v>
      </c>
      <c r="B53" s="70" t="s">
        <v>18</v>
      </c>
      <c r="C53" s="70"/>
      <c r="D53" s="71">
        <f>$D$9</f>
        <v>42735</v>
      </c>
      <c r="E53" s="71">
        <f>$E$9</f>
        <v>42766</v>
      </c>
      <c r="F53" s="71">
        <f>$F$9</f>
        <v>42794</v>
      </c>
      <c r="G53" s="71">
        <f>$G$9</f>
        <v>42825</v>
      </c>
      <c r="H53" s="71">
        <f>$H$9</f>
        <v>42855</v>
      </c>
      <c r="I53" s="71">
        <f>$I$9</f>
        <v>42886</v>
      </c>
      <c r="J53" s="71">
        <f>$J$9</f>
        <v>42916</v>
      </c>
      <c r="K53" s="71">
        <f>$K$9</f>
        <v>42947</v>
      </c>
      <c r="L53" s="71">
        <f>$L$9</f>
        <v>42978</v>
      </c>
      <c r="M53" s="71">
        <f>$M$9</f>
        <v>43008</v>
      </c>
      <c r="N53" s="71">
        <f>$N$9</f>
        <v>43039</v>
      </c>
      <c r="O53" s="71">
        <f>$O$9</f>
        <v>43069</v>
      </c>
      <c r="P53" s="71">
        <f>$P$9</f>
        <v>43100</v>
      </c>
      <c r="Q53" s="71" t="str">
        <f>$Q$9</f>
        <v>Average</v>
      </c>
      <c r="AJ53" s="50"/>
    </row>
    <row r="54" spans="1:37" x14ac:dyDescent="0.25">
      <c r="A54" s="12">
        <v>1</v>
      </c>
      <c r="B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AJ54" s="50"/>
    </row>
    <row r="55" spans="1:37" x14ac:dyDescent="0.25">
      <c r="A55" s="12">
        <v>2</v>
      </c>
    </row>
    <row r="56" spans="1:37" x14ac:dyDescent="0.25">
      <c r="A56" s="12">
        <v>3</v>
      </c>
      <c r="B56" s="37" t="s">
        <v>80</v>
      </c>
      <c r="E56" s="142"/>
      <c r="F56" s="143"/>
      <c r="G56" s="90"/>
    </row>
    <row r="57" spans="1:37" x14ac:dyDescent="0.25">
      <c r="A57" s="12">
        <v>4</v>
      </c>
      <c r="B57" s="77"/>
      <c r="D57" s="84"/>
      <c r="E57" s="84"/>
      <c r="F57" s="84"/>
      <c r="G57" s="84"/>
      <c r="H57" s="84"/>
      <c r="I57" s="84"/>
      <c r="J57" s="84"/>
      <c r="K57" s="84"/>
      <c r="L57" s="19"/>
      <c r="M57" s="19"/>
      <c r="N57" s="19"/>
      <c r="O57" s="19"/>
      <c r="P57" s="19"/>
      <c r="Q57" s="19"/>
    </row>
    <row r="58" spans="1:37" x14ac:dyDescent="0.25">
      <c r="A58" s="12">
        <v>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37" x14ac:dyDescent="0.25">
      <c r="A59" s="12">
        <v>6</v>
      </c>
      <c r="B59" s="4" t="str">
        <f t="shared" ref="B59:B69" si="12">B14</f>
        <v xml:space="preserve">    Series 6.96%   GMB</v>
      </c>
      <c r="D59" s="44">
        <v>15863.518333333333</v>
      </c>
      <c r="E59" s="44">
        <f t="shared" ref="E59:P59" si="13">D59-E105</f>
        <v>15672.468333333334</v>
      </c>
      <c r="F59" s="44">
        <f t="shared" si="13"/>
        <v>15494.158333333335</v>
      </c>
      <c r="G59" s="44">
        <f t="shared" si="13"/>
        <v>15284.008333333335</v>
      </c>
      <c r="H59" s="44">
        <f t="shared" si="13"/>
        <v>15093.038333333336</v>
      </c>
      <c r="I59" s="44">
        <f t="shared" si="13"/>
        <v>14902.068333333336</v>
      </c>
      <c r="J59" s="44">
        <f t="shared" si="13"/>
        <v>14711.098333333337</v>
      </c>
      <c r="K59" s="44">
        <f t="shared" si="13"/>
        <v>14520.128333333338</v>
      </c>
      <c r="L59" s="44">
        <f t="shared" si="13"/>
        <v>14329.158333333338</v>
      </c>
      <c r="M59" s="44">
        <f t="shared" si="13"/>
        <v>14138.188333333339</v>
      </c>
      <c r="N59" s="44">
        <f t="shared" si="13"/>
        <v>13947.21833333334</v>
      </c>
      <c r="O59" s="44">
        <f t="shared" si="13"/>
        <v>13756.24833333334</v>
      </c>
      <c r="P59" s="44">
        <f t="shared" si="13"/>
        <v>13565.278333333341</v>
      </c>
      <c r="Q59" s="44">
        <f t="shared" ref="Q59:Q72" si="14">AVERAGE(D59,P59)</f>
        <v>14714.398333333338</v>
      </c>
    </row>
    <row r="60" spans="1:37" x14ac:dyDescent="0.25">
      <c r="A60" s="12">
        <v>7</v>
      </c>
      <c r="B60" s="4" t="str">
        <f t="shared" si="12"/>
        <v xml:space="preserve">    Series 7.15%   GMB</v>
      </c>
      <c r="D60" s="26">
        <v>24488.674333333336</v>
      </c>
      <c r="E60" s="26">
        <f t="shared" ref="E60:P60" si="15">D60-E106</f>
        <v>24286.344333333334</v>
      </c>
      <c r="F60" s="26">
        <f t="shared" si="15"/>
        <v>24097.504333333334</v>
      </c>
      <c r="G60" s="26">
        <f t="shared" si="15"/>
        <v>23874.944333333333</v>
      </c>
      <c r="H60" s="26">
        <f t="shared" si="15"/>
        <v>23672.674333333332</v>
      </c>
      <c r="I60" s="26">
        <f t="shared" si="15"/>
        <v>23470.404333333332</v>
      </c>
      <c r="J60" s="26">
        <f t="shared" si="15"/>
        <v>23268.134333333332</v>
      </c>
      <c r="K60" s="26">
        <f t="shared" si="15"/>
        <v>23065.864333333331</v>
      </c>
      <c r="L60" s="26">
        <f t="shared" si="15"/>
        <v>22863.594333333331</v>
      </c>
      <c r="M60" s="26">
        <f t="shared" si="15"/>
        <v>22661.32433333333</v>
      </c>
      <c r="N60" s="26">
        <f t="shared" si="15"/>
        <v>22459.05433333333</v>
      </c>
      <c r="O60" s="26">
        <f t="shared" si="15"/>
        <v>22256.784333333329</v>
      </c>
      <c r="P60" s="26">
        <f t="shared" si="15"/>
        <v>22054.514333333329</v>
      </c>
      <c r="Q60" s="26">
        <f t="shared" si="14"/>
        <v>23271.594333333334</v>
      </c>
    </row>
    <row r="61" spans="1:37" x14ac:dyDescent="0.25">
      <c r="A61" s="12">
        <v>8</v>
      </c>
      <c r="B61" s="4" t="str">
        <f t="shared" si="12"/>
        <v xml:space="preserve">    Series 6.99%   GMB</v>
      </c>
      <c r="D61" s="26">
        <v>37234.697333333337</v>
      </c>
      <c r="E61" s="26">
        <f t="shared" ref="E61:P61" si="16">D61-E107</f>
        <v>36962.977333333336</v>
      </c>
      <c r="F61" s="26">
        <f t="shared" si="16"/>
        <v>36709.377333333337</v>
      </c>
      <c r="G61" s="26">
        <f t="shared" si="16"/>
        <v>36410.487333333338</v>
      </c>
      <c r="H61" s="26">
        <f t="shared" si="16"/>
        <v>36138.837333333337</v>
      </c>
      <c r="I61" s="26">
        <f t="shared" si="16"/>
        <v>35867.187333333335</v>
      </c>
      <c r="J61" s="26">
        <f t="shared" si="16"/>
        <v>35595.537333333334</v>
      </c>
      <c r="K61" s="26">
        <f t="shared" si="16"/>
        <v>35323.887333333332</v>
      </c>
      <c r="L61" s="26">
        <f t="shared" si="16"/>
        <v>35052.237333333331</v>
      </c>
      <c r="M61" s="26">
        <f t="shared" si="16"/>
        <v>34780.587333333329</v>
      </c>
      <c r="N61" s="26">
        <f t="shared" si="16"/>
        <v>34508.937333333328</v>
      </c>
      <c r="O61" s="26">
        <f t="shared" si="16"/>
        <v>34237.287333333326</v>
      </c>
      <c r="P61" s="26">
        <f t="shared" si="16"/>
        <v>33965.637333333325</v>
      </c>
      <c r="Q61" s="26">
        <f t="shared" si="14"/>
        <v>35600.167333333331</v>
      </c>
    </row>
    <row r="62" spans="1:37" x14ac:dyDescent="0.25">
      <c r="A62" s="12">
        <v>9</v>
      </c>
      <c r="B62" s="4" t="str">
        <f t="shared" si="12"/>
        <v xml:space="preserve">    Series 6.593%  Note</v>
      </c>
      <c r="D62" s="26">
        <v>345125.86499999999</v>
      </c>
      <c r="E62" s="26">
        <f t="shared" ref="E62:P62" si="17">D62-E108</f>
        <v>343742.59499999997</v>
      </c>
      <c r="F62" s="26">
        <f t="shared" si="17"/>
        <v>342451.54499999998</v>
      </c>
      <c r="G62" s="26">
        <f t="shared" si="17"/>
        <v>340929.95499999996</v>
      </c>
      <c r="H62" s="26">
        <f t="shared" si="17"/>
        <v>339546.87499999994</v>
      </c>
      <c r="I62" s="26">
        <f t="shared" si="17"/>
        <v>338163.79499999993</v>
      </c>
      <c r="J62" s="26">
        <f t="shared" si="17"/>
        <v>336780.71499999991</v>
      </c>
      <c r="K62" s="26">
        <f t="shared" si="17"/>
        <v>335397.63499999989</v>
      </c>
      <c r="L62" s="26">
        <f t="shared" si="17"/>
        <v>334014.55499999988</v>
      </c>
      <c r="M62" s="26">
        <f t="shared" si="17"/>
        <v>332631.47499999986</v>
      </c>
      <c r="N62" s="26">
        <f t="shared" si="17"/>
        <v>331248.39499999984</v>
      </c>
      <c r="O62" s="26">
        <f t="shared" si="17"/>
        <v>329865.31499999983</v>
      </c>
      <c r="P62" s="26">
        <f t="shared" si="17"/>
        <v>328482.23499999981</v>
      </c>
      <c r="Q62" s="26">
        <f t="shared" si="14"/>
        <v>336804.04999999993</v>
      </c>
    </row>
    <row r="63" spans="1:37" x14ac:dyDescent="0.25">
      <c r="A63" s="12">
        <v>10</v>
      </c>
      <c r="B63" s="4" t="str">
        <f t="shared" si="12"/>
        <v xml:space="preserve">    Series 6.25%    Note</v>
      </c>
      <c r="D63" s="26">
        <v>457039.20733333338</v>
      </c>
      <c r="E63" s="26">
        <f t="shared" ref="E63:P63" si="18">D63-E109</f>
        <v>455340.38733333338</v>
      </c>
      <c r="F63" s="26">
        <f t="shared" si="18"/>
        <v>453754.81733333337</v>
      </c>
      <c r="G63" s="26">
        <f t="shared" si="18"/>
        <v>451886.10733333335</v>
      </c>
      <c r="H63" s="26">
        <f t="shared" si="18"/>
        <v>450187.49733333336</v>
      </c>
      <c r="I63" s="26">
        <f t="shared" si="18"/>
        <v>448488.88733333338</v>
      </c>
      <c r="J63" s="26">
        <f t="shared" si="18"/>
        <v>446790.27733333339</v>
      </c>
      <c r="K63" s="26">
        <f t="shared" si="18"/>
        <v>445091.6673333334</v>
      </c>
      <c r="L63" s="26">
        <f t="shared" si="18"/>
        <v>443393.05733333342</v>
      </c>
      <c r="M63" s="26">
        <f t="shared" si="18"/>
        <v>441694.44733333343</v>
      </c>
      <c r="N63" s="26">
        <f t="shared" si="18"/>
        <v>439995.83733333345</v>
      </c>
      <c r="O63" s="26">
        <f t="shared" si="18"/>
        <v>438297.22733333346</v>
      </c>
      <c r="P63" s="26">
        <f t="shared" si="18"/>
        <v>436598.61733333347</v>
      </c>
      <c r="Q63" s="26">
        <f t="shared" si="14"/>
        <v>446818.9123333334</v>
      </c>
    </row>
    <row r="64" spans="1:37" x14ac:dyDescent="0.25">
      <c r="A64" s="12">
        <v>11</v>
      </c>
      <c r="B64" s="4" t="str">
        <f t="shared" si="12"/>
        <v xml:space="preserve">    Series 5.625%  Note</v>
      </c>
      <c r="D64" s="26">
        <v>294827.00633333332</v>
      </c>
      <c r="E64" s="26">
        <f>D64-E110</f>
        <v>293743.20633333334</v>
      </c>
      <c r="F64" s="26">
        <f t="shared" ref="F64:P64" si="19">E64-F110</f>
        <v>292731.66633333336</v>
      </c>
      <c r="G64" s="26">
        <f t="shared" si="19"/>
        <v>291539.49633333337</v>
      </c>
      <c r="H64" s="26">
        <f t="shared" si="19"/>
        <v>290455.8363333334</v>
      </c>
      <c r="I64" s="26">
        <f t="shared" si="19"/>
        <v>289372.17633333342</v>
      </c>
      <c r="J64" s="26">
        <f t="shared" si="19"/>
        <v>288288.51633333345</v>
      </c>
      <c r="K64" s="26">
        <f t="shared" si="19"/>
        <v>287204.85633333348</v>
      </c>
      <c r="L64" s="26">
        <f t="shared" si="19"/>
        <v>286121.1963333335</v>
      </c>
      <c r="M64" s="26">
        <f t="shared" si="19"/>
        <v>285037.53633333353</v>
      </c>
      <c r="N64" s="26">
        <f t="shared" si="19"/>
        <v>283953.87633333355</v>
      </c>
      <c r="O64" s="26">
        <f t="shared" si="19"/>
        <v>282870.21633333358</v>
      </c>
      <c r="P64" s="26">
        <f t="shared" si="19"/>
        <v>281786.5563333336</v>
      </c>
      <c r="Q64" s="26">
        <f t="shared" si="14"/>
        <v>288306.78133333346</v>
      </c>
    </row>
    <row r="65" spans="1:17" x14ac:dyDescent="0.25">
      <c r="A65" s="12">
        <v>12</v>
      </c>
      <c r="B65" s="4" t="str">
        <f t="shared" si="12"/>
        <v xml:space="preserve">    Series 5.375%  Note</v>
      </c>
      <c r="D65" s="26">
        <v>254413.85600000003</v>
      </c>
      <c r="E65" s="26">
        <f t="shared" ref="E65:K65" si="20">D65-E111</f>
        <v>253508.57600000003</v>
      </c>
      <c r="F65" s="26">
        <f t="shared" si="20"/>
        <v>252663.65600000002</v>
      </c>
      <c r="G65" s="26">
        <f t="shared" si="20"/>
        <v>251667.85600000003</v>
      </c>
      <c r="H65" s="26">
        <f t="shared" si="20"/>
        <v>250762.68600000002</v>
      </c>
      <c r="I65" s="26">
        <f t="shared" si="20"/>
        <v>249857.516</v>
      </c>
      <c r="J65" s="26">
        <f t="shared" si="20"/>
        <v>248952.34599999999</v>
      </c>
      <c r="K65" s="26">
        <f t="shared" si="20"/>
        <v>248047.17599999998</v>
      </c>
      <c r="L65" s="26">
        <f>+K65-L111</f>
        <v>247142.00599999996</v>
      </c>
      <c r="M65" s="26">
        <f t="shared" ref="M65:P65" si="21">L65-M111</f>
        <v>246236.83599999995</v>
      </c>
      <c r="N65" s="26">
        <f t="shared" si="21"/>
        <v>245331.66599999994</v>
      </c>
      <c r="O65" s="26">
        <f t="shared" si="21"/>
        <v>244426.49599999993</v>
      </c>
      <c r="P65" s="26">
        <f t="shared" si="21"/>
        <v>243521.32599999991</v>
      </c>
      <c r="Q65" s="26">
        <f t="shared" si="14"/>
        <v>248967.59099999996</v>
      </c>
    </row>
    <row r="66" spans="1:17" x14ac:dyDescent="0.25">
      <c r="A66" s="12">
        <v>13</v>
      </c>
      <c r="B66" s="4" t="str">
        <f t="shared" si="12"/>
        <v xml:space="preserve">    Series 5.05%    Note</v>
      </c>
      <c r="D66" s="26">
        <v>0</v>
      </c>
      <c r="E66" s="26">
        <f>D66-E112</f>
        <v>0</v>
      </c>
      <c r="F66" s="26">
        <f t="shared" ref="F66:P66" si="22">E66-F112</f>
        <v>0</v>
      </c>
      <c r="G66" s="26">
        <f t="shared" si="22"/>
        <v>0</v>
      </c>
      <c r="H66" s="26">
        <f t="shared" si="22"/>
        <v>0</v>
      </c>
      <c r="I66" s="26">
        <f t="shared" si="22"/>
        <v>0</v>
      </c>
      <c r="J66" s="26">
        <f t="shared" si="22"/>
        <v>0</v>
      </c>
      <c r="K66" s="26">
        <f t="shared" si="22"/>
        <v>0</v>
      </c>
      <c r="L66" s="26">
        <f t="shared" si="22"/>
        <v>0</v>
      </c>
      <c r="M66" s="26">
        <f t="shared" si="22"/>
        <v>0</v>
      </c>
      <c r="N66" s="26">
        <f t="shared" si="22"/>
        <v>0</v>
      </c>
      <c r="O66" s="26">
        <f t="shared" si="22"/>
        <v>0</v>
      </c>
      <c r="P66" s="26">
        <f t="shared" si="22"/>
        <v>0</v>
      </c>
      <c r="Q66" s="26">
        <f t="shared" si="14"/>
        <v>0</v>
      </c>
    </row>
    <row r="67" spans="1:17" x14ac:dyDescent="0.25">
      <c r="A67" s="12">
        <v>14</v>
      </c>
      <c r="B67" s="4" t="str">
        <f t="shared" si="12"/>
        <v xml:space="preserve">    Series 4.00%    Note</v>
      </c>
      <c r="C67" s="86"/>
      <c r="D67" s="26">
        <v>0</v>
      </c>
      <c r="E67" s="26">
        <f>D67-E113</f>
        <v>0</v>
      </c>
      <c r="F67" s="26">
        <f t="shared" ref="F67:P67" si="23">E67-F113</f>
        <v>0</v>
      </c>
      <c r="G67" s="26">
        <f t="shared" si="23"/>
        <v>0</v>
      </c>
      <c r="H67" s="26">
        <f t="shared" si="23"/>
        <v>0</v>
      </c>
      <c r="I67" s="26">
        <f t="shared" si="23"/>
        <v>0</v>
      </c>
      <c r="J67" s="26">
        <f t="shared" si="23"/>
        <v>0</v>
      </c>
      <c r="K67" s="26">
        <f t="shared" si="23"/>
        <v>0</v>
      </c>
      <c r="L67" s="26">
        <f t="shared" si="23"/>
        <v>0</v>
      </c>
      <c r="M67" s="26">
        <f t="shared" si="23"/>
        <v>0</v>
      </c>
      <c r="N67" s="26">
        <f t="shared" si="23"/>
        <v>0</v>
      </c>
      <c r="O67" s="26">
        <f t="shared" si="23"/>
        <v>0</v>
      </c>
      <c r="P67" s="26">
        <f t="shared" si="23"/>
        <v>0</v>
      </c>
      <c r="Q67" s="26">
        <f t="shared" si="14"/>
        <v>0</v>
      </c>
    </row>
    <row r="68" spans="1:17" x14ac:dyDescent="0.25">
      <c r="A68" s="12">
        <v>15</v>
      </c>
      <c r="B68" s="4" t="str">
        <f t="shared" si="12"/>
        <v xml:space="preserve">    Series 4.00%    Note</v>
      </c>
      <c r="C68" s="86"/>
      <c r="D68" s="141">
        <v>52322.289999999994</v>
      </c>
      <c r="E68" s="141">
        <f>D68-E114</f>
        <v>52176.55999999999</v>
      </c>
      <c r="F68" s="141">
        <f t="shared" ref="F68" si="24">E68-F114</f>
        <v>52040.539999999994</v>
      </c>
      <c r="G68" s="26">
        <f t="shared" ref="G68" si="25">F68-G114</f>
        <v>51880.239999999991</v>
      </c>
      <c r="H68" s="26">
        <f t="shared" ref="H68" si="26">G68-H114</f>
        <v>51734.51999999999</v>
      </c>
      <c r="I68" s="26">
        <f t="shared" ref="I68" si="27">H68-I114</f>
        <v>51588.799999999988</v>
      </c>
      <c r="J68" s="26">
        <f t="shared" ref="J68" si="28">I68-J114</f>
        <v>51443.079999999987</v>
      </c>
      <c r="K68" s="26">
        <f t="shared" ref="K68" si="29">J68-K114</f>
        <v>51297.359999999986</v>
      </c>
      <c r="L68" s="26">
        <f t="shared" ref="L68" si="30">K68-L114</f>
        <v>51151.639999999985</v>
      </c>
      <c r="M68" s="26">
        <f t="shared" ref="M68" si="31">L68-M114</f>
        <v>51005.919999999984</v>
      </c>
      <c r="N68" s="26">
        <f t="shared" ref="N68" si="32">M68-N114</f>
        <v>50860.199999999983</v>
      </c>
      <c r="O68" s="26">
        <f t="shared" ref="O68:O69" si="33">N68-O114</f>
        <v>50714.479999999981</v>
      </c>
      <c r="P68" s="26">
        <f t="shared" ref="P68:P69" si="34">O68-P114</f>
        <v>50568.75999999998</v>
      </c>
      <c r="Q68" s="26">
        <f t="shared" si="14"/>
        <v>51445.524999999987</v>
      </c>
    </row>
    <row r="69" spans="1:17" x14ac:dyDescent="0.25">
      <c r="A69" s="12">
        <v>16</v>
      </c>
      <c r="B69" s="4" t="str">
        <f t="shared" si="12"/>
        <v xml:space="preserve">    Series 3.75%    Note</v>
      </c>
      <c r="D69" s="141">
        <v>0</v>
      </c>
      <c r="E69" s="141">
        <f>D69</f>
        <v>0</v>
      </c>
      <c r="F69" s="141">
        <f t="shared" ref="F69:L69" si="35">E69</f>
        <v>0</v>
      </c>
      <c r="G69" s="141">
        <f t="shared" si="35"/>
        <v>0</v>
      </c>
      <c r="H69" s="141">
        <f t="shared" si="35"/>
        <v>0</v>
      </c>
      <c r="I69" s="141">
        <f t="shared" si="35"/>
        <v>0</v>
      </c>
      <c r="J69" s="141">
        <f t="shared" si="35"/>
        <v>0</v>
      </c>
      <c r="K69" s="141">
        <f t="shared" si="35"/>
        <v>0</v>
      </c>
      <c r="L69" s="141">
        <f t="shared" si="35"/>
        <v>0</v>
      </c>
      <c r="M69" s="24">
        <f>51896.45-M115</f>
        <v>51814.67</v>
      </c>
      <c r="N69" s="24">
        <f>M69-N115</f>
        <v>51670.35</v>
      </c>
      <c r="O69" s="24">
        <f t="shared" si="33"/>
        <v>51526.03</v>
      </c>
      <c r="P69" s="24">
        <f t="shared" si="34"/>
        <v>51381.71</v>
      </c>
      <c r="Q69" s="24">
        <f t="shared" si="14"/>
        <v>25690.855</v>
      </c>
    </row>
    <row r="70" spans="1:17" x14ac:dyDescent="0.25">
      <c r="A70" s="12">
        <v>17</v>
      </c>
      <c r="D70" s="26"/>
      <c r="E70" s="142"/>
      <c r="F70" s="26"/>
      <c r="G70" s="26"/>
      <c r="H70" s="26"/>
      <c r="I70" s="26"/>
      <c r="J70" s="26"/>
      <c r="K70" s="26"/>
      <c r="L70" s="141"/>
      <c r="M70" s="26"/>
      <c r="N70" s="26"/>
      <c r="O70" s="26"/>
      <c r="P70" s="26"/>
      <c r="Q70" s="26"/>
    </row>
    <row r="71" spans="1:17" x14ac:dyDescent="0.25">
      <c r="A71" s="12">
        <v>18</v>
      </c>
      <c r="D71" s="26"/>
      <c r="E71" s="142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5">
      <c r="A72" s="12">
        <v>19</v>
      </c>
      <c r="B72" s="4" t="s">
        <v>68</v>
      </c>
      <c r="D72" s="26">
        <v>6455.84</v>
      </c>
      <c r="E72" s="26">
        <f t="shared" ref="E72:P72" si="36">D72-E118</f>
        <v>6378.09</v>
      </c>
      <c r="F72" s="26">
        <f t="shared" si="36"/>
        <v>6300.34</v>
      </c>
      <c r="G72" s="26">
        <f t="shared" si="36"/>
        <v>6222.59</v>
      </c>
      <c r="H72" s="26">
        <f t="shared" si="36"/>
        <v>6144.84</v>
      </c>
      <c r="I72" s="26">
        <f t="shared" si="36"/>
        <v>6067.09</v>
      </c>
      <c r="J72" s="26">
        <f t="shared" si="36"/>
        <v>5989.34</v>
      </c>
      <c r="K72" s="26">
        <f t="shared" si="36"/>
        <v>5911.59</v>
      </c>
      <c r="L72" s="26">
        <f t="shared" si="36"/>
        <v>5833.84</v>
      </c>
      <c r="M72" s="26">
        <f t="shared" si="36"/>
        <v>5756.09</v>
      </c>
      <c r="N72" s="26">
        <f t="shared" si="36"/>
        <v>5678.34</v>
      </c>
      <c r="O72" s="26">
        <f t="shared" si="36"/>
        <v>5600.59</v>
      </c>
      <c r="P72" s="26">
        <f t="shared" si="36"/>
        <v>5522.84</v>
      </c>
      <c r="Q72" s="26">
        <f t="shared" si="14"/>
        <v>5989.34</v>
      </c>
    </row>
    <row r="73" spans="1:17" x14ac:dyDescent="0.25">
      <c r="A73" s="12">
        <v>20</v>
      </c>
      <c r="P73" s="4"/>
      <c r="Q73" s="4"/>
    </row>
    <row r="74" spans="1:17" ht="15.75" thickBot="1" x14ac:dyDescent="0.3">
      <c r="A74" s="12">
        <v>21</v>
      </c>
      <c r="B74" s="8" t="s">
        <v>50</v>
      </c>
      <c r="D74" s="82">
        <f t="shared" ref="D74:Q74" si="37">SUM(D57:D72)</f>
        <v>1487770.9546666669</v>
      </c>
      <c r="E74" s="82">
        <f t="shared" si="37"/>
        <v>1481811.2046666669</v>
      </c>
      <c r="F74" s="82">
        <f t="shared" si="37"/>
        <v>1476243.6046666668</v>
      </c>
      <c r="G74" s="82">
        <f t="shared" si="37"/>
        <v>1469695.6846666667</v>
      </c>
      <c r="H74" s="82">
        <f t="shared" si="37"/>
        <v>1463736.8046666668</v>
      </c>
      <c r="I74" s="82">
        <f t="shared" si="37"/>
        <v>1457777.9246666669</v>
      </c>
      <c r="J74" s="82">
        <f t="shared" si="37"/>
        <v>1451819.0446666668</v>
      </c>
      <c r="K74" s="82">
        <f t="shared" si="37"/>
        <v>1445860.1646666669</v>
      </c>
      <c r="L74" s="82">
        <f t="shared" si="37"/>
        <v>1439901.2846666668</v>
      </c>
      <c r="M74" s="82">
        <f t="shared" si="37"/>
        <v>1485757.0746666666</v>
      </c>
      <c r="N74" s="82">
        <f t="shared" si="37"/>
        <v>1479653.8746666668</v>
      </c>
      <c r="O74" s="82">
        <f t="shared" si="37"/>
        <v>1473550.6746666669</v>
      </c>
      <c r="P74" s="82">
        <f t="shared" si="37"/>
        <v>1467447.4746666667</v>
      </c>
      <c r="Q74" s="82">
        <f t="shared" si="37"/>
        <v>1477609.2146666667</v>
      </c>
    </row>
    <row r="75" spans="1:17" ht="15.75" thickTop="1" x14ac:dyDescent="0.25">
      <c r="A75" s="1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7" x14ac:dyDescent="0.25">
      <c r="A76" s="12"/>
      <c r="D76" s="141">
        <v>1487976.41</v>
      </c>
      <c r="E76" s="26" t="s">
        <v>157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41">
        <v>1467652.93</v>
      </c>
      <c r="Q76" s="141"/>
    </row>
    <row r="77" spans="1:17" x14ac:dyDescent="0.25">
      <c r="A77" s="12"/>
      <c r="D77" s="141">
        <f>D76-D74</f>
        <v>205.45533333299682</v>
      </c>
      <c r="E77" s="143"/>
      <c r="H77" s="24"/>
      <c r="P77" s="142">
        <f>P76-P74</f>
        <v>205.45533333322965</v>
      </c>
      <c r="Q77" s="142"/>
    </row>
    <row r="78" spans="1:17" x14ac:dyDescent="0.25">
      <c r="A78" s="12"/>
      <c r="D78" s="26"/>
      <c r="E78" s="26"/>
      <c r="F78" s="26"/>
      <c r="G78" s="26"/>
      <c r="H78" s="26"/>
      <c r="I78" s="26"/>
    </row>
    <row r="79" spans="1:17" x14ac:dyDescent="0.25">
      <c r="A79" s="12"/>
      <c r="D79" s="141">
        <v>77608.75</v>
      </c>
      <c r="H79" s="24"/>
      <c r="J79" s="19"/>
    </row>
    <row r="80" spans="1:17" x14ac:dyDescent="0.25">
      <c r="A80" s="12"/>
      <c r="C80" s="4"/>
      <c r="D80" s="145">
        <f>SUM(D59:D61)</f>
        <v>77586.890000000014</v>
      </c>
      <c r="F80" s="8"/>
      <c r="H80" s="24"/>
      <c r="P80" s="44"/>
      <c r="Q80" s="44"/>
    </row>
    <row r="81" spans="1:40" x14ac:dyDescent="0.25">
      <c r="A81" s="12"/>
      <c r="D81" s="26">
        <f>D79-D80</f>
        <v>21.85999999998603</v>
      </c>
      <c r="E81" s="19"/>
      <c r="F81" s="24"/>
      <c r="H81" s="24"/>
      <c r="I81" s="8"/>
      <c r="J81" s="8"/>
    </row>
    <row r="82" spans="1:40" x14ac:dyDescent="0.25">
      <c r="A82" s="12"/>
      <c r="D82" s="26"/>
      <c r="F82" s="87"/>
      <c r="H82" s="24"/>
      <c r="I82" s="8"/>
      <c r="J82" s="8"/>
    </row>
    <row r="83" spans="1:40" x14ac:dyDescent="0.25">
      <c r="A83" s="12"/>
      <c r="D83" s="141">
        <v>1410367.66</v>
      </c>
      <c r="E83" s="4" t="s">
        <v>157</v>
      </c>
      <c r="F83" s="37"/>
      <c r="I83" s="8"/>
      <c r="J83" s="8"/>
    </row>
    <row r="84" spans="1:40" x14ac:dyDescent="0.25">
      <c r="A84" s="12"/>
      <c r="D84" s="145">
        <f>SUM(D62:D72)</f>
        <v>1410184.0646666668</v>
      </c>
      <c r="E84" s="8"/>
      <c r="F84" s="8"/>
      <c r="G84" s="8"/>
      <c r="H84" s="8"/>
      <c r="I84" s="8"/>
      <c r="J84" s="8"/>
    </row>
    <row r="85" spans="1:40" x14ac:dyDescent="0.25">
      <c r="A85" s="12"/>
      <c r="D85" s="141">
        <f>D83-D84</f>
        <v>183.5953333331272</v>
      </c>
      <c r="J85" s="88"/>
    </row>
    <row r="86" spans="1:40" x14ac:dyDescent="0.25">
      <c r="A86" s="12"/>
      <c r="D86" s="26"/>
    </row>
    <row r="87" spans="1:40" x14ac:dyDescent="0.25">
      <c r="A87" s="12"/>
      <c r="D87" s="141">
        <f>D81+D85</f>
        <v>205.45533333311323</v>
      </c>
    </row>
    <row r="88" spans="1:40" x14ac:dyDescent="0.25">
      <c r="A88" s="12"/>
    </row>
    <row r="89" spans="1:40" x14ac:dyDescent="0.25">
      <c r="A89" s="12"/>
    </row>
    <row r="90" spans="1:40" x14ac:dyDescent="0.25">
      <c r="A90" s="12"/>
    </row>
    <row r="91" spans="1:40" x14ac:dyDescent="0.25">
      <c r="A91" s="33" t="s">
        <v>163</v>
      </c>
      <c r="O91" s="47"/>
      <c r="Q91" s="150" t="s">
        <v>173</v>
      </c>
    </row>
    <row r="92" spans="1:40" x14ac:dyDescent="0.25">
      <c r="A92" s="154" t="s">
        <v>145</v>
      </c>
      <c r="O92" s="47"/>
    </row>
    <row r="93" spans="1:40" x14ac:dyDescent="0.25">
      <c r="A93" s="12"/>
    </row>
    <row r="94" spans="1:40" x14ac:dyDescent="0.25">
      <c r="A94" s="33" t="s">
        <v>2</v>
      </c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x14ac:dyDescent="0.25">
      <c r="A95" s="33" t="s">
        <v>52</v>
      </c>
    </row>
    <row r="97" spans="1:17" x14ac:dyDescent="0.25">
      <c r="A97" s="65"/>
      <c r="B97" s="65" t="s">
        <v>21</v>
      </c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1:17" x14ac:dyDescent="0.25">
      <c r="A98" s="12" t="s">
        <v>4</v>
      </c>
      <c r="B98" s="12" t="s">
        <v>48</v>
      </c>
      <c r="D98" s="12" t="s">
        <v>53</v>
      </c>
      <c r="E98" s="12" t="s">
        <v>53</v>
      </c>
      <c r="F98" s="12" t="s">
        <v>53</v>
      </c>
      <c r="G98" s="12" t="s">
        <v>53</v>
      </c>
      <c r="H98" s="12" t="s">
        <v>53</v>
      </c>
      <c r="I98" s="12" t="s">
        <v>53</v>
      </c>
      <c r="J98" s="12" t="s">
        <v>53</v>
      </c>
      <c r="K98" s="12" t="s">
        <v>53</v>
      </c>
      <c r="L98" s="12" t="s">
        <v>53</v>
      </c>
      <c r="M98" s="12" t="s">
        <v>53</v>
      </c>
      <c r="N98" s="12" t="s">
        <v>53</v>
      </c>
      <c r="O98" s="12" t="s">
        <v>53</v>
      </c>
      <c r="P98" s="12" t="s">
        <v>53</v>
      </c>
      <c r="Q98" s="12" t="s">
        <v>54</v>
      </c>
    </row>
    <row r="99" spans="1:17" x14ac:dyDescent="0.25">
      <c r="A99" s="70" t="s">
        <v>8</v>
      </c>
      <c r="B99" s="70" t="s">
        <v>18</v>
      </c>
      <c r="C99" s="70"/>
      <c r="D99" s="71">
        <f>$D$9</f>
        <v>42735</v>
      </c>
      <c r="E99" s="71">
        <f>$E$9</f>
        <v>42766</v>
      </c>
      <c r="F99" s="71">
        <f>$F$9</f>
        <v>42794</v>
      </c>
      <c r="G99" s="71">
        <f>$G$9</f>
        <v>42825</v>
      </c>
      <c r="H99" s="71">
        <f>$H$9</f>
        <v>42855</v>
      </c>
      <c r="I99" s="71">
        <f>$I$9</f>
        <v>42886</v>
      </c>
      <c r="J99" s="71">
        <f>$J$9</f>
        <v>42916</v>
      </c>
      <c r="K99" s="71">
        <f>$K$9</f>
        <v>42947</v>
      </c>
      <c r="L99" s="71">
        <f>$L$9</f>
        <v>42978</v>
      </c>
      <c r="M99" s="71">
        <f>$M$9</f>
        <v>43008</v>
      </c>
      <c r="N99" s="71">
        <f>$N$9</f>
        <v>43039</v>
      </c>
      <c r="O99" s="71">
        <f>$O$9</f>
        <v>43069</v>
      </c>
      <c r="P99" s="71">
        <f>$P$9</f>
        <v>43100</v>
      </c>
      <c r="Q99" s="71" t="s">
        <v>47</v>
      </c>
    </row>
    <row r="100" spans="1:17" x14ac:dyDescent="0.25">
      <c r="A100" s="12">
        <v>1</v>
      </c>
      <c r="B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7" x14ac:dyDescent="0.25">
      <c r="A101" s="12">
        <v>2</v>
      </c>
    </row>
    <row r="102" spans="1:17" x14ac:dyDescent="0.25">
      <c r="A102" s="12">
        <v>3</v>
      </c>
      <c r="B102" s="37" t="s">
        <v>80</v>
      </c>
    </row>
    <row r="103" spans="1:17" x14ac:dyDescent="0.25">
      <c r="A103" s="12">
        <v>4</v>
      </c>
      <c r="B103" s="77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x14ac:dyDescent="0.25">
      <c r="A104" s="12">
        <v>5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12">
        <v>6</v>
      </c>
      <c r="B105" s="4" t="str">
        <f t="shared" ref="B105:B115" si="38">B14</f>
        <v xml:space="preserve">    Series 6.96%   GMB</v>
      </c>
      <c r="D105" s="44">
        <v>191.05</v>
      </c>
      <c r="E105" s="44">
        <f t="shared" ref="E105:P115" si="39">D105</f>
        <v>191.05</v>
      </c>
      <c r="F105" s="44">
        <v>178.31</v>
      </c>
      <c r="G105" s="44">
        <v>210.15</v>
      </c>
      <c r="H105" s="44">
        <v>190.97</v>
      </c>
      <c r="I105" s="44">
        <f t="shared" si="39"/>
        <v>190.97</v>
      </c>
      <c r="J105" s="44">
        <f t="shared" si="39"/>
        <v>190.97</v>
      </c>
      <c r="K105" s="44">
        <f t="shared" si="39"/>
        <v>190.97</v>
      </c>
      <c r="L105" s="44">
        <f t="shared" si="39"/>
        <v>190.97</v>
      </c>
      <c r="M105" s="44">
        <f>L105</f>
        <v>190.97</v>
      </c>
      <c r="N105" s="44">
        <f>M105</f>
        <v>190.97</v>
      </c>
      <c r="O105" s="44">
        <f t="shared" si="39"/>
        <v>190.97</v>
      </c>
      <c r="P105" s="44">
        <f t="shared" si="39"/>
        <v>190.97</v>
      </c>
      <c r="Q105" s="44">
        <f>SUM(E105:P105)</f>
        <v>2298.2399999999998</v>
      </c>
    </row>
    <row r="106" spans="1:17" x14ac:dyDescent="0.25">
      <c r="A106" s="12">
        <v>7</v>
      </c>
      <c r="B106" s="4" t="str">
        <f t="shared" si="38"/>
        <v xml:space="preserve">    Series 7.15%   GMB</v>
      </c>
      <c r="D106" s="26">
        <v>202.33</v>
      </c>
      <c r="E106" s="26">
        <f t="shared" si="39"/>
        <v>202.33</v>
      </c>
      <c r="F106" s="26">
        <v>188.84</v>
      </c>
      <c r="G106" s="26">
        <v>222.56</v>
      </c>
      <c r="H106" s="26">
        <v>202.27</v>
      </c>
      <c r="I106" s="26">
        <f t="shared" si="39"/>
        <v>202.27</v>
      </c>
      <c r="J106" s="26">
        <f t="shared" si="39"/>
        <v>202.27</v>
      </c>
      <c r="K106" s="26">
        <f t="shared" si="39"/>
        <v>202.27</v>
      </c>
      <c r="L106" s="26">
        <f t="shared" si="39"/>
        <v>202.27</v>
      </c>
      <c r="M106" s="26">
        <f t="shared" si="39"/>
        <v>202.27</v>
      </c>
      <c r="N106" s="26">
        <f t="shared" si="39"/>
        <v>202.27</v>
      </c>
      <c r="O106" s="26">
        <f t="shared" si="39"/>
        <v>202.27</v>
      </c>
      <c r="P106" s="26">
        <f t="shared" si="39"/>
        <v>202.27</v>
      </c>
      <c r="Q106" s="26">
        <f t="shared" ref="Q106:Q118" si="40">SUM(E106:P106)</f>
        <v>2434.16</v>
      </c>
    </row>
    <row r="107" spans="1:17" x14ac:dyDescent="0.25">
      <c r="A107" s="12">
        <v>8</v>
      </c>
      <c r="B107" s="4" t="str">
        <f t="shared" si="38"/>
        <v xml:space="preserve">    Series 6.99%   GMB</v>
      </c>
      <c r="D107" s="26">
        <v>271.72000000000003</v>
      </c>
      <c r="E107" s="26">
        <f t="shared" si="39"/>
        <v>271.72000000000003</v>
      </c>
      <c r="F107" s="26">
        <v>253.6</v>
      </c>
      <c r="G107" s="26">
        <v>298.89</v>
      </c>
      <c r="H107" s="26">
        <v>271.64999999999998</v>
      </c>
      <c r="I107" s="26">
        <f t="shared" si="39"/>
        <v>271.64999999999998</v>
      </c>
      <c r="J107" s="26">
        <f t="shared" si="39"/>
        <v>271.64999999999998</v>
      </c>
      <c r="K107" s="26">
        <f t="shared" si="39"/>
        <v>271.64999999999998</v>
      </c>
      <c r="L107" s="26">
        <f t="shared" si="39"/>
        <v>271.64999999999998</v>
      </c>
      <c r="M107" s="26">
        <f t="shared" si="39"/>
        <v>271.64999999999998</v>
      </c>
      <c r="N107" s="26">
        <f t="shared" si="39"/>
        <v>271.64999999999998</v>
      </c>
      <c r="O107" s="26">
        <f t="shared" si="39"/>
        <v>271.64999999999998</v>
      </c>
      <c r="P107" s="26">
        <f t="shared" si="39"/>
        <v>271.64999999999998</v>
      </c>
      <c r="Q107" s="26">
        <f t="shared" si="40"/>
        <v>3269.0600000000009</v>
      </c>
    </row>
    <row r="108" spans="1:17" x14ac:dyDescent="0.25">
      <c r="A108" s="12">
        <v>9</v>
      </c>
      <c r="B108" s="4" t="str">
        <f t="shared" si="38"/>
        <v xml:space="preserve">    Series 6.593%  Note</v>
      </c>
      <c r="D108" s="26">
        <v>1383.27</v>
      </c>
      <c r="E108" s="26">
        <f t="shared" si="39"/>
        <v>1383.27</v>
      </c>
      <c r="F108" s="26">
        <v>1291.05</v>
      </c>
      <c r="G108" s="26">
        <v>1521.59</v>
      </c>
      <c r="H108" s="26">
        <v>1383.08</v>
      </c>
      <c r="I108" s="26">
        <f t="shared" si="39"/>
        <v>1383.08</v>
      </c>
      <c r="J108" s="26">
        <f>I108</f>
        <v>1383.08</v>
      </c>
      <c r="K108" s="26">
        <f t="shared" si="39"/>
        <v>1383.08</v>
      </c>
      <c r="L108" s="26">
        <f t="shared" si="39"/>
        <v>1383.08</v>
      </c>
      <c r="M108" s="26">
        <f t="shared" si="39"/>
        <v>1383.08</v>
      </c>
      <c r="N108" s="26">
        <f t="shared" si="39"/>
        <v>1383.08</v>
      </c>
      <c r="O108" s="26">
        <f t="shared" si="39"/>
        <v>1383.08</v>
      </c>
      <c r="P108" s="26">
        <f t="shared" si="39"/>
        <v>1383.08</v>
      </c>
      <c r="Q108" s="26">
        <f t="shared" si="40"/>
        <v>16643.629999999997</v>
      </c>
    </row>
    <row r="109" spans="1:17" x14ac:dyDescent="0.25">
      <c r="A109" s="12">
        <v>10</v>
      </c>
      <c r="B109" s="4" t="str">
        <f t="shared" si="38"/>
        <v xml:space="preserve">    Series 6.25%    Note</v>
      </c>
      <c r="D109" s="26">
        <v>1698.82</v>
      </c>
      <c r="E109" s="26">
        <f t="shared" si="39"/>
        <v>1698.82</v>
      </c>
      <c r="F109" s="26">
        <v>1585.57</v>
      </c>
      <c r="G109" s="26">
        <v>1868.71</v>
      </c>
      <c r="H109" s="26">
        <v>1698.61</v>
      </c>
      <c r="I109" s="26">
        <f t="shared" si="39"/>
        <v>1698.61</v>
      </c>
      <c r="J109" s="26">
        <f t="shared" si="39"/>
        <v>1698.61</v>
      </c>
      <c r="K109" s="26">
        <f t="shared" si="39"/>
        <v>1698.61</v>
      </c>
      <c r="L109" s="26">
        <f t="shared" si="39"/>
        <v>1698.61</v>
      </c>
      <c r="M109" s="26">
        <f t="shared" si="39"/>
        <v>1698.61</v>
      </c>
      <c r="N109" s="26">
        <f t="shared" si="39"/>
        <v>1698.61</v>
      </c>
      <c r="O109" s="26">
        <f t="shared" si="39"/>
        <v>1698.61</v>
      </c>
      <c r="P109" s="26">
        <f t="shared" si="39"/>
        <v>1698.61</v>
      </c>
      <c r="Q109" s="26">
        <f t="shared" si="40"/>
        <v>20440.590000000004</v>
      </c>
    </row>
    <row r="110" spans="1:17" x14ac:dyDescent="0.25">
      <c r="A110" s="12">
        <v>11</v>
      </c>
      <c r="B110" s="4" t="str">
        <f t="shared" si="38"/>
        <v xml:space="preserve">    Series 5.625%  Note</v>
      </c>
      <c r="D110" s="26">
        <v>1083.79</v>
      </c>
      <c r="E110" s="26">
        <v>1083.8</v>
      </c>
      <c r="F110" s="26">
        <v>1011.54</v>
      </c>
      <c r="G110" s="26">
        <v>1192.17</v>
      </c>
      <c r="H110" s="26">
        <v>1083.6600000000001</v>
      </c>
      <c r="I110" s="26">
        <f t="shared" si="39"/>
        <v>1083.6600000000001</v>
      </c>
      <c r="J110" s="26">
        <f t="shared" si="39"/>
        <v>1083.6600000000001</v>
      </c>
      <c r="K110" s="26">
        <f t="shared" si="39"/>
        <v>1083.6600000000001</v>
      </c>
      <c r="L110" s="26">
        <f t="shared" si="39"/>
        <v>1083.6600000000001</v>
      </c>
      <c r="M110" s="26">
        <f t="shared" si="39"/>
        <v>1083.6600000000001</v>
      </c>
      <c r="N110" s="26">
        <f t="shared" si="39"/>
        <v>1083.6600000000001</v>
      </c>
      <c r="O110" s="26">
        <f t="shared" si="39"/>
        <v>1083.6600000000001</v>
      </c>
      <c r="P110" s="26">
        <f t="shared" si="39"/>
        <v>1083.6600000000001</v>
      </c>
      <c r="Q110" s="26">
        <f t="shared" si="40"/>
        <v>13040.449999999999</v>
      </c>
    </row>
    <row r="111" spans="1:17" x14ac:dyDescent="0.25">
      <c r="A111" s="12">
        <v>12</v>
      </c>
      <c r="B111" s="4" t="str">
        <f t="shared" si="38"/>
        <v xml:space="preserve">    Series 5.375%  Note</v>
      </c>
      <c r="D111" s="26">
        <v>905.28</v>
      </c>
      <c r="E111" s="26">
        <f t="shared" si="39"/>
        <v>905.28</v>
      </c>
      <c r="F111" s="26">
        <v>844.92</v>
      </c>
      <c r="G111" s="26">
        <v>995.8</v>
      </c>
      <c r="H111" s="26">
        <v>905.17</v>
      </c>
      <c r="I111" s="26">
        <f t="shared" si="39"/>
        <v>905.17</v>
      </c>
      <c r="J111" s="26">
        <f t="shared" si="39"/>
        <v>905.17</v>
      </c>
      <c r="K111" s="26">
        <f t="shared" si="39"/>
        <v>905.17</v>
      </c>
      <c r="L111" s="26">
        <f t="shared" si="39"/>
        <v>905.17</v>
      </c>
      <c r="M111" s="26">
        <f t="shared" si="39"/>
        <v>905.17</v>
      </c>
      <c r="N111" s="26">
        <f t="shared" si="39"/>
        <v>905.17</v>
      </c>
      <c r="O111" s="26">
        <f t="shared" si="39"/>
        <v>905.17</v>
      </c>
      <c r="P111" s="26">
        <f t="shared" si="39"/>
        <v>905.17</v>
      </c>
      <c r="Q111" s="26">
        <f t="shared" si="40"/>
        <v>10892.53</v>
      </c>
    </row>
    <row r="112" spans="1:17" x14ac:dyDescent="0.25">
      <c r="A112" s="12">
        <v>13</v>
      </c>
      <c r="B112" s="4" t="str">
        <f t="shared" si="38"/>
        <v xml:space="preserve">    Series 5.05%    Note</v>
      </c>
      <c r="D112" s="26">
        <v>0</v>
      </c>
      <c r="E112" s="26">
        <f>D112</f>
        <v>0</v>
      </c>
      <c r="F112" s="26">
        <f t="shared" si="39"/>
        <v>0</v>
      </c>
      <c r="G112" s="26">
        <f t="shared" si="39"/>
        <v>0</v>
      </c>
      <c r="H112" s="26">
        <v>0</v>
      </c>
      <c r="I112" s="26">
        <f t="shared" si="39"/>
        <v>0</v>
      </c>
      <c r="J112" s="26">
        <f t="shared" ref="J112:K115" si="41">I112</f>
        <v>0</v>
      </c>
      <c r="K112" s="26">
        <f t="shared" si="41"/>
        <v>0</v>
      </c>
      <c r="L112" s="26">
        <f t="shared" si="39"/>
        <v>0</v>
      </c>
      <c r="M112" s="26">
        <f t="shared" si="39"/>
        <v>0</v>
      </c>
      <c r="N112" s="26">
        <f t="shared" si="39"/>
        <v>0</v>
      </c>
      <c r="O112" s="26">
        <f t="shared" si="39"/>
        <v>0</v>
      </c>
      <c r="P112" s="26">
        <f t="shared" si="39"/>
        <v>0</v>
      </c>
      <c r="Q112" s="26">
        <f t="shared" si="40"/>
        <v>0</v>
      </c>
    </row>
    <row r="113" spans="1:17" x14ac:dyDescent="0.25">
      <c r="A113" s="12">
        <v>14</v>
      </c>
      <c r="B113" s="4" t="str">
        <f t="shared" si="38"/>
        <v xml:space="preserve">    Series 4.00%    Note</v>
      </c>
      <c r="C113" s="86"/>
      <c r="D113" s="26">
        <v>0</v>
      </c>
      <c r="E113" s="26">
        <f>D113</f>
        <v>0</v>
      </c>
      <c r="F113" s="26">
        <f t="shared" si="39"/>
        <v>0</v>
      </c>
      <c r="G113" s="26">
        <f t="shared" si="39"/>
        <v>0</v>
      </c>
      <c r="H113" s="26">
        <v>0</v>
      </c>
      <c r="I113" s="26">
        <f t="shared" si="39"/>
        <v>0</v>
      </c>
      <c r="J113" s="26">
        <f t="shared" si="41"/>
        <v>0</v>
      </c>
      <c r="K113" s="26">
        <f t="shared" si="41"/>
        <v>0</v>
      </c>
      <c r="L113" s="26">
        <f t="shared" si="39"/>
        <v>0</v>
      </c>
      <c r="M113" s="26">
        <f t="shared" si="39"/>
        <v>0</v>
      </c>
      <c r="N113" s="26">
        <f t="shared" si="39"/>
        <v>0</v>
      </c>
      <c r="O113" s="26">
        <f t="shared" si="39"/>
        <v>0</v>
      </c>
      <c r="P113" s="26">
        <f t="shared" si="39"/>
        <v>0</v>
      </c>
      <c r="Q113" s="26">
        <f t="shared" si="40"/>
        <v>0</v>
      </c>
    </row>
    <row r="114" spans="1:17" x14ac:dyDescent="0.25">
      <c r="A114" s="12">
        <v>15</v>
      </c>
      <c r="B114" s="4" t="str">
        <f t="shared" si="38"/>
        <v xml:space="preserve">    Series 4.00%    Note</v>
      </c>
      <c r="C114" s="86"/>
      <c r="D114" s="26">
        <v>145.74</v>
      </c>
      <c r="E114" s="26">
        <v>145.72999999999999</v>
      </c>
      <c r="F114" s="26">
        <v>136.02000000000001</v>
      </c>
      <c r="G114" s="26">
        <v>160.30000000000001</v>
      </c>
      <c r="H114" s="26">
        <v>145.72</v>
      </c>
      <c r="I114" s="26">
        <f t="shared" si="39"/>
        <v>145.72</v>
      </c>
      <c r="J114" s="26">
        <f t="shared" si="41"/>
        <v>145.72</v>
      </c>
      <c r="K114" s="26">
        <f t="shared" si="41"/>
        <v>145.72</v>
      </c>
      <c r="L114" s="26">
        <f t="shared" si="39"/>
        <v>145.72</v>
      </c>
      <c r="M114" s="26">
        <f t="shared" si="39"/>
        <v>145.72</v>
      </c>
      <c r="N114" s="26">
        <f t="shared" si="39"/>
        <v>145.72</v>
      </c>
      <c r="O114" s="26">
        <f t="shared" si="39"/>
        <v>145.72</v>
      </c>
      <c r="P114" s="26">
        <f t="shared" si="39"/>
        <v>145.72</v>
      </c>
      <c r="Q114" s="26">
        <f t="shared" si="40"/>
        <v>1753.5300000000002</v>
      </c>
    </row>
    <row r="115" spans="1:17" x14ac:dyDescent="0.25">
      <c r="A115" s="12">
        <v>16</v>
      </c>
      <c r="B115" s="4" t="str">
        <f t="shared" si="38"/>
        <v xml:space="preserve">    Series 3.75%    Note</v>
      </c>
      <c r="D115" s="26">
        <v>0</v>
      </c>
      <c r="E115" s="26">
        <f>D115</f>
        <v>0</v>
      </c>
      <c r="F115" s="26">
        <f t="shared" ref="F115:H115" si="42">E115</f>
        <v>0</v>
      </c>
      <c r="G115" s="26">
        <f t="shared" si="42"/>
        <v>0</v>
      </c>
      <c r="H115" s="26">
        <f t="shared" si="42"/>
        <v>0</v>
      </c>
      <c r="I115" s="26">
        <f t="shared" si="39"/>
        <v>0</v>
      </c>
      <c r="J115" s="26">
        <f t="shared" si="41"/>
        <v>0</v>
      </c>
      <c r="K115" s="26">
        <f t="shared" si="41"/>
        <v>0</v>
      </c>
      <c r="L115" s="26">
        <f t="shared" si="39"/>
        <v>0</v>
      </c>
      <c r="M115" s="26">
        <v>81.78</v>
      </c>
      <c r="N115" s="26">
        <v>144.32</v>
      </c>
      <c r="O115" s="26">
        <f>N115</f>
        <v>144.32</v>
      </c>
      <c r="P115" s="26">
        <f t="shared" si="39"/>
        <v>144.32</v>
      </c>
      <c r="Q115" s="26">
        <f t="shared" si="40"/>
        <v>514.74</v>
      </c>
    </row>
    <row r="116" spans="1:17" x14ac:dyDescent="0.25">
      <c r="A116" s="12">
        <v>17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x14ac:dyDescent="0.25">
      <c r="A117" s="12">
        <v>18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5">
      <c r="A118" s="12">
        <v>19</v>
      </c>
      <c r="B118" s="4" t="str">
        <f>B72</f>
        <v xml:space="preserve">    Series 8.5% w/o over life of 6.96% issue</v>
      </c>
      <c r="D118" s="26">
        <v>77.75</v>
      </c>
      <c r="E118" s="26">
        <f t="shared" ref="E118:P118" si="43">D118</f>
        <v>77.75</v>
      </c>
      <c r="F118" s="26">
        <f t="shared" si="43"/>
        <v>77.75</v>
      </c>
      <c r="G118" s="26">
        <f t="shared" si="43"/>
        <v>77.75</v>
      </c>
      <c r="H118" s="26">
        <f t="shared" si="43"/>
        <v>77.75</v>
      </c>
      <c r="I118" s="26">
        <f t="shared" si="43"/>
        <v>77.75</v>
      </c>
      <c r="J118" s="26">
        <f t="shared" si="43"/>
        <v>77.75</v>
      </c>
      <c r="K118" s="26">
        <f t="shared" si="43"/>
        <v>77.75</v>
      </c>
      <c r="L118" s="26">
        <f t="shared" si="43"/>
        <v>77.75</v>
      </c>
      <c r="M118" s="26">
        <f t="shared" si="43"/>
        <v>77.75</v>
      </c>
      <c r="N118" s="26">
        <f t="shared" si="43"/>
        <v>77.75</v>
      </c>
      <c r="O118" s="26">
        <f t="shared" si="43"/>
        <v>77.75</v>
      </c>
      <c r="P118" s="26">
        <f t="shared" si="43"/>
        <v>77.75</v>
      </c>
      <c r="Q118" s="26">
        <f t="shared" si="40"/>
        <v>933</v>
      </c>
    </row>
    <row r="119" spans="1:17" x14ac:dyDescent="0.25">
      <c r="A119" s="12">
        <v>20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x14ac:dyDescent="0.25">
      <c r="A120" s="12">
        <v>21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x14ac:dyDescent="0.25">
      <c r="A121" s="12">
        <v>22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x14ac:dyDescent="0.25">
      <c r="A122" s="12">
        <v>23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x14ac:dyDescent="0.25">
      <c r="A123" s="12">
        <v>24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x14ac:dyDescent="0.25">
      <c r="A124" s="12">
        <v>25</v>
      </c>
      <c r="P124" s="4"/>
      <c r="Q124" s="4"/>
    </row>
    <row r="125" spans="1:17" ht="15.75" thickBot="1" x14ac:dyDescent="0.3">
      <c r="A125" s="12">
        <v>26</v>
      </c>
      <c r="B125" s="8" t="s">
        <v>50</v>
      </c>
      <c r="D125" s="82">
        <f t="shared" ref="D125:P125" si="44">SUM(D102:D124)</f>
        <v>5959.7499999999991</v>
      </c>
      <c r="E125" s="144">
        <f t="shared" si="44"/>
        <v>5959.7499999999991</v>
      </c>
      <c r="F125" s="82">
        <f t="shared" si="44"/>
        <v>5567.6</v>
      </c>
      <c r="G125" s="82">
        <f t="shared" si="44"/>
        <v>6547.92</v>
      </c>
      <c r="H125" s="82">
        <f t="shared" si="44"/>
        <v>5958.88</v>
      </c>
      <c r="I125" s="82">
        <f t="shared" si="44"/>
        <v>5958.88</v>
      </c>
      <c r="J125" s="82">
        <f t="shared" si="44"/>
        <v>5958.88</v>
      </c>
      <c r="K125" s="82">
        <f t="shared" si="44"/>
        <v>5958.88</v>
      </c>
      <c r="L125" s="82">
        <f t="shared" si="44"/>
        <v>5958.88</v>
      </c>
      <c r="M125" s="82">
        <f t="shared" si="44"/>
        <v>6040.66</v>
      </c>
      <c r="N125" s="82">
        <f t="shared" si="44"/>
        <v>6103.2</v>
      </c>
      <c r="O125" s="82">
        <f t="shared" si="44"/>
        <v>6103.2</v>
      </c>
      <c r="P125" s="82">
        <f t="shared" si="44"/>
        <v>6103.2</v>
      </c>
      <c r="Q125" s="82">
        <f>SUM(Q105:Q118)</f>
        <v>72219.930000000008</v>
      </c>
    </row>
    <row r="126" spans="1:17" ht="15.75" thickTop="1" x14ac:dyDescent="0.25">
      <c r="A126" s="1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7" x14ac:dyDescent="0.25">
      <c r="A127" s="12"/>
      <c r="D127" s="13"/>
    </row>
    <row r="128" spans="1:17" x14ac:dyDescent="0.25">
      <c r="A128" s="12"/>
      <c r="D128" s="13"/>
    </row>
    <row r="129" spans="1:40" x14ac:dyDescent="0.25">
      <c r="A129" s="12"/>
      <c r="D129" s="13"/>
    </row>
    <row r="130" spans="1:40" x14ac:dyDescent="0.25">
      <c r="A130" s="12"/>
      <c r="D130" s="13"/>
    </row>
    <row r="131" spans="1:40" x14ac:dyDescent="0.25">
      <c r="A131" s="12"/>
    </row>
    <row r="132" spans="1:40" x14ac:dyDescent="0.25">
      <c r="A132" s="12"/>
    </row>
    <row r="133" spans="1:40" x14ac:dyDescent="0.25">
      <c r="A133" s="12"/>
      <c r="C133" s="4"/>
      <c r="F133" s="8"/>
    </row>
    <row r="134" spans="1:40" x14ac:dyDescent="0.25">
      <c r="A134" s="12"/>
      <c r="F134" s="24"/>
    </row>
    <row r="135" spans="1:40" x14ac:dyDescent="0.25">
      <c r="A135" s="12"/>
      <c r="F135" s="87"/>
    </row>
    <row r="136" spans="1:40" x14ac:dyDescent="0.25">
      <c r="A136" s="33" t="s">
        <v>163</v>
      </c>
      <c r="F136" s="87"/>
      <c r="O136" s="47"/>
      <c r="Q136" s="150" t="s">
        <v>174</v>
      </c>
    </row>
    <row r="137" spans="1:40" x14ac:dyDescent="0.25">
      <c r="A137" s="154" t="s">
        <v>145</v>
      </c>
      <c r="F137" s="87"/>
      <c r="O137" s="47"/>
    </row>
    <row r="138" spans="1:40" x14ac:dyDescent="0.25">
      <c r="A138" s="12"/>
      <c r="F138" s="87"/>
    </row>
    <row r="139" spans="1:40" x14ac:dyDescent="0.25">
      <c r="A139" s="33" t="s">
        <v>2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x14ac:dyDescent="0.25">
      <c r="A140" s="33" t="s">
        <v>55</v>
      </c>
    </row>
    <row r="141" spans="1:40" x14ac:dyDescent="0.25">
      <c r="A141" s="33"/>
    </row>
    <row r="142" spans="1:40" x14ac:dyDescent="0.25">
      <c r="A142" s="65"/>
      <c r="B142" s="65" t="s">
        <v>21</v>
      </c>
      <c r="C142" s="65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40" x14ac:dyDescent="0.25">
      <c r="A143" s="12" t="s">
        <v>4</v>
      </c>
      <c r="B143" s="12" t="s">
        <v>48</v>
      </c>
      <c r="D143" s="12" t="s">
        <v>53</v>
      </c>
      <c r="E143" s="12" t="s">
        <v>53</v>
      </c>
      <c r="F143" s="12" t="s">
        <v>53</v>
      </c>
      <c r="G143" s="12" t="s">
        <v>53</v>
      </c>
      <c r="H143" s="12" t="s">
        <v>53</v>
      </c>
      <c r="I143" s="12" t="s">
        <v>53</v>
      </c>
      <c r="J143" s="12" t="s">
        <v>53</v>
      </c>
      <c r="K143" s="12" t="s">
        <v>53</v>
      </c>
      <c r="L143" s="12" t="s">
        <v>53</v>
      </c>
      <c r="M143" s="12" t="s">
        <v>53</v>
      </c>
      <c r="N143" s="12" t="s">
        <v>53</v>
      </c>
      <c r="O143" s="12" t="s">
        <v>53</v>
      </c>
      <c r="P143" s="12" t="s">
        <v>53</v>
      </c>
      <c r="Q143" s="12" t="s">
        <v>54</v>
      </c>
    </row>
    <row r="144" spans="1:40" x14ac:dyDescent="0.25">
      <c r="A144" s="70" t="s">
        <v>8</v>
      </c>
      <c r="B144" s="70" t="s">
        <v>18</v>
      </c>
      <c r="C144" s="70"/>
      <c r="D144" s="71">
        <f>$D$9</f>
        <v>42735</v>
      </c>
      <c r="E144" s="71">
        <f>$E$9</f>
        <v>42766</v>
      </c>
      <c r="F144" s="71">
        <f>$F$9</f>
        <v>42794</v>
      </c>
      <c r="G144" s="71">
        <f>$G$9</f>
        <v>42825</v>
      </c>
      <c r="H144" s="71">
        <f>$H$9</f>
        <v>42855</v>
      </c>
      <c r="I144" s="71">
        <f>$I$9</f>
        <v>42886</v>
      </c>
      <c r="J144" s="71">
        <f>$J$9</f>
        <v>42916</v>
      </c>
      <c r="K144" s="71">
        <f>$K$9</f>
        <v>42947</v>
      </c>
      <c r="L144" s="71">
        <f>$L$9</f>
        <v>42978</v>
      </c>
      <c r="M144" s="71">
        <f>$M$9</f>
        <v>43008</v>
      </c>
      <c r="N144" s="71">
        <f>$N$9</f>
        <v>43039</v>
      </c>
      <c r="O144" s="71">
        <f>$O$9</f>
        <v>43069</v>
      </c>
      <c r="P144" s="71">
        <f>$P$9</f>
        <v>43100</v>
      </c>
      <c r="Q144" s="71" t="s">
        <v>47</v>
      </c>
    </row>
    <row r="145" spans="1:17" x14ac:dyDescent="0.25">
      <c r="A145" s="12">
        <v>1</v>
      </c>
      <c r="B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7" x14ac:dyDescent="0.25">
      <c r="A146" s="12">
        <v>2</v>
      </c>
    </row>
    <row r="147" spans="1:17" x14ac:dyDescent="0.25">
      <c r="A147" s="12">
        <v>3</v>
      </c>
      <c r="B147" s="37" t="s">
        <v>80</v>
      </c>
    </row>
    <row r="148" spans="1:17" x14ac:dyDescent="0.25">
      <c r="A148" s="12">
        <v>4</v>
      </c>
      <c r="B148" s="77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x14ac:dyDescent="0.25">
      <c r="A149" s="12">
        <v>5</v>
      </c>
      <c r="B149" s="89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x14ac:dyDescent="0.25">
      <c r="A150" s="12">
        <v>6</v>
      </c>
      <c r="B150" s="4" t="str">
        <f t="shared" ref="B150:B160" si="45">B14</f>
        <v xml:space="preserve">    Series 6.96%   GMB</v>
      </c>
      <c r="D150" s="44">
        <f t="shared" ref="D150:P150" si="46">ROUND(+D14/12*$C$14,4)</f>
        <v>40600</v>
      </c>
      <c r="E150" s="44">
        <f t="shared" si="46"/>
        <v>40600</v>
      </c>
      <c r="F150" s="44">
        <f t="shared" si="46"/>
        <v>40600</v>
      </c>
      <c r="G150" s="44">
        <f t="shared" si="46"/>
        <v>40600</v>
      </c>
      <c r="H150" s="44">
        <f t="shared" si="46"/>
        <v>40600</v>
      </c>
      <c r="I150" s="44">
        <f t="shared" si="46"/>
        <v>40600</v>
      </c>
      <c r="J150" s="44">
        <f t="shared" si="46"/>
        <v>40600</v>
      </c>
      <c r="K150" s="44">
        <f t="shared" si="46"/>
        <v>40600</v>
      </c>
      <c r="L150" s="44">
        <f t="shared" si="46"/>
        <v>40600</v>
      </c>
      <c r="M150" s="44">
        <f t="shared" si="46"/>
        <v>40600</v>
      </c>
      <c r="N150" s="44">
        <f t="shared" si="46"/>
        <v>40600</v>
      </c>
      <c r="O150" s="44">
        <f t="shared" si="46"/>
        <v>40600</v>
      </c>
      <c r="P150" s="44">
        <f t="shared" si="46"/>
        <v>40600</v>
      </c>
      <c r="Q150" s="44">
        <f>SUM(E150:P150)</f>
        <v>487200</v>
      </c>
    </row>
    <row r="151" spans="1:17" x14ac:dyDescent="0.25">
      <c r="A151" s="12">
        <v>7</v>
      </c>
      <c r="B151" s="4" t="str">
        <f t="shared" si="45"/>
        <v xml:space="preserve">    Series 7.15%   GMB</v>
      </c>
      <c r="D151" s="26">
        <f t="shared" ref="D151:P151" si="47">ROUND(+D15/12*$C$15,4)</f>
        <v>44687.5</v>
      </c>
      <c r="E151" s="26">
        <f t="shared" si="47"/>
        <v>44687.5</v>
      </c>
      <c r="F151" s="26">
        <f t="shared" si="47"/>
        <v>44687.5</v>
      </c>
      <c r="G151" s="26">
        <f t="shared" si="47"/>
        <v>44687.5</v>
      </c>
      <c r="H151" s="26">
        <f t="shared" si="47"/>
        <v>44687.5</v>
      </c>
      <c r="I151" s="26">
        <f t="shared" si="47"/>
        <v>44687.5</v>
      </c>
      <c r="J151" s="26">
        <f t="shared" si="47"/>
        <v>44687.5</v>
      </c>
      <c r="K151" s="26">
        <f t="shared" si="47"/>
        <v>44687.5</v>
      </c>
      <c r="L151" s="26">
        <f t="shared" si="47"/>
        <v>44687.5</v>
      </c>
      <c r="M151" s="26">
        <f t="shared" si="47"/>
        <v>44687.5</v>
      </c>
      <c r="N151" s="26">
        <f t="shared" si="47"/>
        <v>44687.5</v>
      </c>
      <c r="O151" s="26">
        <f t="shared" si="47"/>
        <v>44687.5</v>
      </c>
      <c r="P151" s="26">
        <f t="shared" si="47"/>
        <v>44687.5</v>
      </c>
      <c r="Q151" s="26">
        <f t="shared" ref="Q151:Q164" si="48">SUM(E151:P151)</f>
        <v>536250</v>
      </c>
    </row>
    <row r="152" spans="1:17" x14ac:dyDescent="0.25">
      <c r="A152" s="12">
        <v>8</v>
      </c>
      <c r="B152" s="4" t="str">
        <f t="shared" si="45"/>
        <v xml:space="preserve">    Series 6.99%   GMB</v>
      </c>
      <c r="D152" s="26">
        <f t="shared" ref="D152:P152" si="49">ROUND(+D16/12*$C$16,4)</f>
        <v>52425</v>
      </c>
      <c r="E152" s="26">
        <f t="shared" si="49"/>
        <v>52425</v>
      </c>
      <c r="F152" s="26">
        <f t="shared" si="49"/>
        <v>52425</v>
      </c>
      <c r="G152" s="26">
        <f t="shared" si="49"/>
        <v>52425</v>
      </c>
      <c r="H152" s="26">
        <f t="shared" si="49"/>
        <v>52425</v>
      </c>
      <c r="I152" s="26">
        <f t="shared" si="49"/>
        <v>52425</v>
      </c>
      <c r="J152" s="26">
        <f t="shared" si="49"/>
        <v>52425</v>
      </c>
      <c r="K152" s="26">
        <f t="shared" si="49"/>
        <v>52425</v>
      </c>
      <c r="L152" s="26">
        <f t="shared" si="49"/>
        <v>52425</v>
      </c>
      <c r="M152" s="26">
        <f t="shared" si="49"/>
        <v>52425</v>
      </c>
      <c r="N152" s="26">
        <f t="shared" si="49"/>
        <v>52425</v>
      </c>
      <c r="O152" s="26">
        <f t="shared" si="49"/>
        <v>52425</v>
      </c>
      <c r="P152" s="26">
        <f t="shared" si="49"/>
        <v>52425</v>
      </c>
      <c r="Q152" s="26">
        <f t="shared" si="48"/>
        <v>629100</v>
      </c>
    </row>
    <row r="153" spans="1:17" x14ac:dyDescent="0.25">
      <c r="A153" s="12">
        <v>9</v>
      </c>
      <c r="B153" s="4" t="str">
        <f t="shared" si="45"/>
        <v xml:space="preserve">    Series 6.593%  Note</v>
      </c>
      <c r="D153" s="26">
        <f t="shared" ref="D153:P153" si="50">ROUND(+D17/12*$C$17,4)</f>
        <v>258225.8333</v>
      </c>
      <c r="E153" s="26">
        <f t="shared" si="50"/>
        <v>258225.8333</v>
      </c>
      <c r="F153" s="26">
        <f t="shared" si="50"/>
        <v>258225.8333</v>
      </c>
      <c r="G153" s="26">
        <f t="shared" si="50"/>
        <v>258225.8333</v>
      </c>
      <c r="H153" s="26">
        <f t="shared" si="50"/>
        <v>258225.8333</v>
      </c>
      <c r="I153" s="26">
        <f t="shared" si="50"/>
        <v>258225.8333</v>
      </c>
      <c r="J153" s="26">
        <f t="shared" si="50"/>
        <v>258225.8333</v>
      </c>
      <c r="K153" s="26">
        <f t="shared" si="50"/>
        <v>258225.8333</v>
      </c>
      <c r="L153" s="26">
        <f t="shared" si="50"/>
        <v>258225.8333</v>
      </c>
      <c r="M153" s="26">
        <f t="shared" si="50"/>
        <v>258225.8333</v>
      </c>
      <c r="N153" s="26">
        <f t="shared" si="50"/>
        <v>258225.8333</v>
      </c>
      <c r="O153" s="26">
        <f t="shared" si="50"/>
        <v>258225.8333</v>
      </c>
      <c r="P153" s="26">
        <f t="shared" si="50"/>
        <v>258225.8333</v>
      </c>
      <c r="Q153" s="26">
        <f t="shared" si="48"/>
        <v>3098709.9996000002</v>
      </c>
    </row>
    <row r="154" spans="1:17" x14ac:dyDescent="0.25">
      <c r="A154" s="12">
        <v>10</v>
      </c>
      <c r="B154" s="4" t="str">
        <f t="shared" si="45"/>
        <v xml:space="preserve">    Series 6.25%    Note</v>
      </c>
      <c r="D154" s="26">
        <f t="shared" ref="D154:P154" si="51">ROUND(+D18/12*$C$18,4)</f>
        <v>236406.25</v>
      </c>
      <c r="E154" s="26">
        <f t="shared" si="51"/>
        <v>236406.25</v>
      </c>
      <c r="F154" s="26">
        <f t="shared" si="51"/>
        <v>236406.25</v>
      </c>
      <c r="G154" s="26">
        <f t="shared" si="51"/>
        <v>236406.25</v>
      </c>
      <c r="H154" s="26">
        <f t="shared" si="51"/>
        <v>236406.25</v>
      </c>
      <c r="I154" s="26">
        <f t="shared" si="51"/>
        <v>236406.25</v>
      </c>
      <c r="J154" s="26">
        <f t="shared" si="51"/>
        <v>236406.25</v>
      </c>
      <c r="K154" s="26">
        <f t="shared" si="51"/>
        <v>236406.25</v>
      </c>
      <c r="L154" s="26">
        <f t="shared" si="51"/>
        <v>236406.25</v>
      </c>
      <c r="M154" s="26">
        <f t="shared" si="51"/>
        <v>236406.25</v>
      </c>
      <c r="N154" s="26">
        <f t="shared" si="51"/>
        <v>236406.25</v>
      </c>
      <c r="O154" s="26">
        <f t="shared" si="51"/>
        <v>236406.25</v>
      </c>
      <c r="P154" s="26">
        <f t="shared" si="51"/>
        <v>236406.25</v>
      </c>
      <c r="Q154" s="26">
        <f t="shared" si="48"/>
        <v>2836875</v>
      </c>
    </row>
    <row r="155" spans="1:17" x14ac:dyDescent="0.25">
      <c r="A155" s="12">
        <v>11</v>
      </c>
      <c r="B155" s="4" t="str">
        <f t="shared" si="45"/>
        <v xml:space="preserve">    Series 5.625%  Note</v>
      </c>
      <c r="D155" s="26">
        <f t="shared" ref="D155:P155" si="52">ROUND(+D19/12*$C$19,4)</f>
        <v>121875</v>
      </c>
      <c r="E155" s="26">
        <f t="shared" si="52"/>
        <v>121875</v>
      </c>
      <c r="F155" s="26">
        <f t="shared" si="52"/>
        <v>121875</v>
      </c>
      <c r="G155" s="26">
        <f t="shared" si="52"/>
        <v>121875</v>
      </c>
      <c r="H155" s="26">
        <f t="shared" si="52"/>
        <v>121875</v>
      </c>
      <c r="I155" s="26">
        <f t="shared" si="52"/>
        <v>121875</v>
      </c>
      <c r="J155" s="26">
        <f t="shared" si="52"/>
        <v>121875</v>
      </c>
      <c r="K155" s="26">
        <f t="shared" si="52"/>
        <v>121875</v>
      </c>
      <c r="L155" s="26">
        <f t="shared" si="52"/>
        <v>121875</v>
      </c>
      <c r="M155" s="26">
        <f t="shared" si="52"/>
        <v>121875</v>
      </c>
      <c r="N155" s="26">
        <f t="shared" si="52"/>
        <v>121875</v>
      </c>
      <c r="O155" s="26">
        <f t="shared" si="52"/>
        <v>121875</v>
      </c>
      <c r="P155" s="26">
        <f t="shared" si="52"/>
        <v>121875</v>
      </c>
      <c r="Q155" s="26">
        <f t="shared" si="48"/>
        <v>1462500</v>
      </c>
    </row>
    <row r="156" spans="1:17" x14ac:dyDescent="0.25">
      <c r="A156" s="12">
        <v>12</v>
      </c>
      <c r="B156" s="4" t="str">
        <f t="shared" si="45"/>
        <v xml:space="preserve">    Series 5.375%  Note</v>
      </c>
      <c r="D156" s="26">
        <f t="shared" ref="D156:P156" si="53">ROUND(+D20/12*$C$20,4)</f>
        <v>116458.3333</v>
      </c>
      <c r="E156" s="26">
        <f t="shared" si="53"/>
        <v>116458.3333</v>
      </c>
      <c r="F156" s="26">
        <f t="shared" si="53"/>
        <v>116458.3333</v>
      </c>
      <c r="G156" s="26">
        <f t="shared" si="53"/>
        <v>116458.3333</v>
      </c>
      <c r="H156" s="26">
        <f t="shared" si="53"/>
        <v>116458.3333</v>
      </c>
      <c r="I156" s="26">
        <f t="shared" si="53"/>
        <v>116458.3333</v>
      </c>
      <c r="J156" s="26">
        <f t="shared" si="53"/>
        <v>116458.3333</v>
      </c>
      <c r="K156" s="26">
        <f t="shared" si="53"/>
        <v>116458.3333</v>
      </c>
      <c r="L156" s="26">
        <f t="shared" si="53"/>
        <v>116458.3333</v>
      </c>
      <c r="M156" s="26">
        <f t="shared" si="53"/>
        <v>116458.3333</v>
      </c>
      <c r="N156" s="26">
        <f t="shared" si="53"/>
        <v>116458.3333</v>
      </c>
      <c r="O156" s="26">
        <f t="shared" si="53"/>
        <v>116458.3333</v>
      </c>
      <c r="P156" s="26">
        <f t="shared" si="53"/>
        <v>116458.3333</v>
      </c>
      <c r="Q156" s="26">
        <f t="shared" si="48"/>
        <v>1397499.9996000004</v>
      </c>
    </row>
    <row r="157" spans="1:17" x14ac:dyDescent="0.25">
      <c r="A157" s="12">
        <v>13</v>
      </c>
      <c r="B157" s="4" t="str">
        <f t="shared" si="45"/>
        <v xml:space="preserve">    Series 5.05%    Note</v>
      </c>
      <c r="D157" s="26">
        <f t="shared" ref="D157:P157" si="54">ROUND(+D21/12*$C$21,4)</f>
        <v>84166.666700000002</v>
      </c>
      <c r="E157" s="26">
        <f t="shared" si="54"/>
        <v>84166.666700000002</v>
      </c>
      <c r="F157" s="26">
        <f t="shared" si="54"/>
        <v>84166.666700000002</v>
      </c>
      <c r="G157" s="26">
        <f t="shared" si="54"/>
        <v>84166.666700000002</v>
      </c>
      <c r="H157" s="26">
        <f t="shared" si="54"/>
        <v>84166.666700000002</v>
      </c>
      <c r="I157" s="26">
        <f t="shared" si="54"/>
        <v>84166.666700000002</v>
      </c>
      <c r="J157" s="26">
        <f t="shared" si="54"/>
        <v>84166.666700000002</v>
      </c>
      <c r="K157" s="26">
        <f t="shared" si="54"/>
        <v>84166.666700000002</v>
      </c>
      <c r="L157" s="26">
        <f t="shared" si="54"/>
        <v>84166.666700000002</v>
      </c>
      <c r="M157" s="26">
        <f t="shared" si="54"/>
        <v>84166.666700000002</v>
      </c>
      <c r="N157" s="26">
        <f t="shared" si="54"/>
        <v>84166.666700000002</v>
      </c>
      <c r="O157" s="26">
        <f t="shared" si="54"/>
        <v>84166.666700000002</v>
      </c>
      <c r="P157" s="26">
        <f t="shared" si="54"/>
        <v>84166.666700000002</v>
      </c>
      <c r="Q157" s="26">
        <f t="shared" si="48"/>
        <v>1010000.0003999998</v>
      </c>
    </row>
    <row r="158" spans="1:17" x14ac:dyDescent="0.25">
      <c r="A158" s="12">
        <v>14</v>
      </c>
      <c r="B158" s="4" t="str">
        <f t="shared" si="45"/>
        <v xml:space="preserve">    Series 4.00%    Note</v>
      </c>
      <c r="D158" s="26">
        <f t="shared" ref="D158:P158" si="55">ROUND(+D22/12*$C$22,4)</f>
        <v>26196.666700000002</v>
      </c>
      <c r="E158" s="26">
        <f t="shared" si="55"/>
        <v>26196.666700000002</v>
      </c>
      <c r="F158" s="26">
        <f t="shared" si="55"/>
        <v>26196.666700000002</v>
      </c>
      <c r="G158" s="26">
        <f t="shared" si="55"/>
        <v>26196.666700000002</v>
      </c>
      <c r="H158" s="26">
        <f t="shared" si="55"/>
        <v>26196.666700000002</v>
      </c>
      <c r="I158" s="26">
        <f t="shared" si="55"/>
        <v>26196.666700000002</v>
      </c>
      <c r="J158" s="26">
        <f t="shared" si="55"/>
        <v>26196.666700000002</v>
      </c>
      <c r="K158" s="26">
        <f t="shared" si="55"/>
        <v>26196.666700000002</v>
      </c>
      <c r="L158" s="26">
        <f t="shared" si="55"/>
        <v>26196.666700000002</v>
      </c>
      <c r="M158" s="26">
        <f t="shared" si="55"/>
        <v>26196.666700000002</v>
      </c>
      <c r="N158" s="26">
        <f t="shared" si="55"/>
        <v>26196.666700000002</v>
      </c>
      <c r="O158" s="26">
        <f t="shared" si="55"/>
        <v>26196.666700000002</v>
      </c>
      <c r="P158" s="26">
        <f t="shared" si="55"/>
        <v>26196.666700000002</v>
      </c>
      <c r="Q158" s="26">
        <f t="shared" si="48"/>
        <v>314360.00040000002</v>
      </c>
    </row>
    <row r="159" spans="1:17" x14ac:dyDescent="0.25">
      <c r="A159" s="12">
        <v>15</v>
      </c>
      <c r="B159" s="4" t="str">
        <f t="shared" si="45"/>
        <v xml:space="preserve">    Series 4.00%    Note</v>
      </c>
      <c r="D159" s="24">
        <f t="shared" ref="D159:P159" si="56">ROUND(+D23/12*$C$23,4)</f>
        <v>16666.666700000002</v>
      </c>
      <c r="E159" s="24">
        <f t="shared" si="56"/>
        <v>16666.666700000002</v>
      </c>
      <c r="F159" s="24">
        <f t="shared" si="56"/>
        <v>16666.666700000002</v>
      </c>
      <c r="G159" s="24">
        <f t="shared" si="56"/>
        <v>16666.666700000002</v>
      </c>
      <c r="H159" s="24">
        <f t="shared" si="56"/>
        <v>16666.666700000002</v>
      </c>
      <c r="I159" s="24">
        <f t="shared" si="56"/>
        <v>16666.666700000002</v>
      </c>
      <c r="J159" s="24">
        <f t="shared" si="56"/>
        <v>16666.666700000002</v>
      </c>
      <c r="K159" s="24">
        <f t="shared" si="56"/>
        <v>16666.666700000002</v>
      </c>
      <c r="L159" s="24">
        <f t="shared" si="56"/>
        <v>16666.666700000002</v>
      </c>
      <c r="M159" s="24">
        <f t="shared" si="56"/>
        <v>16666.666700000002</v>
      </c>
      <c r="N159" s="24">
        <f t="shared" si="56"/>
        <v>16666.666700000002</v>
      </c>
      <c r="O159" s="24">
        <f t="shared" si="56"/>
        <v>16666.666700000002</v>
      </c>
      <c r="P159" s="24">
        <f t="shared" si="56"/>
        <v>16666.666700000002</v>
      </c>
      <c r="Q159" s="24">
        <f t="shared" si="48"/>
        <v>200000.00040000002</v>
      </c>
    </row>
    <row r="160" spans="1:17" x14ac:dyDescent="0.25">
      <c r="A160" s="12">
        <v>16</v>
      </c>
      <c r="B160" s="4" t="str">
        <f t="shared" si="45"/>
        <v xml:space="preserve">    Series 3.75%    Note</v>
      </c>
      <c r="D160" s="24">
        <f t="shared" ref="D160:L160" si="57">ROUND(+D24/12*$C$23,4)</f>
        <v>0</v>
      </c>
      <c r="E160" s="24">
        <f t="shared" si="57"/>
        <v>0</v>
      </c>
      <c r="F160" s="24">
        <f t="shared" si="57"/>
        <v>0</v>
      </c>
      <c r="G160" s="24">
        <f t="shared" si="57"/>
        <v>0</v>
      </c>
      <c r="H160" s="24">
        <f t="shared" si="57"/>
        <v>0</v>
      </c>
      <c r="I160" s="24">
        <f t="shared" si="57"/>
        <v>0</v>
      </c>
      <c r="J160" s="24">
        <f t="shared" si="57"/>
        <v>0</v>
      </c>
      <c r="K160" s="24">
        <f t="shared" si="57"/>
        <v>0</v>
      </c>
      <c r="L160" s="24">
        <f t="shared" si="57"/>
        <v>0</v>
      </c>
      <c r="M160" s="24">
        <f>ROUND(+M24/12*$C$23,4)*0.5</f>
        <v>8333.3333500000008</v>
      </c>
      <c r="N160" s="24">
        <f>ROUND(+N24/12*$C$23,4)</f>
        <v>16666.666700000002</v>
      </c>
      <c r="O160" s="24">
        <f>ROUND(+O24/12*$C$23,4)</f>
        <v>16666.666700000002</v>
      </c>
      <c r="P160" s="24">
        <f>ROUND(+P24/12*$C$24,4)</f>
        <v>15625</v>
      </c>
      <c r="Q160" s="24">
        <f t="shared" si="48"/>
        <v>57291.666750000004</v>
      </c>
    </row>
    <row r="161" spans="1:17" x14ac:dyDescent="0.25">
      <c r="A161" s="12">
        <v>17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12">
        <v>18</v>
      </c>
      <c r="C162" s="8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12">
        <v>19</v>
      </c>
      <c r="B163" s="62"/>
      <c r="C163" s="8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5">
      <c r="A164" s="12">
        <v>20</v>
      </c>
      <c r="B164" s="8" t="s">
        <v>78</v>
      </c>
      <c r="D164" s="26">
        <f>-10875.79</f>
        <v>-10875.79</v>
      </c>
      <c r="E164" s="26">
        <f>+D164</f>
        <v>-10875.79</v>
      </c>
      <c r="F164" s="26">
        <f t="shared" ref="F164:P164" si="58">+E164</f>
        <v>-10875.79</v>
      </c>
      <c r="G164" s="26">
        <f t="shared" si="58"/>
        <v>-10875.79</v>
      </c>
      <c r="H164" s="26">
        <f t="shared" si="58"/>
        <v>-10875.79</v>
      </c>
      <c r="I164" s="26">
        <f t="shared" si="58"/>
        <v>-10875.79</v>
      </c>
      <c r="J164" s="26">
        <f t="shared" si="58"/>
        <v>-10875.79</v>
      </c>
      <c r="K164" s="26">
        <f t="shared" si="58"/>
        <v>-10875.79</v>
      </c>
      <c r="L164" s="26">
        <f t="shared" si="58"/>
        <v>-10875.79</v>
      </c>
      <c r="M164" s="26">
        <f t="shared" si="58"/>
        <v>-10875.79</v>
      </c>
      <c r="N164" s="26">
        <f t="shared" si="58"/>
        <v>-10875.79</v>
      </c>
      <c r="O164" s="26">
        <f t="shared" si="58"/>
        <v>-10875.79</v>
      </c>
      <c r="P164" s="26">
        <f t="shared" si="58"/>
        <v>-10875.79</v>
      </c>
      <c r="Q164" s="26">
        <f t="shared" si="48"/>
        <v>-130509.48000000004</v>
      </c>
    </row>
    <row r="165" spans="1:17" x14ac:dyDescent="0.25">
      <c r="A165" s="12">
        <v>21</v>
      </c>
      <c r="B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5">
      <c r="A166" s="12">
        <v>22</v>
      </c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5">
      <c r="A167" s="12">
        <v>23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.75" thickBot="1" x14ac:dyDescent="0.3">
      <c r="A168" s="12">
        <v>24</v>
      </c>
      <c r="B168" s="8" t="s">
        <v>50</v>
      </c>
      <c r="D168" s="82">
        <f t="shared" ref="D168:Q168" si="59">SUM(D147:D167)</f>
        <v>986832.12669999991</v>
      </c>
      <c r="E168" s="82">
        <f t="shared" si="59"/>
        <v>986832.12669999991</v>
      </c>
      <c r="F168" s="82">
        <f t="shared" si="59"/>
        <v>986832.12669999991</v>
      </c>
      <c r="G168" s="82">
        <f t="shared" si="59"/>
        <v>986832.12669999991</v>
      </c>
      <c r="H168" s="82">
        <f t="shared" si="59"/>
        <v>986832.12669999991</v>
      </c>
      <c r="I168" s="82">
        <f t="shared" si="59"/>
        <v>986832.12669999991</v>
      </c>
      <c r="J168" s="82">
        <f t="shared" si="59"/>
        <v>986832.12669999991</v>
      </c>
      <c r="K168" s="82">
        <f t="shared" si="59"/>
        <v>986832.12669999991</v>
      </c>
      <c r="L168" s="82">
        <f t="shared" si="59"/>
        <v>986832.12669999991</v>
      </c>
      <c r="M168" s="82">
        <f t="shared" si="59"/>
        <v>995165.46004999988</v>
      </c>
      <c r="N168" s="82">
        <f t="shared" si="59"/>
        <v>1003498.7933999998</v>
      </c>
      <c r="O168" s="82">
        <f t="shared" si="59"/>
        <v>1003498.7933999998</v>
      </c>
      <c r="P168" s="82">
        <f t="shared" si="59"/>
        <v>1002457.1266999999</v>
      </c>
      <c r="Q168" s="82">
        <f t="shared" si="59"/>
        <v>11899277.18715</v>
      </c>
    </row>
    <row r="169" spans="1:17" ht="15.75" thickTop="1" x14ac:dyDescent="0.25">
      <c r="A169" s="1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1:17" x14ac:dyDescent="0.25">
      <c r="A170" s="12"/>
      <c r="D170" s="17"/>
      <c r="E170" s="17"/>
      <c r="F170" s="17"/>
      <c r="G170" s="17"/>
      <c r="H170" s="17"/>
      <c r="J170" s="17"/>
      <c r="K170" s="17"/>
      <c r="L170" s="17"/>
    </row>
    <row r="171" spans="1:17" x14ac:dyDescent="0.25">
      <c r="A171" s="12"/>
    </row>
    <row r="172" spans="1:17" x14ac:dyDescent="0.25">
      <c r="A172" s="12"/>
    </row>
    <row r="173" spans="1:17" x14ac:dyDescent="0.25">
      <c r="A173" s="12"/>
    </row>
    <row r="174" spans="1:17" x14ac:dyDescent="0.25">
      <c r="A174" s="12"/>
      <c r="E174" s="90"/>
      <c r="F174" s="90"/>
      <c r="G174" s="90"/>
      <c r="J174" s="90"/>
      <c r="K174" s="90"/>
    </row>
    <row r="175" spans="1:17" x14ac:dyDescent="0.25">
      <c r="A175" s="12"/>
    </row>
    <row r="176" spans="1:17" x14ac:dyDescent="0.25">
      <c r="A176" s="12"/>
      <c r="D176" s="24"/>
      <c r="E176" s="24"/>
      <c r="F176" s="24"/>
      <c r="G176" s="24"/>
      <c r="H176" s="24"/>
      <c r="I176" s="24"/>
      <c r="J176" s="24"/>
      <c r="K176" s="24"/>
      <c r="M176" s="24"/>
      <c r="N176" s="24"/>
      <c r="O176" s="24"/>
      <c r="P176" s="24"/>
      <c r="Q176" s="24"/>
    </row>
    <row r="177" spans="1:40" x14ac:dyDescent="0.25">
      <c r="A177" s="12"/>
      <c r="P177" s="4"/>
      <c r="Q177" s="4"/>
    </row>
    <row r="178" spans="1:40" x14ac:dyDescent="0.25">
      <c r="A178" s="12"/>
      <c r="D178" s="24"/>
      <c r="E178" s="24"/>
      <c r="F178" s="24"/>
      <c r="G178" s="24"/>
      <c r="H178" s="24"/>
      <c r="I178" s="24"/>
      <c r="J178" s="24"/>
      <c r="K178" s="24"/>
      <c r="M178" s="24"/>
      <c r="N178" s="24"/>
      <c r="O178" s="24"/>
      <c r="P178" s="24"/>
      <c r="Q178" s="24"/>
    </row>
    <row r="179" spans="1:40" x14ac:dyDescent="0.25">
      <c r="A179" s="12"/>
    </row>
    <row r="180" spans="1:40" x14ac:dyDescent="0.25">
      <c r="A180" s="12"/>
    </row>
    <row r="181" spans="1:40" x14ac:dyDescent="0.25">
      <c r="A181" s="12"/>
    </row>
    <row r="182" spans="1:40" x14ac:dyDescent="0.25">
      <c r="A182" s="33" t="s">
        <v>163</v>
      </c>
      <c r="O182" s="47"/>
      <c r="Q182" s="150" t="s">
        <v>175</v>
      </c>
    </row>
    <row r="183" spans="1:40" x14ac:dyDescent="0.25">
      <c r="A183" s="154" t="s">
        <v>145</v>
      </c>
      <c r="O183" s="47"/>
    </row>
    <row r="184" spans="1:40" x14ac:dyDescent="0.25">
      <c r="A184" s="12"/>
    </row>
    <row r="185" spans="1:40" x14ac:dyDescent="0.25">
      <c r="A185" s="33" t="s">
        <v>2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 s="33" t="s">
        <v>56</v>
      </c>
    </row>
    <row r="188" spans="1:40" x14ac:dyDescent="0.25">
      <c r="A188" s="65"/>
      <c r="B188" s="65" t="s">
        <v>21</v>
      </c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1:40" x14ac:dyDescent="0.25">
      <c r="A189" s="12" t="s">
        <v>4</v>
      </c>
      <c r="B189" s="12" t="s">
        <v>48</v>
      </c>
      <c r="C189" s="12" t="s">
        <v>15</v>
      </c>
      <c r="D189" s="12" t="s">
        <v>49</v>
      </c>
      <c r="E189" s="12" t="s">
        <v>49</v>
      </c>
      <c r="F189" s="12" t="s">
        <v>49</v>
      </c>
      <c r="G189" s="12" t="s">
        <v>49</v>
      </c>
      <c r="H189" s="12" t="s">
        <v>49</v>
      </c>
      <c r="I189" s="12" t="s">
        <v>49</v>
      </c>
      <c r="J189" s="12" t="s">
        <v>49</v>
      </c>
      <c r="K189" s="12" t="s">
        <v>49</v>
      </c>
      <c r="L189" s="12" t="s">
        <v>49</v>
      </c>
      <c r="M189" s="12" t="s">
        <v>49</v>
      </c>
      <c r="N189" s="12" t="s">
        <v>49</v>
      </c>
      <c r="O189" s="12" t="s">
        <v>49</v>
      </c>
      <c r="P189" s="12" t="s">
        <v>49</v>
      </c>
      <c r="Q189" s="12"/>
    </row>
    <row r="190" spans="1:40" x14ac:dyDescent="0.25">
      <c r="A190" s="70" t="s">
        <v>8</v>
      </c>
      <c r="B190" s="70" t="s">
        <v>18</v>
      </c>
      <c r="C190" s="70" t="s">
        <v>18</v>
      </c>
      <c r="D190" s="71">
        <f>D144</f>
        <v>42735</v>
      </c>
      <c r="E190" s="71">
        <f>$E$9</f>
        <v>42766</v>
      </c>
      <c r="F190" s="71">
        <f>$F$9</f>
        <v>42794</v>
      </c>
      <c r="G190" s="71">
        <f>$G$9</f>
        <v>42825</v>
      </c>
      <c r="H190" s="71">
        <f>$H$9</f>
        <v>42855</v>
      </c>
      <c r="I190" s="71">
        <f>$I$9</f>
        <v>42886</v>
      </c>
      <c r="J190" s="71">
        <f>$J$9</f>
        <v>42916</v>
      </c>
      <c r="K190" s="71">
        <f>$K$9</f>
        <v>42947</v>
      </c>
      <c r="L190" s="71">
        <f>$L$9</f>
        <v>42978</v>
      </c>
      <c r="M190" s="71">
        <f>$M$9</f>
        <v>43008</v>
      </c>
      <c r="N190" s="71">
        <f>$N$9</f>
        <v>43039</v>
      </c>
      <c r="O190" s="71">
        <f>$O$9</f>
        <v>43069</v>
      </c>
      <c r="P190" s="71">
        <f>$P$9</f>
        <v>43100</v>
      </c>
      <c r="Q190" s="71" t="str">
        <f>$Q$9</f>
        <v>Average</v>
      </c>
    </row>
    <row r="191" spans="1:40" x14ac:dyDescent="0.25">
      <c r="A191" s="12">
        <v>1</v>
      </c>
      <c r="B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1:40" x14ac:dyDescent="0.25">
      <c r="A192" s="12">
        <v>2</v>
      </c>
    </row>
    <row r="193" spans="1:17" x14ac:dyDescent="0.25">
      <c r="A193" s="12">
        <v>3</v>
      </c>
      <c r="B193" s="8"/>
      <c r="C193" s="76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1:17" x14ac:dyDescent="0.25">
      <c r="A194" s="12">
        <v>4</v>
      </c>
      <c r="C194" s="76"/>
      <c r="D194" s="50"/>
    </row>
    <row r="195" spans="1:17" x14ac:dyDescent="0.25">
      <c r="A195" s="12">
        <v>5</v>
      </c>
      <c r="B195" s="8" t="s">
        <v>46</v>
      </c>
      <c r="C195" s="76">
        <v>8.4699999999999998E-2</v>
      </c>
      <c r="D195" s="44">
        <v>2250000</v>
      </c>
      <c r="E195" s="44">
        <f t="shared" ref="E195:P195" si="60">D195</f>
        <v>2250000</v>
      </c>
      <c r="F195" s="44">
        <f t="shared" si="60"/>
        <v>2250000</v>
      </c>
      <c r="G195" s="44">
        <f t="shared" si="60"/>
        <v>2250000</v>
      </c>
      <c r="H195" s="44">
        <f t="shared" si="60"/>
        <v>2250000</v>
      </c>
      <c r="I195" s="44">
        <f t="shared" si="60"/>
        <v>2250000</v>
      </c>
      <c r="J195" s="44">
        <f t="shared" si="60"/>
        <v>2250000</v>
      </c>
      <c r="K195" s="44">
        <f>J195</f>
        <v>2250000</v>
      </c>
      <c r="L195" s="44">
        <f t="shared" si="60"/>
        <v>2250000</v>
      </c>
      <c r="M195" s="44">
        <f t="shared" si="60"/>
        <v>2250000</v>
      </c>
      <c r="N195" s="44">
        <f t="shared" si="60"/>
        <v>2250000</v>
      </c>
      <c r="O195" s="44">
        <f t="shared" si="60"/>
        <v>2250000</v>
      </c>
      <c r="P195" s="44">
        <f t="shared" si="60"/>
        <v>2250000</v>
      </c>
      <c r="Q195" s="44">
        <f>AVERAGE(D195,P195)</f>
        <v>2250000</v>
      </c>
    </row>
    <row r="196" spans="1:17" x14ac:dyDescent="0.25">
      <c r="A196" s="12">
        <v>6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x14ac:dyDescent="0.25">
      <c r="A197" s="12">
        <v>7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5">
      <c r="A198" s="12">
        <v>8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x14ac:dyDescent="0.25">
      <c r="A199" s="12">
        <v>9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.75" thickBot="1" x14ac:dyDescent="0.3">
      <c r="A200" s="12">
        <v>10</v>
      </c>
      <c r="B200" s="8" t="s">
        <v>50</v>
      </c>
      <c r="C200" s="12"/>
      <c r="D200" s="92">
        <f t="shared" ref="D200:Q200" si="61">SUM(D193:D199)</f>
        <v>2250000</v>
      </c>
      <c r="E200" s="92">
        <f t="shared" si="61"/>
        <v>2250000</v>
      </c>
      <c r="F200" s="92">
        <f t="shared" si="61"/>
        <v>2250000</v>
      </c>
      <c r="G200" s="92">
        <f t="shared" si="61"/>
        <v>2250000</v>
      </c>
      <c r="H200" s="92">
        <f t="shared" si="61"/>
        <v>2250000</v>
      </c>
      <c r="I200" s="92">
        <f t="shared" si="61"/>
        <v>2250000</v>
      </c>
      <c r="J200" s="92">
        <f t="shared" si="61"/>
        <v>2250000</v>
      </c>
      <c r="K200" s="92">
        <f t="shared" si="61"/>
        <v>2250000</v>
      </c>
      <c r="L200" s="92">
        <f t="shared" si="61"/>
        <v>2250000</v>
      </c>
      <c r="M200" s="92">
        <f t="shared" si="61"/>
        <v>2250000</v>
      </c>
      <c r="N200" s="92">
        <f t="shared" si="61"/>
        <v>2250000</v>
      </c>
      <c r="O200" s="92">
        <f t="shared" si="61"/>
        <v>2250000</v>
      </c>
      <c r="P200" s="92">
        <f t="shared" si="61"/>
        <v>2250000</v>
      </c>
      <c r="Q200" s="92">
        <f t="shared" si="61"/>
        <v>2250000</v>
      </c>
    </row>
    <row r="201" spans="1:17" s="8" customFormat="1" ht="15.75" thickTop="1" x14ac:dyDescent="0.25">
      <c r="A201" s="12"/>
      <c r="B201" s="4"/>
      <c r="C201" s="13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x14ac:dyDescent="0.25">
      <c r="A202" s="12"/>
    </row>
    <row r="203" spans="1:17" x14ac:dyDescent="0.25">
      <c r="A203" s="12"/>
    </row>
    <row r="204" spans="1:17" x14ac:dyDescent="0.25">
      <c r="A204" s="12"/>
    </row>
    <row r="205" spans="1:17" x14ac:dyDescent="0.25">
      <c r="A205" s="12"/>
    </row>
    <row r="206" spans="1:17" x14ac:dyDescent="0.25">
      <c r="A206" s="12"/>
    </row>
    <row r="207" spans="1:17" x14ac:dyDescent="0.25">
      <c r="A207" s="12"/>
    </row>
    <row r="208" spans="1:17" x14ac:dyDescent="0.25">
      <c r="A208" s="12"/>
    </row>
    <row r="209" spans="1:40" x14ac:dyDescent="0.25">
      <c r="A209" s="12"/>
    </row>
    <row r="210" spans="1:40" x14ac:dyDescent="0.25">
      <c r="A210" s="12"/>
    </row>
    <row r="211" spans="1:40" x14ac:dyDescent="0.25">
      <c r="A211" s="12"/>
    </row>
    <row r="212" spans="1:40" x14ac:dyDescent="0.25">
      <c r="A212" s="12"/>
    </row>
    <row r="213" spans="1:40" x14ac:dyDescent="0.25">
      <c r="A213" s="12"/>
    </row>
    <row r="214" spans="1:40" x14ac:dyDescent="0.25">
      <c r="A214" s="12"/>
    </row>
    <row r="215" spans="1:40" x14ac:dyDescent="0.25">
      <c r="A215" s="33" t="s">
        <v>163</v>
      </c>
      <c r="O215" s="47"/>
      <c r="Q215" s="150" t="s">
        <v>176</v>
      </c>
    </row>
    <row r="216" spans="1:40" x14ac:dyDescent="0.25">
      <c r="A216" s="154" t="s">
        <v>145</v>
      </c>
      <c r="O216" s="47"/>
    </row>
    <row r="217" spans="1:40" x14ac:dyDescent="0.25">
      <c r="A217" s="12"/>
    </row>
    <row r="218" spans="1:40" x14ac:dyDescent="0.25">
      <c r="A218" s="33" t="s">
        <v>2</v>
      </c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x14ac:dyDescent="0.25">
      <c r="A219" s="33" t="s">
        <v>57</v>
      </c>
    </row>
    <row r="220" spans="1:40" x14ac:dyDescent="0.25">
      <c r="C220" s="81"/>
    </row>
    <row r="221" spans="1:40" x14ac:dyDescent="0.25">
      <c r="A221" s="65"/>
      <c r="B221" s="65" t="s">
        <v>21</v>
      </c>
      <c r="C221" s="65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</row>
    <row r="222" spans="1:40" x14ac:dyDescent="0.25">
      <c r="A222" s="12" t="s">
        <v>4</v>
      </c>
      <c r="B222" s="12" t="s">
        <v>48</v>
      </c>
      <c r="D222" s="16" t="s">
        <v>49</v>
      </c>
      <c r="E222" s="16" t="s">
        <v>49</v>
      </c>
      <c r="F222" s="16" t="s">
        <v>49</v>
      </c>
      <c r="G222" s="16" t="s">
        <v>49</v>
      </c>
      <c r="H222" s="16" t="s">
        <v>49</v>
      </c>
      <c r="I222" s="16" t="s">
        <v>49</v>
      </c>
      <c r="J222" s="16" t="s">
        <v>49</v>
      </c>
      <c r="K222" s="16" t="s">
        <v>49</v>
      </c>
      <c r="L222" s="16" t="s">
        <v>49</v>
      </c>
      <c r="M222" s="16" t="s">
        <v>49</v>
      </c>
      <c r="N222" s="16" t="s">
        <v>49</v>
      </c>
      <c r="O222" s="16" t="s">
        <v>49</v>
      </c>
      <c r="P222" s="16" t="s">
        <v>49</v>
      </c>
      <c r="Q222" s="16"/>
    </row>
    <row r="223" spans="1:40" x14ac:dyDescent="0.25">
      <c r="A223" s="70" t="s">
        <v>8</v>
      </c>
      <c r="B223" s="70" t="s">
        <v>18</v>
      </c>
      <c r="C223" s="70"/>
      <c r="D223" s="71">
        <f>D190</f>
        <v>42735</v>
      </c>
      <c r="E223" s="71">
        <f>$E$9</f>
        <v>42766</v>
      </c>
      <c r="F223" s="71">
        <f>$F$9</f>
        <v>42794</v>
      </c>
      <c r="G223" s="71">
        <f>$G$9</f>
        <v>42825</v>
      </c>
      <c r="H223" s="71">
        <f>$H$9</f>
        <v>42855</v>
      </c>
      <c r="I223" s="71">
        <f>$I$9</f>
        <v>42886</v>
      </c>
      <c r="J223" s="71">
        <f>$J$9</f>
        <v>42916</v>
      </c>
      <c r="K223" s="71">
        <f>$K$9</f>
        <v>42947</v>
      </c>
      <c r="L223" s="71">
        <f>$L$9</f>
        <v>42978</v>
      </c>
      <c r="M223" s="71">
        <f>$M$9</f>
        <v>43008</v>
      </c>
      <c r="N223" s="71">
        <f>$N$9</f>
        <v>43039</v>
      </c>
      <c r="O223" s="71">
        <f>$O$9</f>
        <v>43069</v>
      </c>
      <c r="P223" s="71">
        <f>$P$9</f>
        <v>43100</v>
      </c>
      <c r="Q223" s="71" t="str">
        <f>$Q$9</f>
        <v>Average</v>
      </c>
    </row>
    <row r="224" spans="1:40" x14ac:dyDescent="0.25">
      <c r="A224" s="12">
        <v>1</v>
      </c>
      <c r="B224" s="8"/>
      <c r="C224" s="12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x14ac:dyDescent="0.25">
      <c r="A225" s="12">
        <v>2</v>
      </c>
      <c r="D225" s="50"/>
    </row>
    <row r="226" spans="1:17" x14ac:dyDescent="0.25">
      <c r="A226" s="12">
        <v>3</v>
      </c>
      <c r="B226" s="8" t="str">
        <f>B195</f>
        <v>8.47% Series, $100 Par</v>
      </c>
      <c r="D226" s="44">
        <v>7693.41</v>
      </c>
      <c r="E226" s="44">
        <f t="shared" ref="E226:P226" si="62">D226-E261</f>
        <v>7661.22</v>
      </c>
      <c r="F226" s="44">
        <f t="shared" si="62"/>
        <v>7629.0300000000007</v>
      </c>
      <c r="G226" s="44">
        <f t="shared" si="62"/>
        <v>7596.8400000000011</v>
      </c>
      <c r="H226" s="44">
        <f t="shared" si="62"/>
        <v>7564.6500000000015</v>
      </c>
      <c r="I226" s="44">
        <f t="shared" si="62"/>
        <v>7532.4600000000019</v>
      </c>
      <c r="J226" s="44">
        <f t="shared" si="62"/>
        <v>7500.2700000000023</v>
      </c>
      <c r="K226" s="44">
        <f t="shared" si="62"/>
        <v>7468.0800000000027</v>
      </c>
      <c r="L226" s="44">
        <f t="shared" si="62"/>
        <v>7435.8900000000031</v>
      </c>
      <c r="M226" s="44">
        <f t="shared" si="62"/>
        <v>7403.7000000000035</v>
      </c>
      <c r="N226" s="44">
        <f t="shared" si="62"/>
        <v>7371.5100000000039</v>
      </c>
      <c r="O226" s="44">
        <f t="shared" si="62"/>
        <v>7339.3200000000043</v>
      </c>
      <c r="P226" s="44">
        <f t="shared" si="62"/>
        <v>7307.1300000000047</v>
      </c>
      <c r="Q226" s="44">
        <f>AVERAGE(D226,P226)</f>
        <v>7500.2700000000023</v>
      </c>
    </row>
    <row r="227" spans="1:17" x14ac:dyDescent="0.25">
      <c r="A227" s="12">
        <v>4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5">
      <c r="A228" s="12">
        <v>5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5">
      <c r="A229" s="12">
        <v>6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5">
      <c r="A230" s="12">
        <v>7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5">
      <c r="A231" s="12">
        <v>8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5">
      <c r="A232" s="12">
        <v>9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.75" thickBot="1" x14ac:dyDescent="0.3">
      <c r="A233" s="12">
        <v>10</v>
      </c>
      <c r="B233" s="8" t="s">
        <v>50</v>
      </c>
      <c r="D233" s="82">
        <f t="shared" ref="D233:Q233" si="63">SUM(D224:D232)</f>
        <v>7693.41</v>
      </c>
      <c r="E233" s="82">
        <f t="shared" si="63"/>
        <v>7661.22</v>
      </c>
      <c r="F233" s="82">
        <f t="shared" si="63"/>
        <v>7629.0300000000007</v>
      </c>
      <c r="G233" s="82">
        <f t="shared" si="63"/>
        <v>7596.8400000000011</v>
      </c>
      <c r="H233" s="82">
        <f t="shared" si="63"/>
        <v>7564.6500000000015</v>
      </c>
      <c r="I233" s="82">
        <f t="shared" si="63"/>
        <v>7532.4600000000019</v>
      </c>
      <c r="J233" s="82">
        <f t="shared" si="63"/>
        <v>7500.2700000000023</v>
      </c>
      <c r="K233" s="82">
        <f t="shared" si="63"/>
        <v>7468.0800000000027</v>
      </c>
      <c r="L233" s="82">
        <f t="shared" si="63"/>
        <v>7435.8900000000031</v>
      </c>
      <c r="M233" s="82">
        <f t="shared" si="63"/>
        <v>7403.7000000000035</v>
      </c>
      <c r="N233" s="82">
        <f t="shared" si="63"/>
        <v>7371.5100000000039</v>
      </c>
      <c r="O233" s="82">
        <f t="shared" si="63"/>
        <v>7339.3200000000043</v>
      </c>
      <c r="P233" s="82">
        <f t="shared" si="63"/>
        <v>7307.1300000000047</v>
      </c>
      <c r="Q233" s="82">
        <f t="shared" si="63"/>
        <v>7500.2700000000023</v>
      </c>
    </row>
    <row r="234" spans="1:17" ht="15.75" thickTop="1" x14ac:dyDescent="0.25">
      <c r="A234" s="12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7" x14ac:dyDescent="0.25">
      <c r="A235" s="12"/>
    </row>
    <row r="236" spans="1:17" x14ac:dyDescent="0.25">
      <c r="A236" s="12"/>
    </row>
    <row r="237" spans="1:17" x14ac:dyDescent="0.25">
      <c r="A237" s="12"/>
    </row>
    <row r="238" spans="1:17" x14ac:dyDescent="0.25">
      <c r="A238" s="12"/>
    </row>
    <row r="239" spans="1:17" x14ac:dyDescent="0.25">
      <c r="A239" s="12"/>
    </row>
    <row r="240" spans="1:17" x14ac:dyDescent="0.25">
      <c r="A240" s="12"/>
    </row>
    <row r="241" spans="1:40" x14ac:dyDescent="0.25">
      <c r="A241" s="12"/>
    </row>
    <row r="242" spans="1:40" x14ac:dyDescent="0.25">
      <c r="A242" s="12"/>
    </row>
    <row r="243" spans="1:40" x14ac:dyDescent="0.25">
      <c r="A243" s="12"/>
    </row>
    <row r="244" spans="1:40" x14ac:dyDescent="0.25">
      <c r="A244" s="12"/>
    </row>
    <row r="245" spans="1:40" x14ac:dyDescent="0.25">
      <c r="A245" s="12"/>
    </row>
    <row r="246" spans="1:40" x14ac:dyDescent="0.25">
      <c r="A246" s="12"/>
    </row>
    <row r="247" spans="1:40" x14ac:dyDescent="0.25">
      <c r="A247" s="12"/>
    </row>
    <row r="248" spans="1:40" x14ac:dyDescent="0.25">
      <c r="A248" s="33" t="s">
        <v>163</v>
      </c>
      <c r="O248" s="47"/>
      <c r="Q248" s="150" t="s">
        <v>177</v>
      </c>
    </row>
    <row r="249" spans="1:40" x14ac:dyDescent="0.25">
      <c r="A249" s="154" t="s">
        <v>145</v>
      </c>
      <c r="O249" s="47"/>
    </row>
    <row r="251" spans="1:40" x14ac:dyDescent="0.25">
      <c r="A251" s="33" t="s">
        <v>2</v>
      </c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x14ac:dyDescent="0.25">
      <c r="A252" s="33" t="s">
        <v>58</v>
      </c>
    </row>
    <row r="254" spans="1:40" x14ac:dyDescent="0.25">
      <c r="A254" s="65"/>
      <c r="B254" s="65" t="s">
        <v>21</v>
      </c>
      <c r="C254" s="65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</row>
    <row r="255" spans="1:40" x14ac:dyDescent="0.25">
      <c r="A255" s="12" t="s">
        <v>4</v>
      </c>
      <c r="B255" s="12" t="s">
        <v>48</v>
      </c>
      <c r="D255" s="12" t="s">
        <v>53</v>
      </c>
      <c r="E255" s="12" t="s">
        <v>53</v>
      </c>
      <c r="F255" s="12" t="s">
        <v>53</v>
      </c>
      <c r="G255" s="12" t="s">
        <v>53</v>
      </c>
      <c r="H255" s="12" t="s">
        <v>53</v>
      </c>
      <c r="I255" s="12" t="s">
        <v>53</v>
      </c>
      <c r="J255" s="12" t="s">
        <v>53</v>
      </c>
      <c r="K255" s="12" t="s">
        <v>53</v>
      </c>
      <c r="L255" s="12" t="s">
        <v>53</v>
      </c>
      <c r="M255" s="12" t="s">
        <v>53</v>
      </c>
      <c r="N255" s="12" t="s">
        <v>53</v>
      </c>
      <c r="O255" s="12" t="s">
        <v>53</v>
      </c>
      <c r="P255" s="12" t="s">
        <v>53</v>
      </c>
      <c r="Q255" s="12" t="s">
        <v>54</v>
      </c>
    </row>
    <row r="256" spans="1:40" x14ac:dyDescent="0.25">
      <c r="A256" s="70" t="s">
        <v>8</v>
      </c>
      <c r="B256" s="70" t="s">
        <v>18</v>
      </c>
      <c r="C256" s="70"/>
      <c r="D256" s="71">
        <f>$D$9</f>
        <v>42735</v>
      </c>
      <c r="E256" s="71">
        <f>$E$9</f>
        <v>42766</v>
      </c>
      <c r="F256" s="71">
        <f>$F$9</f>
        <v>42794</v>
      </c>
      <c r="G256" s="71">
        <f>$G$9</f>
        <v>42825</v>
      </c>
      <c r="H256" s="71">
        <f>$H$9</f>
        <v>42855</v>
      </c>
      <c r="I256" s="71">
        <f>$I$9</f>
        <v>42886</v>
      </c>
      <c r="J256" s="71">
        <f>$J$9</f>
        <v>42916</v>
      </c>
      <c r="K256" s="71">
        <f>$K$9</f>
        <v>42947</v>
      </c>
      <c r="L256" s="71">
        <f>$L$9</f>
        <v>42978</v>
      </c>
      <c r="M256" s="71">
        <f>$M$9</f>
        <v>43008</v>
      </c>
      <c r="N256" s="71">
        <f>$N$9</f>
        <v>43039</v>
      </c>
      <c r="O256" s="71">
        <f>$O$9</f>
        <v>43069</v>
      </c>
      <c r="P256" s="71">
        <f>$P$9</f>
        <v>43100</v>
      </c>
      <c r="Q256" s="71" t="s">
        <v>47</v>
      </c>
    </row>
    <row r="257" spans="1:17" x14ac:dyDescent="0.25">
      <c r="A257" s="12">
        <v>1</v>
      </c>
      <c r="B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1:17" x14ac:dyDescent="0.25">
      <c r="A258" s="12">
        <v>2</v>
      </c>
    </row>
    <row r="259" spans="1:17" x14ac:dyDescent="0.25">
      <c r="A259" s="12">
        <v>3</v>
      </c>
      <c r="B259" s="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1:17" x14ac:dyDescent="0.25">
      <c r="A260" s="12">
        <v>4</v>
      </c>
      <c r="D260" s="50"/>
      <c r="P260" s="50"/>
      <c r="Q260" s="50"/>
    </row>
    <row r="261" spans="1:17" x14ac:dyDescent="0.25">
      <c r="A261" s="12">
        <v>5</v>
      </c>
      <c r="B261" s="8" t="str">
        <f>B195</f>
        <v>8.47% Series, $100 Par</v>
      </c>
      <c r="D261" s="44">
        <v>32.19</v>
      </c>
      <c r="E261" s="44">
        <f t="shared" ref="E261:P261" si="64">D261</f>
        <v>32.19</v>
      </c>
      <c r="F261" s="44">
        <f t="shared" si="64"/>
        <v>32.19</v>
      </c>
      <c r="G261" s="44">
        <f t="shared" si="64"/>
        <v>32.19</v>
      </c>
      <c r="H261" s="44">
        <f t="shared" si="64"/>
        <v>32.19</v>
      </c>
      <c r="I261" s="44">
        <f t="shared" si="64"/>
        <v>32.19</v>
      </c>
      <c r="J261" s="44">
        <f t="shared" si="64"/>
        <v>32.19</v>
      </c>
      <c r="K261" s="44">
        <f t="shared" si="64"/>
        <v>32.19</v>
      </c>
      <c r="L261" s="44">
        <f>K261</f>
        <v>32.19</v>
      </c>
      <c r="M261" s="44">
        <f t="shared" si="64"/>
        <v>32.19</v>
      </c>
      <c r="N261" s="44">
        <f t="shared" si="64"/>
        <v>32.19</v>
      </c>
      <c r="O261" s="44">
        <f t="shared" si="64"/>
        <v>32.19</v>
      </c>
      <c r="P261" s="44">
        <f t="shared" si="64"/>
        <v>32.19</v>
      </c>
      <c r="Q261" s="44">
        <f>SUM(E261:P261)</f>
        <v>386.28</v>
      </c>
    </row>
    <row r="262" spans="1:17" x14ac:dyDescent="0.25">
      <c r="A262" s="12">
        <v>6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5">
      <c r="A263" s="12">
        <v>7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5">
      <c r="A264" s="12">
        <v>8</v>
      </c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5">
      <c r="A265" s="12">
        <v>9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5.75" thickBot="1" x14ac:dyDescent="0.3">
      <c r="A266" s="12">
        <v>10</v>
      </c>
      <c r="B266" s="8" t="s">
        <v>50</v>
      </c>
      <c r="D266" s="82">
        <f t="shared" ref="D266:Q266" si="65">SUM(D259:D265)</f>
        <v>32.19</v>
      </c>
      <c r="E266" s="82">
        <f t="shared" si="65"/>
        <v>32.19</v>
      </c>
      <c r="F266" s="82">
        <f t="shared" si="65"/>
        <v>32.19</v>
      </c>
      <c r="G266" s="82">
        <f t="shared" si="65"/>
        <v>32.19</v>
      </c>
      <c r="H266" s="82">
        <f t="shared" si="65"/>
        <v>32.19</v>
      </c>
      <c r="I266" s="82">
        <f t="shared" si="65"/>
        <v>32.19</v>
      </c>
      <c r="J266" s="82">
        <f t="shared" si="65"/>
        <v>32.19</v>
      </c>
      <c r="K266" s="82">
        <f t="shared" si="65"/>
        <v>32.19</v>
      </c>
      <c r="L266" s="82">
        <f t="shared" si="65"/>
        <v>32.19</v>
      </c>
      <c r="M266" s="82">
        <f t="shared" si="65"/>
        <v>32.19</v>
      </c>
      <c r="N266" s="82">
        <f t="shared" si="65"/>
        <v>32.19</v>
      </c>
      <c r="O266" s="82">
        <f t="shared" si="65"/>
        <v>32.19</v>
      </c>
      <c r="P266" s="82">
        <f t="shared" si="65"/>
        <v>32.19</v>
      </c>
      <c r="Q266" s="82">
        <f t="shared" si="65"/>
        <v>386.28</v>
      </c>
    </row>
    <row r="267" spans="1:17" ht="15.75" thickTop="1" x14ac:dyDescent="0.25">
      <c r="A267" s="12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7" x14ac:dyDescent="0.25">
      <c r="A268" s="12"/>
    </row>
    <row r="269" spans="1:17" x14ac:dyDescent="0.25">
      <c r="A269" s="12"/>
    </row>
    <row r="270" spans="1:17" x14ac:dyDescent="0.25">
      <c r="A270" s="12"/>
    </row>
    <row r="271" spans="1:17" x14ac:dyDescent="0.25">
      <c r="A271" s="12"/>
    </row>
    <row r="272" spans="1:17" x14ac:dyDescent="0.25">
      <c r="A272" s="12"/>
    </row>
    <row r="273" spans="1:40" x14ac:dyDescent="0.25">
      <c r="A273" s="12"/>
    </row>
    <row r="274" spans="1:40" x14ac:dyDescent="0.25">
      <c r="A274" s="12"/>
    </row>
    <row r="275" spans="1:40" x14ac:dyDescent="0.25">
      <c r="A275" s="12"/>
    </row>
    <row r="276" spans="1:40" x14ac:dyDescent="0.25">
      <c r="A276" s="12"/>
    </row>
    <row r="277" spans="1:40" x14ac:dyDescent="0.25">
      <c r="A277" s="12"/>
    </row>
    <row r="278" spans="1:40" x14ac:dyDescent="0.25">
      <c r="A278" s="12"/>
    </row>
    <row r="279" spans="1:40" x14ac:dyDescent="0.25">
      <c r="A279" s="12"/>
    </row>
    <row r="280" spans="1:40" x14ac:dyDescent="0.25">
      <c r="A280" s="12"/>
    </row>
    <row r="281" spans="1:40" x14ac:dyDescent="0.25">
      <c r="A281" s="33" t="s">
        <v>163</v>
      </c>
      <c r="O281" s="47"/>
      <c r="Q281" s="150" t="s">
        <v>178</v>
      </c>
    </row>
    <row r="282" spans="1:40" x14ac:dyDescent="0.25">
      <c r="A282" s="154" t="s">
        <v>145</v>
      </c>
      <c r="O282" s="47"/>
    </row>
    <row r="283" spans="1:40" x14ac:dyDescent="0.25">
      <c r="A283" s="12"/>
    </row>
    <row r="284" spans="1:40" x14ac:dyDescent="0.25">
      <c r="A284" s="33" t="s">
        <v>2</v>
      </c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x14ac:dyDescent="0.25">
      <c r="A285" s="33" t="s">
        <v>59</v>
      </c>
    </row>
    <row r="287" spans="1:40" x14ac:dyDescent="0.25">
      <c r="A287" s="65"/>
      <c r="B287" s="65" t="s">
        <v>21</v>
      </c>
      <c r="C287" s="65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</row>
    <row r="288" spans="1:40" x14ac:dyDescent="0.25">
      <c r="A288" s="12" t="s">
        <v>4</v>
      </c>
      <c r="B288" s="12" t="s">
        <v>48</v>
      </c>
      <c r="D288" s="12" t="s">
        <v>53</v>
      </c>
      <c r="E288" s="12" t="s">
        <v>53</v>
      </c>
      <c r="F288" s="12" t="s">
        <v>53</v>
      </c>
      <c r="G288" s="12" t="s">
        <v>53</v>
      </c>
      <c r="H288" s="12" t="s">
        <v>53</v>
      </c>
      <c r="I288" s="12" t="s">
        <v>53</v>
      </c>
      <c r="J288" s="12" t="s">
        <v>53</v>
      </c>
      <c r="K288" s="12" t="s">
        <v>53</v>
      </c>
      <c r="L288" s="12" t="s">
        <v>53</v>
      </c>
      <c r="M288" s="12" t="s">
        <v>53</v>
      </c>
      <c r="N288" s="12" t="s">
        <v>53</v>
      </c>
      <c r="O288" s="12" t="s">
        <v>53</v>
      </c>
      <c r="P288" s="12" t="s">
        <v>53</v>
      </c>
      <c r="Q288" s="12"/>
    </row>
    <row r="289" spans="1:17" x14ac:dyDescent="0.25">
      <c r="A289" s="70" t="s">
        <v>8</v>
      </c>
      <c r="B289" s="70" t="s">
        <v>18</v>
      </c>
      <c r="C289" s="70"/>
      <c r="D289" s="71">
        <f>$D$9</f>
        <v>42735</v>
      </c>
      <c r="E289" s="71">
        <f>$E$9</f>
        <v>42766</v>
      </c>
      <c r="F289" s="71">
        <f>$F$9</f>
        <v>42794</v>
      </c>
      <c r="G289" s="71">
        <f>$G$9</f>
        <v>42825</v>
      </c>
      <c r="H289" s="71">
        <f>$H$9</f>
        <v>42855</v>
      </c>
      <c r="I289" s="71">
        <f>$I$9</f>
        <v>42886</v>
      </c>
      <c r="J289" s="71">
        <f>$J$9</f>
        <v>42916</v>
      </c>
      <c r="K289" s="71">
        <f>$K$9</f>
        <v>42947</v>
      </c>
      <c r="L289" s="71">
        <f>$L$9</f>
        <v>42978</v>
      </c>
      <c r="M289" s="71">
        <f>$M$9</f>
        <v>43008</v>
      </c>
      <c r="N289" s="71">
        <f>$N$9</f>
        <v>43039</v>
      </c>
      <c r="O289" s="71">
        <f>$O$9</f>
        <v>43069</v>
      </c>
      <c r="P289" s="71">
        <f>$P$9</f>
        <v>43100</v>
      </c>
      <c r="Q289" s="71" t="str">
        <f>$Q$9</f>
        <v>Average</v>
      </c>
    </row>
    <row r="290" spans="1:17" x14ac:dyDescent="0.25">
      <c r="A290" s="12">
        <v>1</v>
      </c>
      <c r="B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7" x14ac:dyDescent="0.25">
      <c r="A291" s="12">
        <v>2</v>
      </c>
    </row>
    <row r="292" spans="1:17" x14ac:dyDescent="0.25">
      <c r="A292" s="12">
        <v>3</v>
      </c>
      <c r="B292" s="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1:17" x14ac:dyDescent="0.25">
      <c r="A293" s="12">
        <v>4</v>
      </c>
    </row>
    <row r="294" spans="1:17" x14ac:dyDescent="0.25">
      <c r="A294" s="12">
        <v>5</v>
      </c>
      <c r="B294" s="8" t="str">
        <f>B195</f>
        <v>8.47% Series, $100 Par</v>
      </c>
      <c r="D294" s="44">
        <f t="shared" ref="D294:P294" si="66">ROUND(+D195/12*$C$195,4)</f>
        <v>15881.25</v>
      </c>
      <c r="E294" s="44">
        <f t="shared" si="66"/>
        <v>15881.25</v>
      </c>
      <c r="F294" s="44">
        <f t="shared" si="66"/>
        <v>15881.25</v>
      </c>
      <c r="G294" s="44">
        <f t="shared" si="66"/>
        <v>15881.25</v>
      </c>
      <c r="H294" s="44">
        <f t="shared" si="66"/>
        <v>15881.25</v>
      </c>
      <c r="I294" s="44">
        <f t="shared" si="66"/>
        <v>15881.25</v>
      </c>
      <c r="J294" s="44">
        <f t="shared" si="66"/>
        <v>15881.25</v>
      </c>
      <c r="K294" s="44">
        <f t="shared" si="66"/>
        <v>15881.25</v>
      </c>
      <c r="L294" s="44">
        <f t="shared" si="66"/>
        <v>15881.25</v>
      </c>
      <c r="M294" s="44">
        <f t="shared" si="66"/>
        <v>15881.25</v>
      </c>
      <c r="N294" s="44">
        <f t="shared" si="66"/>
        <v>15881.25</v>
      </c>
      <c r="O294" s="44">
        <f t="shared" si="66"/>
        <v>15881.25</v>
      </c>
      <c r="P294" s="44">
        <f t="shared" si="66"/>
        <v>15881.25</v>
      </c>
      <c r="Q294" s="44">
        <f>SUM(E294:P294)</f>
        <v>190575</v>
      </c>
    </row>
    <row r="295" spans="1:17" x14ac:dyDescent="0.25">
      <c r="A295" s="12">
        <v>6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5">
      <c r="A296" s="12">
        <v>7</v>
      </c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5">
      <c r="A297" s="12">
        <v>8</v>
      </c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5">
      <c r="A298" s="12">
        <v>9</v>
      </c>
      <c r="P298" s="4"/>
      <c r="Q298" s="4"/>
    </row>
    <row r="299" spans="1:17" ht="15.75" thickBot="1" x14ac:dyDescent="0.3">
      <c r="A299" s="12">
        <v>10</v>
      </c>
      <c r="B299" s="8" t="s">
        <v>50</v>
      </c>
      <c r="D299" s="82">
        <f t="shared" ref="D299:Q299" si="67">SUM(D292:D298)</f>
        <v>15881.25</v>
      </c>
      <c r="E299" s="82">
        <f t="shared" si="67"/>
        <v>15881.25</v>
      </c>
      <c r="F299" s="82">
        <f t="shared" si="67"/>
        <v>15881.25</v>
      </c>
      <c r="G299" s="82">
        <f t="shared" si="67"/>
        <v>15881.25</v>
      </c>
      <c r="H299" s="82">
        <f t="shared" si="67"/>
        <v>15881.25</v>
      </c>
      <c r="I299" s="82">
        <f t="shared" si="67"/>
        <v>15881.25</v>
      </c>
      <c r="J299" s="82">
        <f t="shared" si="67"/>
        <v>15881.25</v>
      </c>
      <c r="K299" s="82">
        <f t="shared" si="67"/>
        <v>15881.25</v>
      </c>
      <c r="L299" s="82">
        <f t="shared" si="67"/>
        <v>15881.25</v>
      </c>
      <c r="M299" s="82">
        <f t="shared" si="67"/>
        <v>15881.25</v>
      </c>
      <c r="N299" s="82">
        <f t="shared" si="67"/>
        <v>15881.25</v>
      </c>
      <c r="O299" s="82">
        <f t="shared" si="67"/>
        <v>15881.25</v>
      </c>
      <c r="P299" s="82">
        <f t="shared" si="67"/>
        <v>15881.25</v>
      </c>
      <c r="Q299" s="82">
        <f t="shared" si="67"/>
        <v>190575</v>
      </c>
    </row>
    <row r="300" spans="1:17" ht="15.75" thickTop="1" x14ac:dyDescent="0.25">
      <c r="A300" s="12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7" x14ac:dyDescent="0.25">
      <c r="A301" s="12"/>
    </row>
    <row r="302" spans="1:17" x14ac:dyDescent="0.25">
      <c r="A302" s="12"/>
    </row>
    <row r="303" spans="1:17" x14ac:dyDescent="0.25">
      <c r="A303" s="12"/>
      <c r="D303" s="24"/>
    </row>
    <row r="304" spans="1:17" x14ac:dyDescent="0.25">
      <c r="A304" s="12"/>
    </row>
    <row r="305" spans="1:40" x14ac:dyDescent="0.25">
      <c r="A305" s="12"/>
    </row>
    <row r="306" spans="1:40" x14ac:dyDescent="0.25">
      <c r="A306" s="12"/>
    </row>
    <row r="307" spans="1:40" x14ac:dyDescent="0.25">
      <c r="A307" s="12"/>
    </row>
    <row r="308" spans="1:40" x14ac:dyDescent="0.25">
      <c r="A308" s="12"/>
    </row>
    <row r="309" spans="1:40" x14ac:dyDescent="0.25">
      <c r="A309" s="12"/>
    </row>
    <row r="310" spans="1:40" x14ac:dyDescent="0.25">
      <c r="A310" s="12"/>
    </row>
    <row r="311" spans="1:40" x14ac:dyDescent="0.25">
      <c r="A311" s="12"/>
    </row>
    <row r="312" spans="1:40" x14ac:dyDescent="0.25">
      <c r="A312" s="12"/>
    </row>
    <row r="313" spans="1:40" x14ac:dyDescent="0.25">
      <c r="A313" s="12"/>
    </row>
    <row r="314" spans="1:40" x14ac:dyDescent="0.25">
      <c r="A314" s="33" t="s">
        <v>163</v>
      </c>
      <c r="O314" s="47"/>
      <c r="Q314" s="150" t="s">
        <v>179</v>
      </c>
    </row>
    <row r="315" spans="1:40" x14ac:dyDescent="0.25">
      <c r="A315" s="154" t="s">
        <v>145</v>
      </c>
      <c r="O315" s="47"/>
    </row>
    <row r="316" spans="1:40" x14ac:dyDescent="0.25">
      <c r="A316" s="12"/>
    </row>
    <row r="317" spans="1:40" x14ac:dyDescent="0.25">
      <c r="A317" s="33" t="s">
        <v>2</v>
      </c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x14ac:dyDescent="0.25">
      <c r="A318" s="33" t="s">
        <v>60</v>
      </c>
    </row>
    <row r="320" spans="1:40" x14ac:dyDescent="0.25">
      <c r="A320" s="65"/>
      <c r="B320" s="65"/>
      <c r="C320" s="65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x14ac:dyDescent="0.25">
      <c r="A321" s="12" t="s">
        <v>4</v>
      </c>
      <c r="B321" s="12"/>
      <c r="D321" s="12" t="s">
        <v>49</v>
      </c>
      <c r="E321" s="12" t="s">
        <v>49</v>
      </c>
      <c r="F321" s="12" t="s">
        <v>49</v>
      </c>
      <c r="G321" s="12" t="s">
        <v>49</v>
      </c>
      <c r="H321" s="12" t="s">
        <v>49</v>
      </c>
      <c r="I321" s="12" t="s">
        <v>49</v>
      </c>
      <c r="J321" s="12" t="s">
        <v>49</v>
      </c>
      <c r="K321" s="12" t="s">
        <v>49</v>
      </c>
      <c r="L321" s="12" t="s">
        <v>49</v>
      </c>
      <c r="M321" s="12" t="s">
        <v>49</v>
      </c>
      <c r="N321" s="12" t="s">
        <v>49</v>
      </c>
      <c r="O321" s="12" t="s">
        <v>49</v>
      </c>
      <c r="P321" s="12" t="s">
        <v>49</v>
      </c>
      <c r="Q321" s="12"/>
    </row>
    <row r="322" spans="1:17" x14ac:dyDescent="0.25">
      <c r="A322" s="70" t="s">
        <v>8</v>
      </c>
      <c r="B322" s="70"/>
      <c r="C322" s="70"/>
      <c r="D322" s="71">
        <f>$D$9</f>
        <v>42735</v>
      </c>
      <c r="E322" s="71">
        <f>$E$9</f>
        <v>42766</v>
      </c>
      <c r="F322" s="71">
        <f>$F$9</f>
        <v>42794</v>
      </c>
      <c r="G322" s="71">
        <f>$G$9</f>
        <v>42825</v>
      </c>
      <c r="H322" s="71">
        <f>$H$9</f>
        <v>42855</v>
      </c>
      <c r="I322" s="71">
        <f>$I$9</f>
        <v>42886</v>
      </c>
      <c r="J322" s="71">
        <f>$J$9</f>
        <v>42916</v>
      </c>
      <c r="K322" s="71">
        <f>$K$9</f>
        <v>42947</v>
      </c>
      <c r="L322" s="71">
        <f>$L$9</f>
        <v>42978</v>
      </c>
      <c r="M322" s="71">
        <f>$M$9</f>
        <v>43008</v>
      </c>
      <c r="N322" s="71">
        <f>$N$9</f>
        <v>43039</v>
      </c>
      <c r="O322" s="71">
        <f>$O$9</f>
        <v>43069</v>
      </c>
      <c r="P322" s="71">
        <f>$P$9</f>
        <v>43100</v>
      </c>
      <c r="Q322" s="71" t="str">
        <f>$Q$9</f>
        <v>Average</v>
      </c>
    </row>
    <row r="323" spans="1:17" x14ac:dyDescent="0.25">
      <c r="A323" s="12">
        <v>1</v>
      </c>
      <c r="B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7" x14ac:dyDescent="0.25">
      <c r="A324" s="12">
        <v>2</v>
      </c>
    </row>
    <row r="325" spans="1:17" x14ac:dyDescent="0.25">
      <c r="A325" s="12">
        <v>3</v>
      </c>
    </row>
    <row r="326" spans="1:17" x14ac:dyDescent="0.25">
      <c r="A326" s="12">
        <v>4</v>
      </c>
    </row>
    <row r="327" spans="1:17" x14ac:dyDescent="0.25">
      <c r="A327" s="12">
        <v>5</v>
      </c>
    </row>
    <row r="328" spans="1:17" x14ac:dyDescent="0.25">
      <c r="A328" s="12">
        <v>6</v>
      </c>
    </row>
    <row r="329" spans="1:17" ht="15.75" thickBot="1" x14ac:dyDescent="0.3">
      <c r="A329" s="12">
        <v>7</v>
      </c>
      <c r="B329" s="8" t="s">
        <v>120</v>
      </c>
      <c r="D329" s="115">
        <f>-'STD 2017 WP'!E10</f>
        <v>22799458.789999999</v>
      </c>
      <c r="E329" s="115">
        <f>-'STD 2017 WP'!E11</f>
        <v>21482959.32</v>
      </c>
      <c r="F329" s="115">
        <f>-'STD 2017 WP'!E12</f>
        <v>23271555.170000002</v>
      </c>
      <c r="G329" s="115">
        <f>-'STD 2017 WP'!E13</f>
        <v>22749551.579999998</v>
      </c>
      <c r="H329" s="115">
        <f>-'STD 2017 WP'!E14</f>
        <v>23662664.370000001</v>
      </c>
      <c r="I329" s="115">
        <f>-'STD 2017 WP'!E15</f>
        <v>16213351.57</v>
      </c>
      <c r="J329" s="115">
        <f>-'STD 2017 WP'!E16</f>
        <v>21264976.300000001</v>
      </c>
      <c r="K329" s="115">
        <f>-'STD 2017 WP'!E17</f>
        <v>19693219.16</v>
      </c>
      <c r="L329" s="115">
        <f>-'STD 2017 WP'!E18</f>
        <v>15241683.710000001</v>
      </c>
      <c r="M329" s="115">
        <f>-'STD 2017 WP'!E19</f>
        <v>4240066.9400000004</v>
      </c>
      <c r="N329" s="115">
        <f>-'STD 2017 WP'!E20</f>
        <v>3152449.97</v>
      </c>
      <c r="O329" s="115">
        <f>-'STD 2017 WP'!E21</f>
        <v>-1445614.85</v>
      </c>
      <c r="P329" s="115">
        <f>-'STD 2017 WP'!E22</f>
        <v>11467259.23</v>
      </c>
      <c r="Q329" s="115">
        <f>AVERAGE(D329,P329)</f>
        <v>17133359.009999998</v>
      </c>
    </row>
    <row r="330" spans="1:17" ht="15.75" thickTop="1" x14ac:dyDescent="0.25">
      <c r="A330" s="12">
        <v>8</v>
      </c>
      <c r="D330" s="17"/>
      <c r="E330" s="17"/>
      <c r="F330" s="17"/>
      <c r="G330" s="17"/>
      <c r="H330" s="17"/>
      <c r="I330" s="17"/>
      <c r="J330" s="84"/>
      <c r="K330" s="84"/>
      <c r="L330" s="17"/>
      <c r="M330" s="17"/>
      <c r="N330" s="17"/>
      <c r="O330" s="17"/>
    </row>
    <row r="331" spans="1:17" x14ac:dyDescent="0.25">
      <c r="A331" s="12">
        <v>9</v>
      </c>
      <c r="B331" s="22"/>
      <c r="D331" s="94"/>
      <c r="E331" s="95"/>
      <c r="F331" s="95"/>
      <c r="G331" s="95"/>
      <c r="H331" s="95"/>
      <c r="I331" s="95"/>
      <c r="J331" s="88"/>
      <c r="K331" s="88"/>
      <c r="L331" s="88"/>
      <c r="M331" s="88"/>
      <c r="N331" s="88"/>
      <c r="O331" s="88"/>
      <c r="P331" s="88"/>
      <c r="Q331" s="88"/>
    </row>
    <row r="332" spans="1:17" x14ac:dyDescent="0.25">
      <c r="A332" s="12">
        <v>10</v>
      </c>
      <c r="D332" s="95"/>
      <c r="I332" s="88"/>
    </row>
    <row r="333" spans="1:17" x14ac:dyDescent="0.25">
      <c r="A333" s="12">
        <v>11</v>
      </c>
      <c r="B333" s="4" t="s">
        <v>158</v>
      </c>
      <c r="D333" s="96">
        <v>9.2329999999999999E-3</v>
      </c>
      <c r="E333" s="96">
        <v>9.9640000000000006E-3</v>
      </c>
      <c r="F333" s="96">
        <v>9.8980000000000005E-3</v>
      </c>
      <c r="G333" s="96">
        <v>1.0663000000000001E-2</v>
      </c>
      <c r="H333" s="96">
        <v>1.2078E-2</v>
      </c>
      <c r="I333" s="96">
        <v>1.1958E-2</v>
      </c>
      <c r="J333" s="96">
        <v>1.274E-2</v>
      </c>
      <c r="K333" s="96">
        <v>1.3703999999999999E-2</v>
      </c>
      <c r="L333" s="96">
        <v>1.3672E-2</v>
      </c>
      <c r="M333" s="96">
        <v>1.3523E-2</v>
      </c>
      <c r="N333" s="96">
        <v>1.3580999999999999E-2</v>
      </c>
      <c r="O333" s="96">
        <v>1.374E-2</v>
      </c>
      <c r="P333" s="96">
        <v>1.5270000000000001E-2</v>
      </c>
      <c r="Q333" s="96">
        <f>AVERAGE(D333,P333)</f>
        <v>1.22515E-2</v>
      </c>
    </row>
    <row r="334" spans="1:17" x14ac:dyDescent="0.25">
      <c r="A334" s="12"/>
      <c r="D334" s="97"/>
      <c r="G334" s="88"/>
      <c r="P334" s="84"/>
      <c r="Q334" s="84"/>
    </row>
    <row r="335" spans="1:17" x14ac:dyDescent="0.25">
      <c r="A335" s="12"/>
      <c r="G335" s="98"/>
      <c r="H335" s="19"/>
      <c r="I335" s="19"/>
      <c r="J335" s="95"/>
      <c r="K335" s="95"/>
      <c r="L335" s="95"/>
      <c r="M335" s="95"/>
      <c r="N335" s="95"/>
      <c r="O335" s="95"/>
      <c r="P335" s="95"/>
      <c r="Q335" s="95"/>
    </row>
    <row r="336" spans="1:17" x14ac:dyDescent="0.25">
      <c r="A336" s="12"/>
    </row>
    <row r="337" spans="1:17" x14ac:dyDescent="0.25">
      <c r="A337" s="12"/>
    </row>
    <row r="338" spans="1:17" x14ac:dyDescent="0.25">
      <c r="A338" s="12"/>
    </row>
    <row r="339" spans="1:17" x14ac:dyDescent="0.25">
      <c r="A339" s="12"/>
    </row>
    <row r="340" spans="1:17" x14ac:dyDescent="0.25">
      <c r="A340" s="12"/>
    </row>
    <row r="341" spans="1:17" x14ac:dyDescent="0.25">
      <c r="A341" s="12"/>
    </row>
    <row r="342" spans="1:17" x14ac:dyDescent="0.25">
      <c r="A342" s="12"/>
    </row>
    <row r="343" spans="1:17" x14ac:dyDescent="0.25">
      <c r="A343" s="12"/>
    </row>
    <row r="344" spans="1:17" x14ac:dyDescent="0.25">
      <c r="A344" s="12"/>
    </row>
    <row r="345" spans="1:17" x14ac:dyDescent="0.25">
      <c r="A345" s="12"/>
    </row>
    <row r="346" spans="1:17" x14ac:dyDescent="0.25">
      <c r="A346" s="12"/>
    </row>
    <row r="347" spans="1:17" x14ac:dyDescent="0.25">
      <c r="A347" s="12"/>
    </row>
    <row r="348" spans="1:17" x14ac:dyDescent="0.25">
      <c r="A348" s="12"/>
      <c r="H348" s="157"/>
    </row>
    <row r="349" spans="1:17" x14ac:dyDescent="0.25">
      <c r="A349" s="12"/>
    </row>
    <row r="350" spans="1:17" x14ac:dyDescent="0.25">
      <c r="A350" s="12"/>
    </row>
    <row r="351" spans="1:17" x14ac:dyDescent="0.25">
      <c r="A351" s="12"/>
    </row>
    <row r="352" spans="1:17" x14ac:dyDescent="0.25">
      <c r="A352" s="33" t="s">
        <v>163</v>
      </c>
      <c r="O352" s="47"/>
      <c r="Q352" s="150" t="s">
        <v>180</v>
      </c>
    </row>
    <row r="353" spans="1:40" x14ac:dyDescent="0.25">
      <c r="A353" s="154" t="s">
        <v>145</v>
      </c>
      <c r="O353" s="47"/>
    </row>
    <row r="354" spans="1:40" x14ac:dyDescent="0.25">
      <c r="A354" s="12"/>
    </row>
    <row r="355" spans="1:40" x14ac:dyDescent="0.25">
      <c r="A355" s="33" t="s">
        <v>2</v>
      </c>
      <c r="E355" s="24"/>
      <c r="F355" s="24"/>
      <c r="G355" s="24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x14ac:dyDescent="0.25">
      <c r="A356" s="33" t="s">
        <v>61</v>
      </c>
    </row>
    <row r="358" spans="1:40" x14ac:dyDescent="0.25">
      <c r="A358" s="65"/>
      <c r="B358" s="65"/>
      <c r="C358" s="65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</row>
    <row r="359" spans="1:40" x14ac:dyDescent="0.25">
      <c r="A359" s="12" t="s">
        <v>4</v>
      </c>
      <c r="B359" s="12"/>
      <c r="D359" s="12" t="s">
        <v>49</v>
      </c>
      <c r="E359" s="12" t="s">
        <v>49</v>
      </c>
      <c r="F359" s="12" t="s">
        <v>49</v>
      </c>
      <c r="G359" s="12" t="s">
        <v>49</v>
      </c>
      <c r="H359" s="12" t="s">
        <v>49</v>
      </c>
      <c r="I359" s="12" t="s">
        <v>49</v>
      </c>
      <c r="J359" s="12" t="s">
        <v>49</v>
      </c>
      <c r="K359" s="12" t="s">
        <v>49</v>
      </c>
      <c r="L359" s="12" t="s">
        <v>49</v>
      </c>
      <c r="M359" s="12" t="s">
        <v>49</v>
      </c>
      <c r="N359" s="12" t="s">
        <v>49</v>
      </c>
      <c r="O359" s="12" t="s">
        <v>49</v>
      </c>
      <c r="P359" s="12" t="s">
        <v>49</v>
      </c>
      <c r="Q359" s="12"/>
    </row>
    <row r="360" spans="1:40" x14ac:dyDescent="0.25">
      <c r="A360" s="70" t="s">
        <v>8</v>
      </c>
      <c r="B360" s="70"/>
      <c r="C360" s="70"/>
      <c r="D360" s="71">
        <f>$D$9</f>
        <v>42735</v>
      </c>
      <c r="E360" s="71">
        <f>$E$9</f>
        <v>42766</v>
      </c>
      <c r="F360" s="71">
        <f>$F$9</f>
        <v>42794</v>
      </c>
      <c r="G360" s="71">
        <f>$G$9</f>
        <v>42825</v>
      </c>
      <c r="H360" s="71">
        <f>$H$9</f>
        <v>42855</v>
      </c>
      <c r="I360" s="71">
        <f>$I$9</f>
        <v>42886</v>
      </c>
      <c r="J360" s="71">
        <f>$J$9</f>
        <v>42916</v>
      </c>
      <c r="K360" s="71">
        <f>$K$9</f>
        <v>42947</v>
      </c>
      <c r="L360" s="71">
        <f>$L$9</f>
        <v>42978</v>
      </c>
      <c r="M360" s="71">
        <f>$M$9</f>
        <v>43008</v>
      </c>
      <c r="N360" s="71">
        <f>$N$9</f>
        <v>43039</v>
      </c>
      <c r="O360" s="71">
        <f>$O$9</f>
        <v>43069</v>
      </c>
      <c r="P360" s="71">
        <f>$P$9</f>
        <v>43100</v>
      </c>
      <c r="Q360" s="71" t="str">
        <f>$Q$9</f>
        <v>Average</v>
      </c>
    </row>
    <row r="361" spans="1:40" x14ac:dyDescent="0.25">
      <c r="A361" s="12">
        <v>1</v>
      </c>
      <c r="B361" s="17"/>
      <c r="D361" s="84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40" x14ac:dyDescent="0.25">
      <c r="A362" s="12">
        <v>2</v>
      </c>
    </row>
    <row r="363" spans="1:40" x14ac:dyDescent="0.25">
      <c r="A363" s="12">
        <v>3</v>
      </c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</row>
    <row r="364" spans="1:40" x14ac:dyDescent="0.25">
      <c r="A364" s="12">
        <v>4</v>
      </c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40" x14ac:dyDescent="0.25">
      <c r="A365" s="12">
        <v>5</v>
      </c>
      <c r="B365" s="13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</row>
    <row r="366" spans="1:40" x14ac:dyDescent="0.25">
      <c r="A366" s="12">
        <v>6</v>
      </c>
      <c r="D366" s="32"/>
      <c r="E366" s="32"/>
      <c r="F366" s="32"/>
      <c r="G366" s="32"/>
      <c r="H366" s="32"/>
      <c r="I366" s="32"/>
      <c r="J366" s="32"/>
      <c r="K366" s="32"/>
      <c r="L366" s="19"/>
      <c r="M366" s="19"/>
      <c r="N366" s="32"/>
      <c r="O366" s="19"/>
      <c r="P366" s="19"/>
      <c r="Q366" s="19"/>
    </row>
    <row r="367" spans="1:40" x14ac:dyDescent="0.25">
      <c r="A367" s="12">
        <v>7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</row>
    <row r="368" spans="1:40" x14ac:dyDescent="0.25">
      <c r="A368" s="12">
        <v>8</v>
      </c>
      <c r="F368" s="19"/>
      <c r="J368" s="19"/>
      <c r="K368" s="19"/>
      <c r="L368" s="19"/>
      <c r="M368" s="19"/>
      <c r="N368" s="19"/>
      <c r="O368" s="19"/>
      <c r="P368" s="19"/>
      <c r="Q368" s="19"/>
    </row>
    <row r="369" spans="1:17" x14ac:dyDescent="0.25">
      <c r="A369" s="12">
        <v>9</v>
      </c>
      <c r="B369" s="4" t="s">
        <v>89</v>
      </c>
      <c r="C369" s="24"/>
      <c r="D369" s="32">
        <v>36568776.5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>
        <v>36568776.5</v>
      </c>
      <c r="Q369" s="32">
        <f>AVERAGE(D369,P369)</f>
        <v>36568776.5</v>
      </c>
    </row>
    <row r="370" spans="1:17" x14ac:dyDescent="0.25">
      <c r="A370" s="12">
        <v>10</v>
      </c>
      <c r="B370" s="4" t="s">
        <v>121</v>
      </c>
      <c r="D370" s="24">
        <v>89116611.010000005</v>
      </c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>
        <v>94137362.480000004</v>
      </c>
      <c r="Q370" s="24">
        <f t="shared" ref="Q370:Q371" si="68">AVERAGE(D370,P370)</f>
        <v>91626986.745000005</v>
      </c>
    </row>
    <row r="371" spans="1:17" x14ac:dyDescent="0.25">
      <c r="A371" s="12">
        <v>11</v>
      </c>
      <c r="B371" s="4" t="s">
        <v>79</v>
      </c>
      <c r="D371" s="24">
        <f>55604765.13+5528987.47</f>
        <v>61133752.600000001</v>
      </c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>
        <f>61307615.6+6675993.05+P379</f>
        <v>63822321.768000007</v>
      </c>
      <c r="Q371" s="24">
        <f t="shared" si="68"/>
        <v>62478037.184</v>
      </c>
    </row>
    <row r="372" spans="1:17" x14ac:dyDescent="0.25">
      <c r="A372" s="12">
        <v>12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5.75" thickBot="1" x14ac:dyDescent="0.3">
      <c r="A373" s="12">
        <v>13</v>
      </c>
      <c r="D373" s="82">
        <f>SUM(D369:D371)</f>
        <v>186819140.11000001</v>
      </c>
      <c r="E373" s="82">
        <f>SUM(E369:E371)</f>
        <v>0</v>
      </c>
      <c r="F373" s="82">
        <f>SUM(F369:F371)</f>
        <v>0</v>
      </c>
      <c r="G373" s="82">
        <f>SUM(G369:G371)</f>
        <v>0</v>
      </c>
      <c r="H373" s="82">
        <f t="shared" ref="H373:Q373" si="69">SUM(H369:H371)</f>
        <v>0</v>
      </c>
      <c r="I373" s="82">
        <f t="shared" si="69"/>
        <v>0</v>
      </c>
      <c r="J373" s="82">
        <f t="shared" si="69"/>
        <v>0</v>
      </c>
      <c r="K373" s="82">
        <f t="shared" si="69"/>
        <v>0</v>
      </c>
      <c r="L373" s="82">
        <f t="shared" si="69"/>
        <v>0</v>
      </c>
      <c r="M373" s="82">
        <f t="shared" si="69"/>
        <v>0</v>
      </c>
      <c r="N373" s="82">
        <f t="shared" si="69"/>
        <v>0</v>
      </c>
      <c r="O373" s="82">
        <f t="shared" si="69"/>
        <v>0</v>
      </c>
      <c r="P373" s="82">
        <f t="shared" si="69"/>
        <v>194528460.74800003</v>
      </c>
      <c r="Q373" s="82">
        <f t="shared" si="69"/>
        <v>190673800.42900002</v>
      </c>
    </row>
    <row r="374" spans="1:17" ht="15.75" thickTop="1" x14ac:dyDescent="0.25">
      <c r="A374" s="12"/>
      <c r="D374" s="13"/>
      <c r="E374" s="13"/>
      <c r="F374" s="13"/>
      <c r="G374" s="13"/>
      <c r="H374" s="13"/>
      <c r="I374" s="13"/>
      <c r="J374" s="99"/>
      <c r="K374" s="99"/>
      <c r="L374" s="99"/>
      <c r="M374" s="99"/>
      <c r="N374" s="99"/>
      <c r="O374" s="99"/>
      <c r="P374" s="99"/>
      <c r="Q374" s="99"/>
    </row>
    <row r="375" spans="1:17" x14ac:dyDescent="0.25">
      <c r="A375" s="12"/>
      <c r="E375" s="100"/>
    </row>
    <row r="376" spans="1:17" x14ac:dyDescent="0.25">
      <c r="A376" s="12"/>
      <c r="B376" s="22"/>
      <c r="D376" s="24"/>
      <c r="E376" s="24"/>
      <c r="F376" s="24"/>
      <c r="G376" s="24"/>
      <c r="H376" s="24" t="s">
        <v>195</v>
      </c>
      <c r="K376" s="24">
        <v>61133752.600000001</v>
      </c>
      <c r="O376" s="159" t="s">
        <v>199</v>
      </c>
      <c r="P376" s="32">
        <f>K379-D371</f>
        <v>2688569.1679999903</v>
      </c>
    </row>
    <row r="377" spans="1:17" x14ac:dyDescent="0.25">
      <c r="A377" s="12"/>
      <c r="B377" s="22"/>
      <c r="D377" s="24"/>
      <c r="E377" s="24"/>
      <c r="F377" s="24"/>
      <c r="G377" s="24"/>
      <c r="H377" s="101" t="s">
        <v>197</v>
      </c>
      <c r="K377" s="24">
        <v>17124240.277999997</v>
      </c>
      <c r="L377" s="24"/>
      <c r="N377" s="24"/>
      <c r="O377" s="159" t="s">
        <v>79</v>
      </c>
      <c r="P377" s="24">
        <f>D371+P376</f>
        <v>63822321.767999992</v>
      </c>
      <c r="Q377" s="26"/>
    </row>
    <row r="378" spans="1:17" x14ac:dyDescent="0.25">
      <c r="A378" s="12"/>
      <c r="E378" s="24"/>
      <c r="F378" s="24"/>
      <c r="G378" s="24"/>
      <c r="H378" s="24" t="s">
        <v>196</v>
      </c>
      <c r="J378" s="24"/>
      <c r="K378" s="27">
        <v>14435671.109999999</v>
      </c>
      <c r="M378" s="24"/>
      <c r="O378" s="24"/>
      <c r="P378" s="32"/>
      <c r="Q378" s="24"/>
    </row>
    <row r="379" spans="1:17" x14ac:dyDescent="0.25">
      <c r="A379" s="12"/>
      <c r="D379" s="32"/>
      <c r="E379" s="32"/>
      <c r="F379" s="32"/>
      <c r="G379" s="32"/>
      <c r="H379" s="4" t="s">
        <v>198</v>
      </c>
      <c r="J379" s="24"/>
      <c r="K379" s="24">
        <f>K376+K377-K378</f>
        <v>63822321.767999992</v>
      </c>
      <c r="O379" s="160" t="s">
        <v>194</v>
      </c>
      <c r="P379" s="32">
        <v>-4161286.8820000002</v>
      </c>
      <c r="Q379" s="24"/>
    </row>
    <row r="380" spans="1:17" x14ac:dyDescent="0.25">
      <c r="A380" s="12"/>
      <c r="E380" s="24"/>
      <c r="F380" s="24"/>
      <c r="G380" s="24"/>
      <c r="H380" s="101"/>
      <c r="M380" s="101"/>
      <c r="N380" s="101"/>
      <c r="O380" s="101"/>
      <c r="Q380" s="101"/>
    </row>
    <row r="381" spans="1:17" x14ac:dyDescent="0.25">
      <c r="A381" s="12"/>
      <c r="M381" s="24"/>
      <c r="N381" s="24"/>
      <c r="O381" s="24"/>
      <c r="P381" s="24"/>
      <c r="Q381" s="24"/>
    </row>
    <row r="382" spans="1:17" x14ac:dyDescent="0.25">
      <c r="A382" s="12"/>
      <c r="E382" s="24"/>
      <c r="F382" s="24"/>
      <c r="G382" s="24"/>
      <c r="M382" s="24"/>
      <c r="N382" s="24"/>
      <c r="O382" s="24"/>
      <c r="P382" s="24"/>
      <c r="Q382" s="24"/>
    </row>
    <row r="383" spans="1:17" x14ac:dyDescent="0.25">
      <c r="A383" s="12"/>
      <c r="E383" s="24"/>
      <c r="F383" s="24"/>
      <c r="G383" s="24"/>
      <c r="L383" s="24"/>
      <c r="M383" s="24"/>
      <c r="N383" s="24"/>
      <c r="O383" s="24"/>
      <c r="P383" s="24"/>
      <c r="Q383" s="24"/>
    </row>
    <row r="384" spans="1:17" x14ac:dyDescent="0.25">
      <c r="A384" s="12"/>
      <c r="E384" s="24"/>
      <c r="F384" s="24"/>
      <c r="G384" s="24"/>
      <c r="H384" s="24"/>
      <c r="M384" s="24"/>
      <c r="N384" s="24"/>
      <c r="O384" s="24"/>
      <c r="P384" s="24"/>
      <c r="Q384" s="24"/>
    </row>
    <row r="385" spans="1:40" x14ac:dyDescent="0.25">
      <c r="A385" s="33" t="s">
        <v>163</v>
      </c>
      <c r="E385" s="24"/>
      <c r="F385" s="24"/>
      <c r="G385" s="24"/>
      <c r="H385" s="24"/>
      <c r="I385" s="24"/>
      <c r="K385" s="24"/>
      <c r="L385" s="24"/>
      <c r="M385" s="24"/>
      <c r="N385" s="24"/>
      <c r="O385" s="47"/>
      <c r="P385" s="24"/>
      <c r="Q385" s="150" t="s">
        <v>181</v>
      </c>
    </row>
    <row r="386" spans="1:40" x14ac:dyDescent="0.25">
      <c r="A386" s="154" t="s">
        <v>145</v>
      </c>
      <c r="E386" s="24"/>
      <c r="F386" s="24"/>
      <c r="G386" s="24"/>
      <c r="H386" s="24"/>
      <c r="K386" s="24"/>
      <c r="M386" s="24"/>
      <c r="N386" s="24"/>
      <c r="O386" s="47"/>
      <c r="P386" s="24"/>
      <c r="Q386" s="24"/>
    </row>
    <row r="387" spans="1:40" x14ac:dyDescent="0.25">
      <c r="A387" s="12"/>
      <c r="E387" s="24"/>
      <c r="F387" s="24"/>
      <c r="G387" s="24"/>
      <c r="H387" s="24"/>
      <c r="I387" s="24"/>
      <c r="K387" s="24"/>
      <c r="L387" s="24"/>
      <c r="M387" s="24"/>
      <c r="N387" s="24"/>
      <c r="O387" s="24"/>
      <c r="P387" s="24"/>
      <c r="Q387" s="24"/>
    </row>
    <row r="388" spans="1:40" x14ac:dyDescent="0.25">
      <c r="A388" s="33" t="s">
        <v>2</v>
      </c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x14ac:dyDescent="0.25">
      <c r="A389" s="33" t="s">
        <v>62</v>
      </c>
    </row>
    <row r="391" spans="1:40" x14ac:dyDescent="0.25">
      <c r="A391" s="65"/>
      <c r="B391" s="65"/>
      <c r="C391" s="65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</row>
    <row r="392" spans="1:40" x14ac:dyDescent="0.25">
      <c r="A392" s="12" t="s">
        <v>4</v>
      </c>
      <c r="B392" s="12"/>
      <c r="D392" s="12" t="s">
        <v>49</v>
      </c>
      <c r="E392" s="12" t="s">
        <v>49</v>
      </c>
      <c r="F392" s="12" t="s">
        <v>49</v>
      </c>
      <c r="G392" s="12" t="s">
        <v>49</v>
      </c>
      <c r="H392" s="12" t="s">
        <v>49</v>
      </c>
      <c r="I392" s="12" t="s">
        <v>49</v>
      </c>
      <c r="J392" s="12" t="s">
        <v>49</v>
      </c>
      <c r="K392" s="12" t="s">
        <v>49</v>
      </c>
      <c r="L392" s="12" t="s">
        <v>49</v>
      </c>
      <c r="M392" s="12" t="s">
        <v>49</v>
      </c>
      <c r="N392" s="12" t="s">
        <v>49</v>
      </c>
      <c r="O392" s="12" t="s">
        <v>49</v>
      </c>
      <c r="P392" s="12" t="s">
        <v>49</v>
      </c>
      <c r="Q392" s="12"/>
    </row>
    <row r="393" spans="1:40" x14ac:dyDescent="0.25">
      <c r="A393" s="70" t="s">
        <v>8</v>
      </c>
      <c r="B393" s="70"/>
      <c r="C393" s="70"/>
      <c r="D393" s="71">
        <f>$D$9</f>
        <v>42735</v>
      </c>
      <c r="E393" s="71">
        <f>$E$9</f>
        <v>42766</v>
      </c>
      <c r="F393" s="71">
        <f>$F$9</f>
        <v>42794</v>
      </c>
      <c r="G393" s="71">
        <f>$G$9</f>
        <v>42825</v>
      </c>
      <c r="H393" s="71">
        <f>$H$9</f>
        <v>42855</v>
      </c>
      <c r="I393" s="71">
        <f>$I$9</f>
        <v>42886</v>
      </c>
      <c r="J393" s="71">
        <f>$J$9</f>
        <v>42916</v>
      </c>
      <c r="K393" s="71">
        <f>$K$9</f>
        <v>42947</v>
      </c>
      <c r="L393" s="71">
        <f>$L$9</f>
        <v>42978</v>
      </c>
      <c r="M393" s="71">
        <f>$M$9</f>
        <v>43008</v>
      </c>
      <c r="N393" s="71">
        <f>$N$9</f>
        <v>43039</v>
      </c>
      <c r="O393" s="71">
        <f>$O$9</f>
        <v>43069</v>
      </c>
      <c r="P393" s="71">
        <f>$P$9</f>
        <v>43100</v>
      </c>
      <c r="Q393" s="71" t="str">
        <f>$Q$9</f>
        <v>Average</v>
      </c>
    </row>
    <row r="394" spans="1:40" x14ac:dyDescent="0.25">
      <c r="A394" s="12">
        <v>1</v>
      </c>
      <c r="B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40" x14ac:dyDescent="0.25">
      <c r="A395" s="12">
        <v>2</v>
      </c>
    </row>
    <row r="396" spans="1:40" x14ac:dyDescent="0.25">
      <c r="A396" s="12">
        <v>3</v>
      </c>
    </row>
    <row r="397" spans="1:40" x14ac:dyDescent="0.25">
      <c r="A397" s="12">
        <v>4</v>
      </c>
    </row>
    <row r="398" spans="1:40" x14ac:dyDescent="0.25">
      <c r="A398" s="12">
        <v>5</v>
      </c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</row>
    <row r="399" spans="1:40" x14ac:dyDescent="0.25">
      <c r="A399" s="12">
        <v>6</v>
      </c>
    </row>
    <row r="400" spans="1:40" x14ac:dyDescent="0.25">
      <c r="A400" s="12">
        <v>7</v>
      </c>
      <c r="P400" s="4"/>
      <c r="Q400" s="4"/>
    </row>
    <row r="401" spans="1:17" x14ac:dyDescent="0.25">
      <c r="A401" s="12">
        <v>8</v>
      </c>
      <c r="P401" s="4"/>
      <c r="Q401" s="4"/>
    </row>
    <row r="402" spans="1:17" x14ac:dyDescent="0.25">
      <c r="A402" s="12">
        <v>9</v>
      </c>
    </row>
    <row r="403" spans="1:17" ht="15.75" thickBot="1" x14ac:dyDescent="0.3">
      <c r="A403" s="12">
        <v>10</v>
      </c>
      <c r="B403" s="8" t="s">
        <v>63</v>
      </c>
      <c r="D403" s="116">
        <f>-SUM('Unamort ITCs 2017 WP'!E29+'Unamort ITCs 2017 WP'!E48)</f>
        <v>421680.48</v>
      </c>
      <c r="E403" s="42">
        <f t="shared" ref="E403:P403" si="70">D403-E422-E423</f>
        <v>415409.39999999997</v>
      </c>
      <c r="F403" s="42">
        <f t="shared" si="70"/>
        <v>409138.31999999995</v>
      </c>
      <c r="G403" s="42">
        <f t="shared" si="70"/>
        <v>402867.23999999993</v>
      </c>
      <c r="H403" s="42">
        <f t="shared" si="70"/>
        <v>396596.15999999992</v>
      </c>
      <c r="I403" s="42">
        <f t="shared" si="70"/>
        <v>390325.0799999999</v>
      </c>
      <c r="J403" s="42">
        <f t="shared" si="70"/>
        <v>384053.99999999988</v>
      </c>
      <c r="K403" s="42">
        <f t="shared" si="70"/>
        <v>377782.91999999987</v>
      </c>
      <c r="L403" s="42">
        <f t="shared" si="70"/>
        <v>371511.83999999985</v>
      </c>
      <c r="M403" s="42">
        <f t="shared" si="70"/>
        <v>365240.75999999983</v>
      </c>
      <c r="N403" s="42">
        <f t="shared" si="70"/>
        <v>358969.67999999982</v>
      </c>
      <c r="O403" s="42">
        <f t="shared" si="70"/>
        <v>352698.5999999998</v>
      </c>
      <c r="P403" s="42">
        <f t="shared" si="70"/>
        <v>346427.51999999979</v>
      </c>
      <c r="Q403" s="116">
        <f>AVERAGE(D403,P403)</f>
        <v>384053.99999999988</v>
      </c>
    </row>
    <row r="404" spans="1:17" ht="15.75" thickTop="1" x14ac:dyDescent="0.25">
      <c r="A404" s="12">
        <v>11</v>
      </c>
      <c r="D404" s="117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x14ac:dyDescent="0.25">
      <c r="A405" s="12">
        <v>12</v>
      </c>
      <c r="D405" s="118"/>
      <c r="P405" s="4"/>
      <c r="Q405" s="4"/>
    </row>
    <row r="406" spans="1:17" ht="15.75" thickBot="1" x14ac:dyDescent="0.3">
      <c r="A406" s="12">
        <v>13</v>
      </c>
      <c r="B406" s="8" t="s">
        <v>64</v>
      </c>
      <c r="D406" s="116">
        <f>-'Unamort ITCs 2017 WP'!E10</f>
        <v>32957.61</v>
      </c>
      <c r="E406" s="42">
        <f t="shared" ref="E406:P406" si="71">D406-E421</f>
        <v>32319.940000000002</v>
      </c>
      <c r="F406" s="42">
        <f t="shared" si="71"/>
        <v>31682.270000000004</v>
      </c>
      <c r="G406" s="42">
        <f t="shared" si="71"/>
        <v>31044.600000000006</v>
      </c>
      <c r="H406" s="42">
        <f t="shared" si="71"/>
        <v>30406.930000000008</v>
      </c>
      <c r="I406" s="42">
        <f t="shared" si="71"/>
        <v>29769.260000000009</v>
      </c>
      <c r="J406" s="42">
        <f t="shared" si="71"/>
        <v>29131.590000000011</v>
      </c>
      <c r="K406" s="42">
        <f t="shared" si="71"/>
        <v>28493.920000000013</v>
      </c>
      <c r="L406" s="42">
        <f t="shared" si="71"/>
        <v>27856.250000000015</v>
      </c>
      <c r="M406" s="42">
        <f t="shared" si="71"/>
        <v>27218.580000000016</v>
      </c>
      <c r="N406" s="42">
        <f t="shared" si="71"/>
        <v>26580.910000000018</v>
      </c>
      <c r="O406" s="42">
        <f t="shared" si="71"/>
        <v>25943.24000000002</v>
      </c>
      <c r="P406" s="42">
        <f t="shared" si="71"/>
        <v>25305.570000000022</v>
      </c>
      <c r="Q406" s="116">
        <f>AVERAGE(D406,P406)</f>
        <v>29131.590000000011</v>
      </c>
    </row>
    <row r="407" spans="1:17" ht="15.75" thickTop="1" x14ac:dyDescent="0.25">
      <c r="A407" s="12">
        <v>14</v>
      </c>
      <c r="D407" s="84"/>
      <c r="E407" s="84"/>
      <c r="F407" s="84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</row>
    <row r="408" spans="1:17" x14ac:dyDescent="0.25">
      <c r="A408" s="12">
        <v>15</v>
      </c>
    </row>
    <row r="409" spans="1:17" ht="15.75" thickBot="1" x14ac:dyDescent="0.3">
      <c r="A409" s="12">
        <v>16</v>
      </c>
      <c r="B409" s="8" t="s">
        <v>65</v>
      </c>
      <c r="D409" s="42">
        <f>SUM(E421:P421)</f>
        <v>7652.04</v>
      </c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103"/>
      <c r="Q409" s="103"/>
    </row>
    <row r="410" spans="1:17" ht="15.75" thickTop="1" x14ac:dyDescent="0.25">
      <c r="A410" s="12">
        <v>17</v>
      </c>
      <c r="D410" s="19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103"/>
      <c r="Q410" s="103"/>
    </row>
    <row r="411" spans="1:17" ht="15.75" thickBot="1" x14ac:dyDescent="0.3">
      <c r="A411" s="12">
        <v>18</v>
      </c>
      <c r="B411" s="8" t="s">
        <v>66</v>
      </c>
      <c r="D411" s="42">
        <f>SUM(E422:P422)</f>
        <v>4413</v>
      </c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103"/>
      <c r="Q411" s="103"/>
    </row>
    <row r="412" spans="1:17" ht="15.75" thickTop="1" x14ac:dyDescent="0.25">
      <c r="A412" s="12">
        <v>19</v>
      </c>
      <c r="D412" s="19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103"/>
      <c r="Q412" s="103"/>
    </row>
    <row r="413" spans="1:17" ht="15.75" thickBot="1" x14ac:dyDescent="0.3">
      <c r="A413" s="12">
        <v>20</v>
      </c>
      <c r="B413" s="8" t="s">
        <v>67</v>
      </c>
      <c r="D413" s="42">
        <f>SUM(E423:P423)</f>
        <v>70839.960000000006</v>
      </c>
    </row>
    <row r="414" spans="1:17" ht="15.75" thickTop="1" x14ac:dyDescent="0.25">
      <c r="A414" s="12">
        <v>21</v>
      </c>
      <c r="D414" s="17"/>
    </row>
    <row r="415" spans="1:17" x14ac:dyDescent="0.25">
      <c r="A415" s="12">
        <v>22</v>
      </c>
    </row>
    <row r="416" spans="1:17" x14ac:dyDescent="0.25">
      <c r="A416" s="12">
        <v>23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</row>
    <row r="417" spans="1:17" x14ac:dyDescent="0.25">
      <c r="A417" s="12">
        <v>24</v>
      </c>
    </row>
    <row r="418" spans="1:17" x14ac:dyDescent="0.25">
      <c r="A418" s="12">
        <v>25</v>
      </c>
    </row>
    <row r="419" spans="1:17" x14ac:dyDescent="0.25">
      <c r="A419" s="12">
        <v>26</v>
      </c>
    </row>
    <row r="420" spans="1:17" x14ac:dyDescent="0.25">
      <c r="A420" s="12">
        <v>27</v>
      </c>
    </row>
    <row r="421" spans="1:17" x14ac:dyDescent="0.25">
      <c r="A421" s="12">
        <v>28</v>
      </c>
      <c r="B421" s="8" t="s">
        <v>159</v>
      </c>
      <c r="D421" s="26"/>
      <c r="E421" s="24">
        <f>'Unamort ITCs 2017 WP'!B11</f>
        <v>637.66999999999996</v>
      </c>
      <c r="F421" s="24">
        <f t="shared" ref="F421:P421" si="72">+E421</f>
        <v>637.66999999999996</v>
      </c>
      <c r="G421" s="24">
        <f t="shared" si="72"/>
        <v>637.66999999999996</v>
      </c>
      <c r="H421" s="24">
        <f t="shared" si="72"/>
        <v>637.66999999999996</v>
      </c>
      <c r="I421" s="24">
        <f t="shared" si="72"/>
        <v>637.66999999999996</v>
      </c>
      <c r="J421" s="24">
        <f t="shared" si="72"/>
        <v>637.66999999999996</v>
      </c>
      <c r="K421" s="24">
        <f t="shared" si="72"/>
        <v>637.66999999999996</v>
      </c>
      <c r="L421" s="24">
        <f t="shared" si="72"/>
        <v>637.66999999999996</v>
      </c>
      <c r="M421" s="24">
        <f t="shared" si="72"/>
        <v>637.66999999999996</v>
      </c>
      <c r="N421" s="24">
        <f t="shared" si="72"/>
        <v>637.66999999999996</v>
      </c>
      <c r="O421" s="24">
        <f t="shared" si="72"/>
        <v>637.66999999999996</v>
      </c>
      <c r="P421" s="24">
        <f t="shared" si="72"/>
        <v>637.66999999999996</v>
      </c>
      <c r="Q421" s="24"/>
    </row>
    <row r="422" spans="1:17" x14ac:dyDescent="0.25">
      <c r="A422" s="12">
        <v>29</v>
      </c>
      <c r="B422" s="8" t="s">
        <v>160</v>
      </c>
      <c r="D422" s="26"/>
      <c r="E422" s="24">
        <f>'Unamort ITCs 2017 WP'!B30</f>
        <v>367.75</v>
      </c>
      <c r="F422" s="24">
        <f t="shared" ref="F422:P423" si="73">+E422</f>
        <v>367.75</v>
      </c>
      <c r="G422" s="24">
        <f t="shared" si="73"/>
        <v>367.75</v>
      </c>
      <c r="H422" s="24">
        <f t="shared" si="73"/>
        <v>367.75</v>
      </c>
      <c r="I422" s="24">
        <f t="shared" si="73"/>
        <v>367.75</v>
      </c>
      <c r="J422" s="24">
        <f t="shared" si="73"/>
        <v>367.75</v>
      </c>
      <c r="K422" s="24">
        <f t="shared" si="73"/>
        <v>367.75</v>
      </c>
      <c r="L422" s="24">
        <f t="shared" si="73"/>
        <v>367.75</v>
      </c>
      <c r="M422" s="24">
        <f t="shared" si="73"/>
        <v>367.75</v>
      </c>
      <c r="N422" s="24">
        <f t="shared" si="73"/>
        <v>367.75</v>
      </c>
      <c r="O422" s="24">
        <f t="shared" si="73"/>
        <v>367.75</v>
      </c>
      <c r="P422" s="24">
        <f t="shared" si="73"/>
        <v>367.75</v>
      </c>
      <c r="Q422" s="24"/>
    </row>
    <row r="423" spans="1:17" x14ac:dyDescent="0.25">
      <c r="A423" s="12">
        <v>30</v>
      </c>
      <c r="B423" s="8" t="s">
        <v>161</v>
      </c>
      <c r="D423" s="26"/>
      <c r="E423" s="24">
        <f>'Unamort ITCs 2017 WP'!B49</f>
        <v>5903.33</v>
      </c>
      <c r="F423" s="24">
        <f t="shared" si="73"/>
        <v>5903.33</v>
      </c>
      <c r="G423" s="24">
        <f t="shared" si="73"/>
        <v>5903.33</v>
      </c>
      <c r="H423" s="24">
        <f t="shared" si="73"/>
        <v>5903.33</v>
      </c>
      <c r="I423" s="24">
        <f t="shared" si="73"/>
        <v>5903.33</v>
      </c>
      <c r="J423" s="24">
        <f t="shared" si="73"/>
        <v>5903.33</v>
      </c>
      <c r="K423" s="24">
        <f t="shared" si="73"/>
        <v>5903.33</v>
      </c>
      <c r="L423" s="24">
        <f t="shared" si="73"/>
        <v>5903.33</v>
      </c>
      <c r="M423" s="24">
        <f t="shared" si="73"/>
        <v>5903.33</v>
      </c>
      <c r="N423" s="24">
        <f t="shared" si="73"/>
        <v>5903.33</v>
      </c>
      <c r="O423" s="24">
        <f t="shared" si="73"/>
        <v>5903.33</v>
      </c>
      <c r="P423" s="24">
        <f t="shared" si="73"/>
        <v>5903.33</v>
      </c>
      <c r="Q423" s="24"/>
    </row>
  </sheetData>
  <pageMargins left="0.7" right="0.7" top="1" bottom="0.75" header="0.3" footer="0.4"/>
  <pageSetup scale="45" orientation="landscape" r:id="rId1"/>
  <rowBreaks count="10" manualBreakCount="10">
    <brk id="44" max="16" man="1"/>
    <brk id="90" max="16" man="1"/>
    <brk id="135" max="16" man="1"/>
    <brk id="181" max="16" man="1"/>
    <brk id="214" max="16" man="1"/>
    <brk id="247" max="16" man="1"/>
    <brk id="280" max="16" man="1"/>
    <brk id="313" max="16" man="1"/>
    <brk id="351" max="16" man="1"/>
    <brk id="384" max="16" man="1"/>
  </rowBreaks>
  <colBreaks count="1" manualBreakCount="1">
    <brk id="17" max="1048575" man="1"/>
  </colBreaks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/>
  </sheetViews>
  <sheetFormatPr defaultColWidth="9.140625" defaultRowHeight="12.75" x14ac:dyDescent="0.2"/>
  <cols>
    <col min="1" max="1" width="18" style="3" bestFit="1" customWidth="1"/>
    <col min="2" max="3" width="15" style="3" bestFit="1" customWidth="1"/>
    <col min="4" max="4" width="14.5703125" style="3" bestFit="1" customWidth="1"/>
    <col min="5" max="5" width="20.140625" style="3" bestFit="1" customWidth="1"/>
    <col min="6" max="6" width="9.140625" style="3"/>
    <col min="7" max="7" width="14.7109375" style="3" bestFit="1" customWidth="1"/>
    <col min="8" max="9" width="15" style="3" bestFit="1" customWidth="1"/>
    <col min="10" max="10" width="14.5703125" style="3" bestFit="1" customWidth="1"/>
    <col min="11" max="11" width="17.28515625" style="3" bestFit="1" customWidth="1"/>
    <col min="12" max="16384" width="9.140625" style="3"/>
  </cols>
  <sheetData>
    <row r="1" spans="1:12" ht="15" x14ac:dyDescent="0.25">
      <c r="A1" s="154" t="s">
        <v>144</v>
      </c>
      <c r="E1" s="150" t="s">
        <v>92</v>
      </c>
    </row>
    <row r="2" spans="1:12" ht="15" x14ac:dyDescent="0.25">
      <c r="A2" s="33" t="s">
        <v>163</v>
      </c>
      <c r="E2" s="47"/>
    </row>
    <row r="3" spans="1:12" ht="15" x14ac:dyDescent="0.25">
      <c r="A3" s="154" t="s">
        <v>145</v>
      </c>
    </row>
    <row r="4" spans="1:12" ht="15" x14ac:dyDescent="0.25">
      <c r="F4" s="47"/>
    </row>
    <row r="5" spans="1:12" ht="15" x14ac:dyDescent="0.25">
      <c r="A5" s="46" t="s">
        <v>183</v>
      </c>
      <c r="G5" s="146"/>
      <c r="H5" s="146"/>
      <c r="I5" s="146"/>
      <c r="J5" s="146"/>
      <c r="K5" s="146"/>
      <c r="L5" s="146"/>
    </row>
    <row r="6" spans="1:12" ht="15" x14ac:dyDescent="0.25">
      <c r="A6" s="46" t="s">
        <v>164</v>
      </c>
      <c r="G6" s="147"/>
      <c r="H6" s="146"/>
      <c r="I6" s="146"/>
      <c r="J6" s="146"/>
      <c r="K6" s="146"/>
      <c r="L6" s="146"/>
    </row>
    <row r="7" spans="1:12" x14ac:dyDescent="0.2">
      <c r="G7" s="146"/>
      <c r="H7" s="146"/>
      <c r="I7" s="146"/>
      <c r="J7" s="146"/>
      <c r="K7" s="146"/>
      <c r="L7" s="146"/>
    </row>
    <row r="8" spans="1:12" x14ac:dyDescent="0.2">
      <c r="G8" s="146"/>
      <c r="H8" s="146"/>
      <c r="I8" s="146"/>
      <c r="J8" s="146"/>
      <c r="K8" s="146"/>
      <c r="L8" s="146"/>
    </row>
    <row r="9" spans="1:12" x14ac:dyDescent="0.2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G9" s="146"/>
      <c r="H9" s="146"/>
      <c r="I9" s="146"/>
      <c r="J9" s="146"/>
      <c r="K9" s="146"/>
      <c r="L9" s="146"/>
    </row>
    <row r="10" spans="1:12" x14ac:dyDescent="0.2">
      <c r="A10" s="3" t="s">
        <v>101</v>
      </c>
      <c r="B10" s="58">
        <v>0</v>
      </c>
      <c r="C10" s="58">
        <v>0</v>
      </c>
      <c r="D10" s="58">
        <v>0</v>
      </c>
      <c r="E10" s="58">
        <v>-22799458.789999999</v>
      </c>
      <c r="G10" s="146"/>
      <c r="H10" s="148"/>
      <c r="I10" s="148"/>
      <c r="J10" s="148"/>
      <c r="K10" s="148"/>
      <c r="L10" s="146"/>
    </row>
    <row r="11" spans="1:12" x14ac:dyDescent="0.2">
      <c r="A11" s="3" t="s">
        <v>102</v>
      </c>
      <c r="B11" s="58">
        <v>9596827.9000000004</v>
      </c>
      <c r="C11" s="58">
        <v>8280328.4299999997</v>
      </c>
      <c r="D11" s="58">
        <v>1316499.47</v>
      </c>
      <c r="E11" s="58">
        <v>-21482959.32</v>
      </c>
      <c r="G11" s="146"/>
      <c r="H11" s="148"/>
      <c r="I11" s="148"/>
      <c r="J11" s="148"/>
      <c r="K11" s="148"/>
      <c r="L11" s="146"/>
    </row>
    <row r="12" spans="1:12" x14ac:dyDescent="0.2">
      <c r="A12" s="3" t="s">
        <v>103</v>
      </c>
      <c r="B12" s="58">
        <v>8941818.6699999999</v>
      </c>
      <c r="C12" s="58">
        <v>10730414.52</v>
      </c>
      <c r="D12" s="58">
        <v>-1788595.85</v>
      </c>
      <c r="E12" s="58">
        <v>-23271555.170000002</v>
      </c>
      <c r="G12" s="146"/>
      <c r="H12" s="148"/>
      <c r="I12" s="148"/>
      <c r="J12" s="148"/>
      <c r="K12" s="148"/>
      <c r="L12" s="146"/>
    </row>
    <row r="13" spans="1:12" x14ac:dyDescent="0.2">
      <c r="A13" s="3" t="s">
        <v>104</v>
      </c>
      <c r="B13" s="58">
        <v>11561620.390000001</v>
      </c>
      <c r="C13" s="58">
        <v>11039616.800000001</v>
      </c>
      <c r="D13" s="58">
        <v>522003.59</v>
      </c>
      <c r="E13" s="114">
        <v>-22749551.579999998</v>
      </c>
      <c r="G13" s="146"/>
      <c r="H13" s="148"/>
      <c r="I13" s="148"/>
      <c r="J13" s="148"/>
      <c r="K13" s="148"/>
      <c r="L13" s="146"/>
    </row>
    <row r="14" spans="1:12" x14ac:dyDescent="0.2">
      <c r="A14" s="3" t="s">
        <v>105</v>
      </c>
      <c r="B14" s="58">
        <v>7222410.79</v>
      </c>
      <c r="C14" s="58">
        <v>8135523.5800000001</v>
      </c>
      <c r="D14" s="58">
        <v>-913112.79</v>
      </c>
      <c r="E14" s="114">
        <v>-23662664.370000001</v>
      </c>
      <c r="G14" s="146"/>
      <c r="H14" s="148"/>
      <c r="I14" s="148"/>
      <c r="J14" s="148"/>
      <c r="K14" s="148"/>
      <c r="L14" s="146"/>
    </row>
    <row r="15" spans="1:12" x14ac:dyDescent="0.2">
      <c r="A15" s="3" t="s">
        <v>106</v>
      </c>
      <c r="B15" s="58">
        <v>15493516.17</v>
      </c>
      <c r="C15" s="58">
        <v>8044203.3700000001</v>
      </c>
      <c r="D15" s="58">
        <v>7449312.7999999998</v>
      </c>
      <c r="E15" s="114">
        <v>-16213351.57</v>
      </c>
      <c r="G15" s="146"/>
      <c r="H15" s="148"/>
      <c r="I15" s="148"/>
      <c r="J15" s="148"/>
      <c r="K15" s="148"/>
      <c r="L15" s="146"/>
    </row>
    <row r="16" spans="1:12" x14ac:dyDescent="0.2">
      <c r="A16" s="3" t="s">
        <v>107</v>
      </c>
      <c r="B16" s="58">
        <v>9294989.8399999999</v>
      </c>
      <c r="C16" s="58">
        <v>14346614.57</v>
      </c>
      <c r="D16" s="58">
        <v>-5051624.7300000004</v>
      </c>
      <c r="E16" s="114">
        <v>-21264976.300000001</v>
      </c>
      <c r="G16" s="146"/>
      <c r="H16" s="148"/>
      <c r="I16" s="148"/>
      <c r="J16" s="148"/>
      <c r="K16" s="148"/>
      <c r="L16" s="146"/>
    </row>
    <row r="17" spans="1:12" x14ac:dyDescent="0.2">
      <c r="A17" s="3" t="s">
        <v>108</v>
      </c>
      <c r="B17" s="58">
        <v>9401313.6699999999</v>
      </c>
      <c r="C17" s="58">
        <v>7829556.5300000003</v>
      </c>
      <c r="D17" s="58">
        <v>1571757.14</v>
      </c>
      <c r="E17" s="114">
        <v>-19693219.16</v>
      </c>
      <c r="G17" s="146"/>
      <c r="H17" s="148"/>
      <c r="I17" s="148"/>
      <c r="J17" s="148"/>
      <c r="K17" s="148"/>
      <c r="L17" s="146"/>
    </row>
    <row r="18" spans="1:12" x14ac:dyDescent="0.2">
      <c r="A18" s="3" t="s">
        <v>109</v>
      </c>
      <c r="B18" s="58">
        <v>12236126.960000001</v>
      </c>
      <c r="C18" s="58">
        <v>7784591.5099999998</v>
      </c>
      <c r="D18" s="58">
        <v>4451535.45</v>
      </c>
      <c r="E18" s="114">
        <v>-15241683.710000001</v>
      </c>
      <c r="G18" s="146"/>
      <c r="H18" s="148"/>
      <c r="I18" s="148"/>
      <c r="J18" s="148"/>
      <c r="K18" s="148"/>
      <c r="L18" s="146"/>
    </row>
    <row r="19" spans="1:12" x14ac:dyDescent="0.2">
      <c r="A19" s="3" t="s">
        <v>110</v>
      </c>
      <c r="B19" s="58">
        <v>21650651.670000002</v>
      </c>
      <c r="C19" s="58">
        <v>10649034.9</v>
      </c>
      <c r="D19" s="58">
        <v>11001616.77</v>
      </c>
      <c r="E19" s="114">
        <v>-4240066.9400000004</v>
      </c>
      <c r="G19" s="146"/>
      <c r="H19" s="148"/>
      <c r="I19" s="148"/>
      <c r="J19" s="148"/>
      <c r="K19" s="148"/>
      <c r="L19" s="146"/>
    </row>
    <row r="20" spans="1:12" x14ac:dyDescent="0.2">
      <c r="A20" s="3" t="s">
        <v>111</v>
      </c>
      <c r="B20" s="58">
        <v>10098907.01</v>
      </c>
      <c r="C20" s="58">
        <v>9011290.0399999991</v>
      </c>
      <c r="D20" s="58">
        <v>1087616.97</v>
      </c>
      <c r="E20" s="114">
        <v>-3152449.97</v>
      </c>
      <c r="G20" s="146"/>
      <c r="H20" s="148"/>
      <c r="I20" s="148"/>
      <c r="J20" s="148"/>
      <c r="K20" s="148"/>
      <c r="L20" s="146"/>
    </row>
    <row r="21" spans="1:12" x14ac:dyDescent="0.2">
      <c r="A21" s="3" t="s">
        <v>112</v>
      </c>
      <c r="B21" s="58">
        <v>11410775.4</v>
      </c>
      <c r="C21" s="58">
        <v>6812710.5800000001</v>
      </c>
      <c r="D21" s="58">
        <v>4598064.82</v>
      </c>
      <c r="E21" s="58">
        <v>1445614.85</v>
      </c>
      <c r="G21" s="146"/>
      <c r="H21" s="148"/>
      <c r="I21" s="148"/>
      <c r="J21" s="148"/>
      <c r="K21" s="148"/>
      <c r="L21" s="146"/>
    </row>
    <row r="22" spans="1:12" x14ac:dyDescent="0.2">
      <c r="A22" s="3" t="s">
        <v>113</v>
      </c>
      <c r="B22" s="58">
        <v>8353377.29</v>
      </c>
      <c r="C22" s="58">
        <v>21266251.370000001</v>
      </c>
      <c r="D22" s="58">
        <v>-12912874.08</v>
      </c>
      <c r="E22" s="58">
        <v>-11467259.23</v>
      </c>
      <c r="G22" s="146"/>
      <c r="H22" s="148"/>
      <c r="I22" s="148"/>
      <c r="J22" s="148"/>
      <c r="K22" s="148"/>
      <c r="L22" s="146"/>
    </row>
    <row r="23" spans="1:12" x14ac:dyDescent="0.2">
      <c r="A23" s="3" t="s">
        <v>47</v>
      </c>
      <c r="B23" s="58">
        <v>135262335.75999999</v>
      </c>
      <c r="C23" s="58">
        <v>123930136.2</v>
      </c>
      <c r="D23" s="58">
        <v>11332199.560000001</v>
      </c>
      <c r="E23" s="58">
        <v>-11467259.23</v>
      </c>
      <c r="G23" s="146"/>
      <c r="H23" s="148"/>
      <c r="I23" s="148"/>
      <c r="J23" s="148"/>
      <c r="K23" s="148"/>
      <c r="L23" s="146"/>
    </row>
    <row r="24" spans="1:12" x14ac:dyDescent="0.2">
      <c r="G24" s="146"/>
      <c r="H24" s="146"/>
      <c r="I24" s="146"/>
      <c r="J24" s="146"/>
      <c r="K24" s="146"/>
      <c r="L24" s="146"/>
    </row>
    <row r="25" spans="1:12" x14ac:dyDescent="0.2">
      <c r="A25" s="113"/>
      <c r="B25" s="113"/>
      <c r="C25" s="113"/>
      <c r="D25" s="113"/>
      <c r="E25" s="113"/>
      <c r="F25" s="113"/>
      <c r="G25" s="146"/>
      <c r="H25" s="146"/>
      <c r="I25" s="146"/>
      <c r="J25" s="146"/>
      <c r="K25" s="146"/>
      <c r="L25" s="146"/>
    </row>
    <row r="26" spans="1:12" x14ac:dyDescent="0.2">
      <c r="A26" s="113"/>
      <c r="B26" s="113"/>
      <c r="C26" s="113"/>
      <c r="D26" s="113"/>
      <c r="E26" s="113"/>
      <c r="F26" s="113"/>
      <c r="G26" s="146"/>
      <c r="H26" s="146"/>
      <c r="I26" s="146"/>
      <c r="J26" s="146"/>
      <c r="K26" s="146"/>
      <c r="L26" s="146"/>
    </row>
    <row r="27" spans="1:12" x14ac:dyDescent="0.2">
      <c r="A27" s="113"/>
      <c r="B27" s="113"/>
      <c r="C27" s="113"/>
      <c r="D27" s="113"/>
      <c r="E27" s="113"/>
      <c r="F27" s="113"/>
      <c r="G27" s="113"/>
    </row>
    <row r="28" spans="1:12" x14ac:dyDescent="0.2">
      <c r="A28" s="113"/>
      <c r="B28" s="114"/>
      <c r="C28" s="114"/>
      <c r="D28" s="114"/>
      <c r="E28" s="114"/>
      <c r="F28" s="113"/>
      <c r="G28" s="113"/>
    </row>
    <row r="29" spans="1:12" x14ac:dyDescent="0.2">
      <c r="A29" s="113"/>
      <c r="B29" s="114"/>
      <c r="C29" s="114"/>
      <c r="D29" s="114"/>
      <c r="E29" s="114"/>
      <c r="F29" s="113"/>
      <c r="G29" s="113"/>
    </row>
    <row r="30" spans="1:12" x14ac:dyDescent="0.2">
      <c r="A30" s="113"/>
      <c r="B30" s="114"/>
      <c r="C30" s="114"/>
      <c r="D30" s="114"/>
      <c r="E30" s="114"/>
      <c r="F30" s="113"/>
      <c r="G30" s="113"/>
    </row>
    <row r="31" spans="1:12" x14ac:dyDescent="0.2">
      <c r="A31" s="113"/>
      <c r="B31" s="114"/>
      <c r="C31" s="114"/>
      <c r="D31" s="114"/>
      <c r="E31" s="114"/>
      <c r="F31" s="113"/>
      <c r="G31" s="113"/>
    </row>
    <row r="32" spans="1:12" x14ac:dyDescent="0.2">
      <c r="A32" s="113"/>
      <c r="B32" s="114"/>
      <c r="C32" s="114"/>
      <c r="D32" s="114"/>
      <c r="E32" s="114"/>
      <c r="F32" s="113"/>
      <c r="G32" s="113"/>
    </row>
    <row r="33" spans="1:7" x14ac:dyDescent="0.2">
      <c r="A33" s="113"/>
      <c r="B33" s="114"/>
      <c r="C33" s="114"/>
      <c r="D33" s="114"/>
      <c r="E33" s="114"/>
      <c r="F33" s="113"/>
      <c r="G33" s="113"/>
    </row>
    <row r="34" spans="1:7" x14ac:dyDescent="0.2">
      <c r="A34" s="113"/>
      <c r="B34" s="114"/>
      <c r="C34" s="114"/>
      <c r="D34" s="114"/>
      <c r="E34" s="114"/>
      <c r="F34" s="113"/>
      <c r="G34" s="113"/>
    </row>
    <row r="35" spans="1:7" x14ac:dyDescent="0.2">
      <c r="A35" s="113"/>
      <c r="B35" s="114"/>
      <c r="C35" s="114"/>
      <c r="D35" s="114"/>
      <c r="E35" s="114"/>
      <c r="F35" s="113"/>
      <c r="G35" s="113"/>
    </row>
    <row r="36" spans="1:7" x14ac:dyDescent="0.2">
      <c r="A36" s="113"/>
      <c r="B36" s="114"/>
      <c r="C36" s="114"/>
      <c r="D36" s="114"/>
      <c r="E36" s="114"/>
      <c r="F36" s="113"/>
      <c r="G36" s="113"/>
    </row>
    <row r="37" spans="1:7" x14ac:dyDescent="0.2">
      <c r="A37" s="113"/>
      <c r="B37" s="114"/>
      <c r="C37" s="114"/>
      <c r="D37" s="114"/>
      <c r="E37" s="114"/>
      <c r="F37" s="113"/>
      <c r="G37" s="113"/>
    </row>
    <row r="38" spans="1:7" x14ac:dyDescent="0.2">
      <c r="A38" s="113"/>
      <c r="B38" s="114"/>
      <c r="C38" s="114"/>
      <c r="D38" s="114"/>
      <c r="E38" s="114"/>
      <c r="F38" s="113"/>
      <c r="G38" s="113"/>
    </row>
    <row r="39" spans="1:7" x14ac:dyDescent="0.2">
      <c r="A39" s="113"/>
      <c r="B39" s="114"/>
      <c r="C39" s="114"/>
      <c r="D39" s="114"/>
      <c r="E39" s="114"/>
      <c r="F39" s="113"/>
      <c r="G39" s="113"/>
    </row>
    <row r="40" spans="1:7" x14ac:dyDescent="0.2">
      <c r="A40" s="113"/>
      <c r="B40" s="114"/>
      <c r="C40" s="114"/>
      <c r="D40" s="114"/>
      <c r="E40" s="114"/>
      <c r="F40" s="113"/>
      <c r="G40" s="113"/>
    </row>
    <row r="41" spans="1:7" x14ac:dyDescent="0.2">
      <c r="A41" s="113"/>
      <c r="B41" s="114"/>
      <c r="C41" s="114"/>
      <c r="D41" s="114"/>
      <c r="E41" s="114"/>
      <c r="F41" s="113"/>
      <c r="G41" s="113"/>
    </row>
    <row r="42" spans="1:7" x14ac:dyDescent="0.2">
      <c r="A42" s="113"/>
      <c r="B42" s="113"/>
      <c r="C42" s="113"/>
      <c r="D42" s="113"/>
      <c r="E42" s="113"/>
      <c r="F42" s="113"/>
      <c r="G42" s="113"/>
    </row>
    <row r="43" spans="1:7" x14ac:dyDescent="0.2">
      <c r="A43" s="113"/>
      <c r="B43" s="113"/>
      <c r="C43" s="113"/>
      <c r="D43" s="113"/>
      <c r="E43" s="113"/>
      <c r="F43" s="113"/>
      <c r="G43" s="113"/>
    </row>
    <row r="44" spans="1:7" x14ac:dyDescent="0.2">
      <c r="A44" s="113"/>
      <c r="B44" s="113"/>
      <c r="C44" s="113"/>
      <c r="D44" s="113"/>
      <c r="E44" s="113"/>
      <c r="F44" s="113"/>
      <c r="G44" s="113"/>
    </row>
    <row r="45" spans="1:7" x14ac:dyDescent="0.2">
      <c r="A45" s="113"/>
      <c r="B45" s="113"/>
      <c r="C45" s="113"/>
      <c r="D45" s="113"/>
      <c r="E45" s="113"/>
      <c r="F45" s="113"/>
      <c r="G45" s="113"/>
    </row>
    <row r="46" spans="1:7" x14ac:dyDescent="0.2">
      <c r="A46" s="113"/>
      <c r="B46" s="113"/>
      <c r="C46" s="113"/>
      <c r="D46" s="113"/>
      <c r="E46" s="113"/>
      <c r="F46" s="113"/>
      <c r="G46" s="113"/>
    </row>
    <row r="47" spans="1:7" x14ac:dyDescent="0.2">
      <c r="A47" s="113"/>
      <c r="B47" s="113"/>
      <c r="C47" s="113"/>
      <c r="D47" s="113"/>
      <c r="E47" s="113"/>
      <c r="F47" s="113"/>
      <c r="G47" s="113"/>
    </row>
  </sheetData>
  <pageMargins left="1" right="0.7" top="0.75" bottom="0.75" header="0.3" footer="0.3"/>
  <pageSetup orientation="portrait" verticalDpi="0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/>
  </sheetViews>
  <sheetFormatPr defaultColWidth="9.140625" defaultRowHeight="15" x14ac:dyDescent="0.25"/>
  <cols>
    <col min="1" max="1" width="19.42578125" style="104" bestFit="1" customWidth="1"/>
    <col min="2" max="2" width="12.28515625" style="104" bestFit="1" customWidth="1"/>
    <col min="3" max="3" width="8.42578125" style="104" bestFit="1" customWidth="1"/>
    <col min="4" max="4" width="12.28515625" style="104" bestFit="1" customWidth="1"/>
    <col min="5" max="5" width="20.42578125" style="104" bestFit="1" customWidth="1"/>
    <col min="6" max="16384" width="9.140625" style="104"/>
  </cols>
  <sheetData>
    <row r="1" spans="1:6" x14ac:dyDescent="0.25">
      <c r="A1" s="154" t="s">
        <v>144</v>
      </c>
      <c r="F1" s="150" t="s">
        <v>92</v>
      </c>
    </row>
    <row r="2" spans="1:6" x14ac:dyDescent="0.25">
      <c r="A2" s="33" t="s">
        <v>163</v>
      </c>
      <c r="F2" s="47"/>
    </row>
    <row r="3" spans="1:6" x14ac:dyDescent="0.25">
      <c r="A3" s="154" t="s">
        <v>145</v>
      </c>
      <c r="E3" s="150"/>
    </row>
    <row r="5" spans="1:6" x14ac:dyDescent="0.25">
      <c r="A5" s="155" t="s">
        <v>165</v>
      </c>
    </row>
    <row r="7" spans="1:6" x14ac:dyDescent="0.25">
      <c r="A7" s="104" t="s">
        <v>114</v>
      </c>
    </row>
    <row r="8" spans="1:6" x14ac:dyDescent="0.25">
      <c r="A8" s="104" t="s">
        <v>115</v>
      </c>
      <c r="C8" s="106"/>
    </row>
    <row r="9" spans="1:6" x14ac:dyDescent="0.25">
      <c r="A9" s="107" t="s">
        <v>96</v>
      </c>
      <c r="B9" s="107" t="s">
        <v>97</v>
      </c>
      <c r="C9" s="107" t="s">
        <v>98</v>
      </c>
      <c r="D9" s="107" t="s">
        <v>99</v>
      </c>
      <c r="E9" s="107" t="s">
        <v>100</v>
      </c>
    </row>
    <row r="10" spans="1:6" x14ac:dyDescent="0.25">
      <c r="A10" s="105" t="s">
        <v>101</v>
      </c>
      <c r="B10" s="108">
        <v>0</v>
      </c>
      <c r="C10" s="108">
        <v>0</v>
      </c>
      <c r="D10" s="108">
        <v>0</v>
      </c>
      <c r="E10" s="108">
        <v>-32957.61</v>
      </c>
    </row>
    <row r="11" spans="1:6" x14ac:dyDescent="0.25">
      <c r="A11" s="105" t="s">
        <v>102</v>
      </c>
      <c r="B11" s="108">
        <v>637.66999999999996</v>
      </c>
      <c r="C11" s="108">
        <v>0</v>
      </c>
      <c r="D11" s="108">
        <v>637.66999999999996</v>
      </c>
      <c r="E11" s="108">
        <v>-32319.94</v>
      </c>
    </row>
    <row r="12" spans="1:6" x14ac:dyDescent="0.25">
      <c r="A12" s="105" t="s">
        <v>103</v>
      </c>
      <c r="B12" s="108">
        <v>637.66999999999996</v>
      </c>
      <c r="C12" s="108">
        <v>0</v>
      </c>
      <c r="D12" s="108">
        <v>637.66999999999996</v>
      </c>
      <c r="E12" s="108">
        <v>-31682.27</v>
      </c>
    </row>
    <row r="13" spans="1:6" x14ac:dyDescent="0.25">
      <c r="A13" s="105" t="s">
        <v>104</v>
      </c>
      <c r="B13" s="108">
        <v>637.66999999999996</v>
      </c>
      <c r="C13" s="108">
        <v>0</v>
      </c>
      <c r="D13" s="108">
        <v>637.66999999999996</v>
      </c>
      <c r="E13" s="108">
        <v>-31044.6</v>
      </c>
    </row>
    <row r="14" spans="1:6" x14ac:dyDescent="0.25">
      <c r="A14" s="105" t="s">
        <v>105</v>
      </c>
      <c r="B14" s="108">
        <v>637.66999999999996</v>
      </c>
      <c r="C14" s="108">
        <v>0</v>
      </c>
      <c r="D14" s="108">
        <v>637.66999999999996</v>
      </c>
      <c r="E14" s="108">
        <v>-30406.93</v>
      </c>
    </row>
    <row r="15" spans="1:6" x14ac:dyDescent="0.25">
      <c r="A15" s="105" t="s">
        <v>106</v>
      </c>
      <c r="B15" s="108">
        <v>637.66999999999996</v>
      </c>
      <c r="C15" s="108">
        <v>0</v>
      </c>
      <c r="D15" s="108">
        <v>637.66999999999996</v>
      </c>
      <c r="E15" s="108">
        <v>-29769.26</v>
      </c>
    </row>
    <row r="16" spans="1:6" x14ac:dyDescent="0.25">
      <c r="A16" s="105" t="s">
        <v>107</v>
      </c>
      <c r="B16" s="108">
        <v>637.66999999999996</v>
      </c>
      <c r="C16" s="108">
        <v>0</v>
      </c>
      <c r="D16" s="108">
        <v>637.66999999999996</v>
      </c>
      <c r="E16" s="108">
        <v>-29131.59</v>
      </c>
    </row>
    <row r="17" spans="1:6" x14ac:dyDescent="0.25">
      <c r="A17" s="105" t="s">
        <v>108</v>
      </c>
      <c r="B17" s="108">
        <v>637.66999999999996</v>
      </c>
      <c r="C17" s="108">
        <v>0</v>
      </c>
      <c r="D17" s="108">
        <v>637.66999999999996</v>
      </c>
      <c r="E17" s="108">
        <v>-28493.919999999998</v>
      </c>
    </row>
    <row r="18" spans="1:6" x14ac:dyDescent="0.25">
      <c r="A18" s="105" t="s">
        <v>109</v>
      </c>
      <c r="B18" s="108">
        <v>637.66999999999996</v>
      </c>
      <c r="C18" s="108">
        <v>0</v>
      </c>
      <c r="D18" s="108">
        <v>637.66999999999996</v>
      </c>
      <c r="E18" s="108">
        <v>-27856.25</v>
      </c>
    </row>
    <row r="19" spans="1:6" x14ac:dyDescent="0.25">
      <c r="A19" s="136" t="s">
        <v>110</v>
      </c>
      <c r="B19" s="137">
        <v>637.66999999999996</v>
      </c>
      <c r="C19" s="137">
        <v>0</v>
      </c>
      <c r="D19" s="137">
        <v>637.66999999999996</v>
      </c>
      <c r="E19" s="137">
        <v>-27218.58</v>
      </c>
      <c r="F19" s="17"/>
    </row>
    <row r="20" spans="1:6" x14ac:dyDescent="0.25">
      <c r="A20" s="136" t="s">
        <v>111</v>
      </c>
      <c r="B20" s="137">
        <v>637.66999999999996</v>
      </c>
      <c r="C20" s="137">
        <v>0</v>
      </c>
      <c r="D20" s="137">
        <v>637.66999999999996</v>
      </c>
      <c r="E20" s="137">
        <v>-26580.91</v>
      </c>
      <c r="F20" s="17"/>
    </row>
    <row r="21" spans="1:6" x14ac:dyDescent="0.25">
      <c r="A21" s="136" t="s">
        <v>112</v>
      </c>
      <c r="B21" s="137">
        <v>637.66999999999996</v>
      </c>
      <c r="C21" s="137">
        <v>0</v>
      </c>
      <c r="D21" s="137">
        <v>637.66999999999996</v>
      </c>
      <c r="E21" s="137">
        <v>-25943.24</v>
      </c>
      <c r="F21" s="17"/>
    </row>
    <row r="22" spans="1:6" x14ac:dyDescent="0.25">
      <c r="A22" s="136" t="s">
        <v>113</v>
      </c>
      <c r="B22" s="137">
        <v>637.66999999999996</v>
      </c>
      <c r="C22" s="137">
        <v>0</v>
      </c>
      <c r="D22" s="137">
        <v>637.66999999999996</v>
      </c>
      <c r="E22" s="137">
        <v>-25305.57</v>
      </c>
      <c r="F22" s="17"/>
    </row>
    <row r="23" spans="1:6" x14ac:dyDescent="0.25">
      <c r="A23" s="136" t="s">
        <v>47</v>
      </c>
      <c r="B23" s="137">
        <v>7652.04</v>
      </c>
      <c r="C23" s="137">
        <v>0</v>
      </c>
      <c r="D23" s="137">
        <v>7652.04</v>
      </c>
      <c r="E23" s="137">
        <v>-25305.57</v>
      </c>
      <c r="F23" s="17"/>
    </row>
    <row r="24" spans="1:6" x14ac:dyDescent="0.25">
      <c r="A24" s="136"/>
      <c r="B24" s="137"/>
      <c r="C24" s="137"/>
      <c r="D24" s="137"/>
      <c r="E24" s="13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04" t="s">
        <v>116</v>
      </c>
    </row>
    <row r="27" spans="1:6" x14ac:dyDescent="0.25">
      <c r="A27" s="104" t="s">
        <v>117</v>
      </c>
      <c r="C27" s="106"/>
    </row>
    <row r="28" spans="1:6" x14ac:dyDescent="0.25">
      <c r="A28" s="107" t="s">
        <v>96</v>
      </c>
      <c r="B28" s="107" t="s">
        <v>97</v>
      </c>
      <c r="C28" s="107" t="s">
        <v>98</v>
      </c>
      <c r="D28" s="107" t="s">
        <v>99</v>
      </c>
      <c r="E28" s="107" t="s">
        <v>100</v>
      </c>
    </row>
    <row r="29" spans="1:6" x14ac:dyDescent="0.25">
      <c r="A29" s="105" t="s">
        <v>101</v>
      </c>
      <c r="B29" s="108">
        <v>0</v>
      </c>
      <c r="C29" s="108">
        <v>0</v>
      </c>
      <c r="D29" s="108">
        <v>0</v>
      </c>
      <c r="E29" s="108">
        <v>-4413.8500000000004</v>
      </c>
    </row>
    <row r="30" spans="1:6" x14ac:dyDescent="0.25">
      <c r="A30" s="105" t="s">
        <v>102</v>
      </c>
      <c r="B30" s="108">
        <v>367.75</v>
      </c>
      <c r="C30" s="108">
        <v>0</v>
      </c>
      <c r="D30" s="108">
        <v>367.75</v>
      </c>
      <c r="E30" s="108">
        <v>-4046.1</v>
      </c>
    </row>
    <row r="31" spans="1:6" x14ac:dyDescent="0.25">
      <c r="A31" s="105" t="s">
        <v>103</v>
      </c>
      <c r="B31" s="108">
        <v>367.75</v>
      </c>
      <c r="C31" s="108">
        <v>0</v>
      </c>
      <c r="D31" s="108">
        <v>367.75</v>
      </c>
      <c r="E31" s="108">
        <v>-3678.35</v>
      </c>
    </row>
    <row r="32" spans="1:6" x14ac:dyDescent="0.25">
      <c r="A32" s="105" t="s">
        <v>104</v>
      </c>
      <c r="B32" s="108">
        <v>367.75</v>
      </c>
      <c r="C32" s="108">
        <v>0</v>
      </c>
      <c r="D32" s="108">
        <v>367.75</v>
      </c>
      <c r="E32" s="108">
        <v>-3310.6</v>
      </c>
    </row>
    <row r="33" spans="1:6" x14ac:dyDescent="0.25">
      <c r="A33" s="105" t="s">
        <v>105</v>
      </c>
      <c r="B33" s="108">
        <v>367.75</v>
      </c>
      <c r="C33" s="108">
        <v>0</v>
      </c>
      <c r="D33" s="108">
        <v>367.75</v>
      </c>
      <c r="E33" s="108">
        <v>-2942.85</v>
      </c>
    </row>
    <row r="34" spans="1:6" x14ac:dyDescent="0.25">
      <c r="A34" s="105" t="s">
        <v>106</v>
      </c>
      <c r="B34" s="108">
        <v>367.75</v>
      </c>
      <c r="C34" s="108">
        <v>0</v>
      </c>
      <c r="D34" s="108">
        <v>367.75</v>
      </c>
      <c r="E34" s="108">
        <v>-2575.1</v>
      </c>
    </row>
    <row r="35" spans="1:6" x14ac:dyDescent="0.25">
      <c r="A35" s="105" t="s">
        <v>107</v>
      </c>
      <c r="B35" s="108">
        <v>367.75</v>
      </c>
      <c r="C35" s="108">
        <v>0</v>
      </c>
      <c r="D35" s="108">
        <v>367.75</v>
      </c>
      <c r="E35" s="108">
        <v>-2207.35</v>
      </c>
    </row>
    <row r="36" spans="1:6" x14ac:dyDescent="0.25">
      <c r="A36" s="105" t="s">
        <v>108</v>
      </c>
      <c r="B36" s="108">
        <v>367.75</v>
      </c>
      <c r="C36" s="108">
        <v>0</v>
      </c>
      <c r="D36" s="108">
        <v>367.75</v>
      </c>
      <c r="E36" s="108">
        <v>-1839.6</v>
      </c>
    </row>
    <row r="37" spans="1:6" x14ac:dyDescent="0.25">
      <c r="A37" s="105" t="s">
        <v>109</v>
      </c>
      <c r="B37" s="108">
        <v>367.75</v>
      </c>
      <c r="C37" s="108">
        <v>0</v>
      </c>
      <c r="D37" s="108">
        <v>367.75</v>
      </c>
      <c r="E37" s="108">
        <v>-1471.85</v>
      </c>
    </row>
    <row r="38" spans="1:6" x14ac:dyDescent="0.25">
      <c r="A38" s="136" t="s">
        <v>110</v>
      </c>
      <c r="B38" s="137">
        <v>367.75</v>
      </c>
      <c r="C38" s="137">
        <v>0</v>
      </c>
      <c r="D38" s="137">
        <v>367.75</v>
      </c>
      <c r="E38" s="137">
        <v>-1104.0999999999999</v>
      </c>
      <c r="F38" s="17"/>
    </row>
    <row r="39" spans="1:6" x14ac:dyDescent="0.25">
      <c r="A39" s="136" t="s">
        <v>111</v>
      </c>
      <c r="B39" s="137">
        <v>367.75</v>
      </c>
      <c r="C39" s="137">
        <v>0</v>
      </c>
      <c r="D39" s="137">
        <v>367.75</v>
      </c>
      <c r="E39" s="137">
        <v>-736.35</v>
      </c>
      <c r="F39" s="17"/>
    </row>
    <row r="40" spans="1:6" x14ac:dyDescent="0.25">
      <c r="A40" s="136" t="s">
        <v>112</v>
      </c>
      <c r="B40" s="137">
        <v>367.75</v>
      </c>
      <c r="C40" s="137">
        <v>0</v>
      </c>
      <c r="D40" s="137">
        <v>367.75</v>
      </c>
      <c r="E40" s="137">
        <v>-368.6</v>
      </c>
      <c r="F40" s="17"/>
    </row>
    <row r="41" spans="1:6" x14ac:dyDescent="0.25">
      <c r="A41" s="136" t="s">
        <v>113</v>
      </c>
      <c r="B41" s="137">
        <v>367.75</v>
      </c>
      <c r="C41" s="137">
        <v>0</v>
      </c>
      <c r="D41" s="137">
        <v>367.75</v>
      </c>
      <c r="E41" s="137">
        <v>-0.85</v>
      </c>
      <c r="F41" s="17"/>
    </row>
    <row r="42" spans="1:6" x14ac:dyDescent="0.25">
      <c r="A42" s="136" t="s">
        <v>47</v>
      </c>
      <c r="B42" s="137">
        <v>4413</v>
      </c>
      <c r="C42" s="137">
        <v>0</v>
      </c>
      <c r="D42" s="137">
        <v>4413</v>
      </c>
      <c r="E42" s="137">
        <v>-0.85</v>
      </c>
      <c r="F42" s="17"/>
    </row>
    <row r="43" spans="1:6" x14ac:dyDescent="0.25">
      <c r="A43" s="136"/>
      <c r="B43" s="137"/>
      <c r="C43" s="137"/>
      <c r="D43" s="137"/>
      <c r="E43" s="13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04" t="s">
        <v>119</v>
      </c>
    </row>
    <row r="46" spans="1:6" x14ac:dyDescent="0.25">
      <c r="A46" s="104" t="s">
        <v>118</v>
      </c>
      <c r="C46" s="106"/>
    </row>
    <row r="47" spans="1:6" x14ac:dyDescent="0.25">
      <c r="A47" s="107" t="s">
        <v>96</v>
      </c>
      <c r="B47" s="107" t="s">
        <v>97</v>
      </c>
      <c r="C47" s="107" t="s">
        <v>98</v>
      </c>
      <c r="D47" s="107" t="s">
        <v>99</v>
      </c>
      <c r="E47" s="107" t="s">
        <v>100</v>
      </c>
    </row>
    <row r="48" spans="1:6" x14ac:dyDescent="0.25">
      <c r="A48" s="105" t="s">
        <v>101</v>
      </c>
      <c r="B48" s="108">
        <v>0</v>
      </c>
      <c r="C48" s="108">
        <v>0</v>
      </c>
      <c r="D48" s="108">
        <v>0</v>
      </c>
      <c r="E48" s="108">
        <v>-417266.63</v>
      </c>
    </row>
    <row r="49" spans="1:5" x14ac:dyDescent="0.25">
      <c r="A49" s="105" t="s">
        <v>102</v>
      </c>
      <c r="B49" s="108">
        <v>5903.33</v>
      </c>
      <c r="C49" s="108">
        <v>0</v>
      </c>
      <c r="D49" s="108">
        <v>5903.33</v>
      </c>
      <c r="E49" s="108">
        <v>-411363.3</v>
      </c>
    </row>
    <row r="50" spans="1:5" x14ac:dyDescent="0.25">
      <c r="A50" s="105" t="s">
        <v>103</v>
      </c>
      <c r="B50" s="108">
        <v>5903.33</v>
      </c>
      <c r="C50" s="108">
        <v>0</v>
      </c>
      <c r="D50" s="108">
        <v>5903.33</v>
      </c>
      <c r="E50" s="108">
        <v>-405459.97</v>
      </c>
    </row>
    <row r="51" spans="1:5" x14ac:dyDescent="0.25">
      <c r="A51" s="105" t="s">
        <v>104</v>
      </c>
      <c r="B51" s="108">
        <v>5903.33</v>
      </c>
      <c r="C51" s="108">
        <v>0</v>
      </c>
      <c r="D51" s="108">
        <v>5903.33</v>
      </c>
      <c r="E51" s="108">
        <v>-399556.64</v>
      </c>
    </row>
    <row r="52" spans="1:5" x14ac:dyDescent="0.25">
      <c r="A52" s="105" t="s">
        <v>105</v>
      </c>
      <c r="B52" s="108">
        <v>5903.33</v>
      </c>
      <c r="C52" s="108">
        <v>0</v>
      </c>
      <c r="D52" s="108">
        <v>5903.33</v>
      </c>
      <c r="E52" s="108">
        <v>-393653.31</v>
      </c>
    </row>
    <row r="53" spans="1:5" x14ac:dyDescent="0.25">
      <c r="A53" s="105" t="s">
        <v>106</v>
      </c>
      <c r="B53" s="108">
        <v>5903.33</v>
      </c>
      <c r="C53" s="108">
        <v>0</v>
      </c>
      <c r="D53" s="108">
        <v>5903.33</v>
      </c>
      <c r="E53" s="108">
        <v>-387749.98</v>
      </c>
    </row>
    <row r="54" spans="1:5" x14ac:dyDescent="0.25">
      <c r="A54" s="105" t="s">
        <v>107</v>
      </c>
      <c r="B54" s="108">
        <v>5903.33</v>
      </c>
      <c r="C54" s="108">
        <v>0</v>
      </c>
      <c r="D54" s="108">
        <v>5903.33</v>
      </c>
      <c r="E54" s="108">
        <v>-381846.65</v>
      </c>
    </row>
    <row r="55" spans="1:5" x14ac:dyDescent="0.25">
      <c r="A55" s="105" t="s">
        <v>108</v>
      </c>
      <c r="B55" s="108">
        <v>5903.33</v>
      </c>
      <c r="C55" s="108">
        <v>0</v>
      </c>
      <c r="D55" s="108">
        <v>5903.33</v>
      </c>
      <c r="E55" s="108">
        <v>-375943.32</v>
      </c>
    </row>
    <row r="56" spans="1:5" x14ac:dyDescent="0.25">
      <c r="A56" s="105" t="s">
        <v>109</v>
      </c>
      <c r="B56" s="108">
        <v>5903.33</v>
      </c>
      <c r="C56" s="108">
        <v>0</v>
      </c>
      <c r="D56" s="108">
        <v>5903.33</v>
      </c>
      <c r="E56" s="108">
        <v>-370039.99</v>
      </c>
    </row>
    <row r="57" spans="1:5" x14ac:dyDescent="0.25">
      <c r="A57" s="104" t="s">
        <v>110</v>
      </c>
      <c r="B57" s="108">
        <v>5903.33</v>
      </c>
      <c r="C57" s="108">
        <v>0</v>
      </c>
      <c r="D57" s="108">
        <v>5903.33</v>
      </c>
      <c r="E57" s="108">
        <v>-364136.66</v>
      </c>
    </row>
    <row r="58" spans="1:5" x14ac:dyDescent="0.25">
      <c r="A58" s="104" t="s">
        <v>111</v>
      </c>
      <c r="B58" s="108">
        <v>5903.33</v>
      </c>
      <c r="C58" s="108">
        <v>0</v>
      </c>
      <c r="D58" s="108">
        <v>5903.33</v>
      </c>
      <c r="E58" s="108">
        <v>-358233.33</v>
      </c>
    </row>
    <row r="59" spans="1:5" x14ac:dyDescent="0.25">
      <c r="A59" s="104" t="s">
        <v>112</v>
      </c>
      <c r="B59" s="108">
        <v>5903.33</v>
      </c>
      <c r="C59" s="108">
        <v>0</v>
      </c>
      <c r="D59" s="108">
        <v>5903.33</v>
      </c>
      <c r="E59" s="108">
        <v>-352330</v>
      </c>
    </row>
    <row r="60" spans="1:5" x14ac:dyDescent="0.25">
      <c r="A60" s="104" t="s">
        <v>113</v>
      </c>
      <c r="B60" s="108">
        <v>5903.33</v>
      </c>
      <c r="C60" s="108">
        <v>0</v>
      </c>
      <c r="D60" s="108">
        <v>5903.33</v>
      </c>
      <c r="E60" s="108">
        <v>-346426.67</v>
      </c>
    </row>
    <row r="61" spans="1:5" x14ac:dyDescent="0.25">
      <c r="A61" s="104" t="s">
        <v>47</v>
      </c>
      <c r="B61" s="108">
        <v>70839.960000000006</v>
      </c>
      <c r="C61" s="108">
        <v>0</v>
      </c>
      <c r="D61" s="108">
        <v>70839.960000000006</v>
      </c>
      <c r="E61" s="108">
        <v>-346426.67</v>
      </c>
    </row>
  </sheetData>
  <pageMargins left="1" right="0.7" top="0.75" bottom="0.75" header="0.3" footer="0.3"/>
  <pageSetup scale="75" orientation="portrait" verticalDpi="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defaultRowHeight="12.75" x14ac:dyDescent="0.2"/>
  <cols>
    <col min="5" max="5" width="10.28515625" bestFit="1" customWidth="1"/>
    <col min="6" max="6" width="6.5703125" bestFit="1" customWidth="1"/>
    <col min="7" max="7" width="8.140625" bestFit="1" customWidth="1"/>
    <col min="8" max="8" width="10.7109375" customWidth="1"/>
    <col min="9" max="9" width="10.140625" bestFit="1" customWidth="1"/>
    <col min="10" max="10" width="10.28515625" bestFit="1" customWidth="1"/>
    <col min="12" max="12" width="12.85546875" bestFit="1" customWidth="1"/>
  </cols>
  <sheetData>
    <row r="1" spans="1:10" ht="15" x14ac:dyDescent="0.25">
      <c r="A1" s="154" t="s">
        <v>144</v>
      </c>
      <c r="B1" s="3"/>
      <c r="C1" s="3"/>
      <c r="D1" s="3"/>
      <c r="E1" s="3"/>
      <c r="F1" s="3"/>
      <c r="G1" s="3"/>
      <c r="H1" s="3"/>
      <c r="I1" s="3"/>
      <c r="J1" s="150" t="s">
        <v>92</v>
      </c>
    </row>
    <row r="2" spans="1:10" ht="15" x14ac:dyDescent="0.25">
      <c r="A2" s="33" t="s">
        <v>163</v>
      </c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154" t="s">
        <v>145</v>
      </c>
      <c r="B3" s="3"/>
      <c r="C3" s="3"/>
      <c r="D3" s="3"/>
      <c r="E3" s="3"/>
      <c r="F3" s="3"/>
      <c r="G3" s="3"/>
      <c r="H3" s="3"/>
      <c r="I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x14ac:dyDescent="0.2">
      <c r="A5" s="156" t="s">
        <v>146</v>
      </c>
      <c r="B5" s="3"/>
      <c r="C5" s="3"/>
      <c r="D5" s="3"/>
      <c r="E5" s="3"/>
      <c r="F5" s="3"/>
      <c r="G5" s="3"/>
      <c r="H5" s="3"/>
      <c r="I5" s="3"/>
    </row>
    <row r="6" spans="1:10" x14ac:dyDescent="0.2">
      <c r="A6" s="156" t="s">
        <v>191</v>
      </c>
      <c r="B6" s="3"/>
      <c r="C6" s="3"/>
      <c r="D6" s="3"/>
      <c r="E6" s="3"/>
      <c r="F6" s="3"/>
      <c r="G6" s="3"/>
      <c r="H6" s="3"/>
      <c r="I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</row>
    <row r="8" spans="1:10" ht="25.5" x14ac:dyDescent="0.2">
      <c r="A8" s="2" t="s">
        <v>96</v>
      </c>
      <c r="B8" s="2" t="s">
        <v>97</v>
      </c>
      <c r="C8" s="2" t="s">
        <v>98</v>
      </c>
      <c r="D8" s="2" t="s">
        <v>99</v>
      </c>
      <c r="E8" s="126" t="s">
        <v>100</v>
      </c>
      <c r="F8" s="3"/>
      <c r="G8" s="3"/>
      <c r="H8" s="3"/>
      <c r="I8" s="3"/>
    </row>
    <row r="9" spans="1:10" x14ac:dyDescent="0.2">
      <c r="A9" s="3" t="s">
        <v>101</v>
      </c>
      <c r="B9" s="127">
        <v>0</v>
      </c>
      <c r="C9" s="127">
        <v>0</v>
      </c>
      <c r="D9" s="127">
        <v>0</v>
      </c>
      <c r="E9" s="127">
        <v>0</v>
      </c>
      <c r="F9" s="3"/>
      <c r="G9" s="3"/>
      <c r="H9" s="3"/>
      <c r="I9" s="3"/>
    </row>
    <row r="10" spans="1:10" x14ac:dyDescent="0.2">
      <c r="A10" s="3" t="s">
        <v>102</v>
      </c>
      <c r="B10" s="127">
        <v>0</v>
      </c>
      <c r="C10" s="127">
        <v>0</v>
      </c>
      <c r="D10" s="127">
        <v>0</v>
      </c>
      <c r="E10" s="127">
        <v>0</v>
      </c>
      <c r="F10" s="3"/>
      <c r="G10" s="3"/>
      <c r="H10" s="3"/>
      <c r="I10" s="3"/>
    </row>
    <row r="11" spans="1:10" x14ac:dyDescent="0.2">
      <c r="A11" s="3" t="s">
        <v>103</v>
      </c>
      <c r="B11" s="127">
        <v>0</v>
      </c>
      <c r="C11" s="127">
        <v>0</v>
      </c>
      <c r="D11" s="127">
        <v>0</v>
      </c>
      <c r="E11" s="127">
        <v>0</v>
      </c>
      <c r="F11" s="3"/>
      <c r="G11" s="3"/>
      <c r="H11" s="3"/>
      <c r="I11" s="3"/>
    </row>
    <row r="12" spans="1:10" x14ac:dyDescent="0.2">
      <c r="A12" s="3" t="s">
        <v>104</v>
      </c>
      <c r="B12" s="127">
        <v>0</v>
      </c>
      <c r="C12" s="127">
        <v>0</v>
      </c>
      <c r="D12" s="127">
        <v>0</v>
      </c>
      <c r="E12" s="127">
        <v>0</v>
      </c>
      <c r="F12" s="3"/>
      <c r="G12" s="3"/>
      <c r="H12" s="3"/>
      <c r="I12" s="3"/>
    </row>
    <row r="13" spans="1:10" x14ac:dyDescent="0.2">
      <c r="A13" s="3" t="s">
        <v>105</v>
      </c>
      <c r="B13" s="127">
        <v>0</v>
      </c>
      <c r="C13" s="127">
        <v>0</v>
      </c>
      <c r="D13" s="127">
        <v>0</v>
      </c>
      <c r="E13" s="127">
        <v>0</v>
      </c>
      <c r="F13" s="3"/>
      <c r="G13" s="3"/>
      <c r="H13" s="3"/>
      <c r="I13" s="3"/>
    </row>
    <row r="14" spans="1:10" x14ac:dyDescent="0.2">
      <c r="A14" s="3" t="s">
        <v>106</v>
      </c>
      <c r="B14" s="127">
        <v>0</v>
      </c>
      <c r="C14" s="127">
        <v>0</v>
      </c>
      <c r="D14" s="127">
        <v>0</v>
      </c>
      <c r="E14" s="127">
        <v>0</v>
      </c>
      <c r="F14" s="3"/>
      <c r="G14" s="3"/>
      <c r="H14" s="3"/>
      <c r="I14" s="3"/>
    </row>
    <row r="15" spans="1:10" x14ac:dyDescent="0.2">
      <c r="A15" s="3" t="s">
        <v>107</v>
      </c>
      <c r="B15" s="127">
        <v>0</v>
      </c>
      <c r="C15" s="127">
        <v>0</v>
      </c>
      <c r="D15" s="127">
        <v>0</v>
      </c>
      <c r="E15" s="127">
        <v>0</v>
      </c>
      <c r="F15" s="3"/>
      <c r="G15" s="3"/>
      <c r="H15" s="3"/>
      <c r="I15" s="3"/>
    </row>
    <row r="16" spans="1:10" x14ac:dyDescent="0.2">
      <c r="A16" s="3" t="s">
        <v>108</v>
      </c>
      <c r="B16" s="127">
        <v>0</v>
      </c>
      <c r="C16" s="127">
        <v>0</v>
      </c>
      <c r="D16" s="127">
        <v>0</v>
      </c>
      <c r="E16" s="127">
        <v>0</v>
      </c>
      <c r="F16" s="3"/>
      <c r="G16" s="3"/>
      <c r="H16" s="3"/>
      <c r="I16" s="3"/>
    </row>
    <row r="17" spans="1:9" x14ac:dyDescent="0.2">
      <c r="A17" s="3" t="s">
        <v>109</v>
      </c>
      <c r="B17" s="127">
        <v>0</v>
      </c>
      <c r="C17" s="127">
        <v>0</v>
      </c>
      <c r="D17" s="127">
        <v>0</v>
      </c>
      <c r="E17" s="127">
        <v>0</v>
      </c>
      <c r="F17" s="3"/>
      <c r="G17" s="3"/>
      <c r="H17" s="3"/>
      <c r="I17" s="3"/>
    </row>
    <row r="18" spans="1:9" x14ac:dyDescent="0.2">
      <c r="A18" s="3" t="s">
        <v>110</v>
      </c>
      <c r="B18" s="127">
        <v>0</v>
      </c>
      <c r="C18" s="127">
        <v>0</v>
      </c>
      <c r="D18" s="127">
        <v>0</v>
      </c>
      <c r="E18" s="127">
        <v>0</v>
      </c>
      <c r="F18" s="3"/>
      <c r="G18" s="3"/>
      <c r="H18" s="3"/>
      <c r="I18" s="3"/>
    </row>
    <row r="19" spans="1:9" x14ac:dyDescent="0.2">
      <c r="A19" s="3" t="s">
        <v>111</v>
      </c>
      <c r="B19" s="127">
        <v>0</v>
      </c>
      <c r="C19" s="127">
        <v>0</v>
      </c>
      <c r="D19" s="127">
        <v>0</v>
      </c>
      <c r="E19" s="127">
        <v>0</v>
      </c>
      <c r="F19" s="3"/>
      <c r="G19" s="3"/>
      <c r="H19" s="3"/>
      <c r="I19" s="3"/>
    </row>
    <row r="20" spans="1:9" x14ac:dyDescent="0.2">
      <c r="A20" s="3" t="s">
        <v>112</v>
      </c>
      <c r="B20" s="127">
        <v>41600</v>
      </c>
      <c r="C20" s="127">
        <v>0</v>
      </c>
      <c r="D20" s="127">
        <v>41600</v>
      </c>
      <c r="E20" s="127">
        <v>41600</v>
      </c>
      <c r="F20" s="3"/>
      <c r="G20" s="3"/>
      <c r="H20" s="3"/>
      <c r="I20" s="3"/>
    </row>
    <row r="21" spans="1:9" x14ac:dyDescent="0.2">
      <c r="A21" s="3" t="s">
        <v>113</v>
      </c>
      <c r="B21" s="127">
        <v>0</v>
      </c>
      <c r="C21" s="127">
        <v>169.26</v>
      </c>
      <c r="D21" s="127">
        <v>-169.26</v>
      </c>
      <c r="E21" s="127">
        <v>41430.74</v>
      </c>
      <c r="F21" s="3"/>
      <c r="G21" s="3"/>
      <c r="H21" s="3"/>
      <c r="I21" s="3"/>
    </row>
    <row r="22" spans="1:9" x14ac:dyDescent="0.2">
      <c r="A22" s="3" t="s">
        <v>47</v>
      </c>
      <c r="B22" s="127">
        <v>41600</v>
      </c>
      <c r="C22" s="127">
        <v>169.26</v>
      </c>
      <c r="D22" s="127">
        <v>41430.74</v>
      </c>
      <c r="E22" s="127">
        <v>41430.74</v>
      </c>
      <c r="F22" s="3"/>
      <c r="G22" s="3"/>
      <c r="H22" s="3"/>
      <c r="I22" s="3"/>
    </row>
    <row r="23" spans="1:9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">
      <c r="A25" s="156" t="s">
        <v>147</v>
      </c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25.5" x14ac:dyDescent="0.2">
      <c r="A27" s="2" t="s">
        <v>96</v>
      </c>
      <c r="B27" s="2" t="s">
        <v>97</v>
      </c>
      <c r="C27" s="2" t="s">
        <v>98</v>
      </c>
      <c r="D27" s="2" t="s">
        <v>99</v>
      </c>
      <c r="E27" s="126" t="s">
        <v>100</v>
      </c>
      <c r="F27" s="3"/>
      <c r="G27" s="3"/>
      <c r="H27" s="3"/>
      <c r="I27" s="3"/>
    </row>
    <row r="28" spans="1:9" x14ac:dyDescent="0.2">
      <c r="A28" s="3" t="s">
        <v>101</v>
      </c>
      <c r="B28" s="127">
        <v>0</v>
      </c>
      <c r="C28" s="127">
        <v>0</v>
      </c>
      <c r="D28" s="127">
        <v>0</v>
      </c>
      <c r="E28" s="127">
        <v>41430.74</v>
      </c>
      <c r="F28" s="3"/>
      <c r="G28" s="3"/>
      <c r="H28" s="3"/>
      <c r="I28" s="3"/>
    </row>
    <row r="29" spans="1:9" x14ac:dyDescent="0.2">
      <c r="A29" s="3" t="s">
        <v>102</v>
      </c>
      <c r="B29" s="127">
        <v>0</v>
      </c>
      <c r="C29" s="127">
        <v>115.4</v>
      </c>
      <c r="D29" s="127">
        <v>-115.4</v>
      </c>
      <c r="E29" s="127">
        <v>41315.339999999997</v>
      </c>
      <c r="F29" s="3"/>
      <c r="G29" s="3"/>
      <c r="H29" s="3"/>
      <c r="I29" s="3"/>
    </row>
    <row r="30" spans="1:9" x14ac:dyDescent="0.2">
      <c r="A30" s="3" t="s">
        <v>103</v>
      </c>
      <c r="B30" s="127">
        <v>0</v>
      </c>
      <c r="C30" s="127">
        <v>115.4</v>
      </c>
      <c r="D30" s="127">
        <v>-115.4</v>
      </c>
      <c r="E30" s="127">
        <v>41199.94</v>
      </c>
      <c r="F30" s="3"/>
      <c r="G30" s="3"/>
      <c r="H30" s="3"/>
      <c r="I30" s="3"/>
    </row>
    <row r="31" spans="1:9" x14ac:dyDescent="0.2">
      <c r="A31" s="3" t="s">
        <v>104</v>
      </c>
      <c r="B31" s="127">
        <v>0</v>
      </c>
      <c r="C31" s="127">
        <v>115.4</v>
      </c>
      <c r="D31" s="127">
        <v>-115.4</v>
      </c>
      <c r="E31" s="127">
        <v>41084.54</v>
      </c>
      <c r="F31" s="3"/>
      <c r="G31" s="3"/>
      <c r="H31" s="3"/>
      <c r="I31" s="3"/>
    </row>
    <row r="32" spans="1:9" x14ac:dyDescent="0.2">
      <c r="A32" s="3" t="s">
        <v>105</v>
      </c>
      <c r="B32" s="127">
        <v>0</v>
      </c>
      <c r="C32" s="127">
        <v>115.4</v>
      </c>
      <c r="D32" s="127">
        <v>-115.4</v>
      </c>
      <c r="E32" s="127">
        <v>40969.14</v>
      </c>
      <c r="F32" s="3"/>
      <c r="G32" s="3"/>
      <c r="H32" s="3"/>
      <c r="I32" s="3"/>
    </row>
    <row r="33" spans="1:11" x14ac:dyDescent="0.2">
      <c r="A33" s="3" t="s">
        <v>106</v>
      </c>
      <c r="B33" s="127">
        <v>0</v>
      </c>
      <c r="C33" s="127">
        <v>115.4</v>
      </c>
      <c r="D33" s="127">
        <v>-115.4</v>
      </c>
      <c r="E33" s="127">
        <v>40853.74</v>
      </c>
      <c r="F33" s="3"/>
      <c r="G33" s="3"/>
      <c r="H33" s="3"/>
      <c r="I33" s="3"/>
    </row>
    <row r="34" spans="1:11" x14ac:dyDescent="0.2">
      <c r="A34" s="3" t="s">
        <v>107</v>
      </c>
      <c r="B34" s="127">
        <v>0</v>
      </c>
      <c r="C34" s="127">
        <v>115.4</v>
      </c>
      <c r="D34" s="127">
        <v>-115.4</v>
      </c>
      <c r="E34" s="127">
        <v>40738.339999999997</v>
      </c>
      <c r="F34" s="3"/>
      <c r="G34" s="3"/>
    </row>
    <row r="35" spans="1:11" x14ac:dyDescent="0.2">
      <c r="A35" s="3" t="s">
        <v>108</v>
      </c>
      <c r="B35" s="127">
        <v>0</v>
      </c>
      <c r="C35" s="127">
        <v>115.4</v>
      </c>
      <c r="D35" s="127">
        <v>-115.4</v>
      </c>
      <c r="E35" s="127">
        <v>40622.94</v>
      </c>
      <c r="F35" s="3"/>
      <c r="G35" s="3"/>
    </row>
    <row r="36" spans="1:11" x14ac:dyDescent="0.2">
      <c r="A36" s="3" t="s">
        <v>109</v>
      </c>
      <c r="B36" s="127">
        <v>0</v>
      </c>
      <c r="C36" s="127">
        <v>115.4</v>
      </c>
      <c r="D36" s="127">
        <v>-115.4</v>
      </c>
      <c r="E36" s="127">
        <v>40507.54</v>
      </c>
      <c r="F36" s="3"/>
      <c r="G36" s="3"/>
    </row>
    <row r="37" spans="1:11" x14ac:dyDescent="0.2">
      <c r="A37" s="3" t="s">
        <v>110</v>
      </c>
      <c r="B37" s="127">
        <v>15350</v>
      </c>
      <c r="C37" s="127">
        <v>158.09</v>
      </c>
      <c r="D37" s="127">
        <v>15191.91</v>
      </c>
      <c r="E37" s="127">
        <v>55699.45</v>
      </c>
      <c r="F37" s="3"/>
      <c r="G37" s="3"/>
    </row>
    <row r="38" spans="1:11" x14ac:dyDescent="0.2">
      <c r="A38" s="3" t="s">
        <v>111</v>
      </c>
      <c r="B38" s="127">
        <v>0</v>
      </c>
      <c r="C38" s="127">
        <v>158.09</v>
      </c>
      <c r="D38" s="127">
        <v>-158.09</v>
      </c>
      <c r="E38" s="127">
        <v>55541.36</v>
      </c>
      <c r="F38" s="3"/>
      <c r="G38" s="3"/>
      <c r="H38" s="3"/>
      <c r="I38" s="3"/>
    </row>
    <row r="39" spans="1:11" x14ac:dyDescent="0.2">
      <c r="A39" s="3" t="s">
        <v>112</v>
      </c>
      <c r="B39" s="127">
        <v>0</v>
      </c>
      <c r="C39" s="127">
        <v>158.09</v>
      </c>
      <c r="D39" s="127">
        <v>-158.09</v>
      </c>
      <c r="E39" s="127">
        <v>55383.27</v>
      </c>
      <c r="F39" s="3"/>
      <c r="G39" s="3"/>
      <c r="H39" s="3"/>
      <c r="I39" s="3"/>
    </row>
    <row r="40" spans="1:11" x14ac:dyDescent="0.2">
      <c r="A40" s="3" t="s">
        <v>113</v>
      </c>
      <c r="B40" s="127">
        <v>0</v>
      </c>
      <c r="C40" s="127">
        <v>158.09</v>
      </c>
      <c r="D40" s="127">
        <v>-158.09</v>
      </c>
      <c r="E40" s="127">
        <v>55225.18</v>
      </c>
      <c r="F40" s="3"/>
      <c r="G40" s="3"/>
      <c r="H40" s="3"/>
      <c r="I40" s="3"/>
    </row>
    <row r="41" spans="1:11" x14ac:dyDescent="0.2">
      <c r="A41" s="3" t="s">
        <v>47</v>
      </c>
      <c r="B41" s="127">
        <v>15350</v>
      </c>
      <c r="C41" s="127">
        <v>1555.56</v>
      </c>
      <c r="D41" s="127">
        <v>13794.44</v>
      </c>
      <c r="E41" s="127">
        <v>55225.18</v>
      </c>
      <c r="F41" s="3"/>
      <c r="G41" s="3"/>
      <c r="H41" s="3"/>
      <c r="I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11" x14ac:dyDescent="0.2">
      <c r="G43" s="1">
        <v>2017</v>
      </c>
    </row>
    <row r="44" spans="1:11" x14ac:dyDescent="0.2">
      <c r="A44" s="132"/>
      <c r="B44" s="132"/>
      <c r="C44" s="1"/>
      <c r="D44" s="1"/>
      <c r="E44" s="1" t="s">
        <v>153</v>
      </c>
      <c r="F44" s="1" t="s">
        <v>162</v>
      </c>
      <c r="G44" s="1" t="s">
        <v>47</v>
      </c>
      <c r="H44" s="163" t="s">
        <v>154</v>
      </c>
      <c r="I44" s="163"/>
    </row>
    <row r="45" spans="1:11" x14ac:dyDescent="0.2">
      <c r="A45" s="134" t="s">
        <v>189</v>
      </c>
      <c r="B45" s="134" t="s">
        <v>150</v>
      </c>
      <c r="C45" s="134" t="s">
        <v>151</v>
      </c>
      <c r="D45" s="134" t="s">
        <v>152</v>
      </c>
      <c r="E45" s="134" t="s">
        <v>10</v>
      </c>
      <c r="F45" s="134" t="s">
        <v>130</v>
      </c>
      <c r="G45" s="134" t="s">
        <v>130</v>
      </c>
      <c r="H45" s="138">
        <v>42735</v>
      </c>
      <c r="I45" s="138">
        <v>43100</v>
      </c>
      <c r="J45" s="134" t="s">
        <v>7</v>
      </c>
    </row>
    <row r="46" spans="1:11" x14ac:dyDescent="0.2">
      <c r="A46" s="129" t="s">
        <v>148</v>
      </c>
      <c r="B46" s="135">
        <v>42691</v>
      </c>
      <c r="C46" s="130">
        <v>53662</v>
      </c>
      <c r="D46" s="133">
        <v>0.04</v>
      </c>
      <c r="E46" s="131">
        <v>5000000</v>
      </c>
      <c r="F46" s="128">
        <f>C36</f>
        <v>115.4</v>
      </c>
      <c r="G46" s="128">
        <f>F46*12</f>
        <v>1384.8000000000002</v>
      </c>
      <c r="H46" s="139">
        <f>E28</f>
        <v>41430.74</v>
      </c>
      <c r="I46" s="139">
        <f>E36-(4*C36)</f>
        <v>40045.94</v>
      </c>
      <c r="J46" s="149">
        <f>AVERAGE(H46:I46)</f>
        <v>40738.339999999997</v>
      </c>
      <c r="K46" s="149"/>
    </row>
    <row r="47" spans="1:11" x14ac:dyDescent="0.2">
      <c r="A47" s="129" t="s">
        <v>149</v>
      </c>
      <c r="B47" s="135">
        <v>42991</v>
      </c>
      <c r="C47" s="130">
        <v>53936</v>
      </c>
      <c r="D47" s="133">
        <v>3.7499999999999999E-2</v>
      </c>
      <c r="E47" s="131">
        <v>5000000</v>
      </c>
      <c r="F47" s="128">
        <f>C37-C36</f>
        <v>42.69</v>
      </c>
      <c r="G47" s="128">
        <f>F47*4</f>
        <v>170.76</v>
      </c>
      <c r="H47" s="139">
        <v>0</v>
      </c>
      <c r="I47" s="140">
        <f>E40-I46</f>
        <v>15179.239999999998</v>
      </c>
      <c r="J47" s="149">
        <f>AVERAGE(H47:I47)</f>
        <v>7589.619999999999</v>
      </c>
      <c r="K47" s="149"/>
    </row>
    <row r="48" spans="1:11" x14ac:dyDescent="0.2">
      <c r="H48" s="139">
        <f>SUM(H46:H47)</f>
        <v>41430.74</v>
      </c>
      <c r="I48" s="139">
        <f>SUM(I46:I47)</f>
        <v>55225.18</v>
      </c>
    </row>
    <row r="49" spans="9:10" x14ac:dyDescent="0.2">
      <c r="I49" s="131">
        <f>E40-I48</f>
        <v>0</v>
      </c>
      <c r="J49" s="131" t="s">
        <v>155</v>
      </c>
    </row>
  </sheetData>
  <mergeCells count="1">
    <mergeCell ref="H44:I44"/>
  </mergeCells>
  <pageMargins left="0.7" right="0.7" top="0.75" bottom="0.75" header="0.3" footer="0.3"/>
  <pageSetup scale="99" orientation="portrait" verticalDpi="1200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defaultColWidth="9.140625" defaultRowHeight="15" x14ac:dyDescent="0.25"/>
  <cols>
    <col min="1" max="1" width="8.5703125" style="104" customWidth="1"/>
    <col min="2" max="10" width="11.28515625" style="104" customWidth="1"/>
    <col min="11" max="16384" width="9.140625" style="104"/>
  </cols>
  <sheetData>
    <row r="1" spans="1:10" x14ac:dyDescent="0.25">
      <c r="A1" s="154" t="s">
        <v>144</v>
      </c>
      <c r="J1" s="47"/>
    </row>
    <row r="2" spans="1:10" x14ac:dyDescent="0.25">
      <c r="A2" s="33" t="s">
        <v>163</v>
      </c>
      <c r="J2" s="47"/>
    </row>
    <row r="3" spans="1:10" x14ac:dyDescent="0.25">
      <c r="A3" s="154" t="s">
        <v>145</v>
      </c>
      <c r="J3" s="47"/>
    </row>
    <row r="4" spans="1:10" x14ac:dyDescent="0.25">
      <c r="J4" s="47"/>
    </row>
    <row r="5" spans="1:10" x14ac:dyDescent="0.25">
      <c r="J5" s="47"/>
    </row>
    <row r="6" spans="1:10" x14ac:dyDescent="0.25">
      <c r="A6" s="121" t="s">
        <v>122</v>
      </c>
    </row>
    <row r="7" spans="1:10" x14ac:dyDescent="0.25">
      <c r="A7" s="121"/>
    </row>
    <row r="8" spans="1:10" x14ac:dyDescent="0.25">
      <c r="B8" s="104" t="s">
        <v>170</v>
      </c>
    </row>
    <row r="9" spans="1:10" x14ac:dyDescent="0.25">
      <c r="B9" s="104" t="s">
        <v>184</v>
      </c>
    </row>
    <row r="11" spans="1:10" x14ac:dyDescent="0.25">
      <c r="B11" s="104" t="s">
        <v>123</v>
      </c>
    </row>
    <row r="12" spans="1:10" x14ac:dyDescent="0.25">
      <c r="B12" s="104" t="s">
        <v>124</v>
      </c>
    </row>
    <row r="13" spans="1:10" x14ac:dyDescent="0.25">
      <c r="B13" s="104" t="s">
        <v>125</v>
      </c>
    </row>
    <row r="15" spans="1:10" x14ac:dyDescent="0.25">
      <c r="B15" s="104" t="s">
        <v>185</v>
      </c>
    </row>
    <row r="17" spans="1:7" x14ac:dyDescent="0.25">
      <c r="B17" s="104" t="s">
        <v>126</v>
      </c>
    </row>
    <row r="19" spans="1:7" x14ac:dyDescent="0.25">
      <c r="B19" s="104" t="s">
        <v>127</v>
      </c>
    </row>
    <row r="21" spans="1:7" x14ac:dyDescent="0.25">
      <c r="B21" s="104" t="s">
        <v>182</v>
      </c>
    </row>
    <row r="24" spans="1:7" x14ac:dyDescent="0.25">
      <c r="B24" s="104" t="s">
        <v>128</v>
      </c>
      <c r="C24" s="17"/>
      <c r="D24" s="106" t="s">
        <v>129</v>
      </c>
      <c r="E24" s="17"/>
    </row>
    <row r="25" spans="1:7" x14ac:dyDescent="0.25">
      <c r="D25" s="122" t="s">
        <v>99</v>
      </c>
      <c r="E25" s="122" t="s">
        <v>130</v>
      </c>
    </row>
    <row r="26" spans="1:7" x14ac:dyDescent="0.25">
      <c r="C26" s="111">
        <v>0.03</v>
      </c>
      <c r="D26" s="104">
        <v>25510100</v>
      </c>
      <c r="E26" s="104">
        <v>69522000</v>
      </c>
    </row>
    <row r="27" spans="1:7" x14ac:dyDescent="0.25">
      <c r="C27" s="111">
        <v>0.04</v>
      </c>
      <c r="D27" s="104">
        <v>25510200</v>
      </c>
      <c r="E27" s="104">
        <v>69523000</v>
      </c>
    </row>
    <row r="28" spans="1:7" x14ac:dyDescent="0.25">
      <c r="C28" s="111">
        <v>0.1</v>
      </c>
      <c r="D28" s="104">
        <v>25510300</v>
      </c>
      <c r="E28" s="104">
        <v>69524000</v>
      </c>
    </row>
    <row r="29" spans="1:7" x14ac:dyDescent="0.25">
      <c r="C29" s="111"/>
    </row>
    <row r="31" spans="1:7" x14ac:dyDescent="0.25">
      <c r="A31" s="123" t="s">
        <v>18</v>
      </c>
      <c r="B31" s="112" t="s">
        <v>131</v>
      </c>
      <c r="C31" s="124" t="s">
        <v>132</v>
      </c>
      <c r="D31" s="124" t="s">
        <v>133</v>
      </c>
      <c r="E31" s="17"/>
      <c r="G31" s="112"/>
    </row>
    <row r="32" spans="1:7" x14ac:dyDescent="0.25">
      <c r="A32" s="76">
        <v>6.9599999999999995E-2</v>
      </c>
      <c r="B32" s="104" t="s">
        <v>134</v>
      </c>
      <c r="C32" s="85" t="s">
        <v>69</v>
      </c>
      <c r="D32" s="4" t="s">
        <v>135</v>
      </c>
      <c r="E32" s="13" t="s">
        <v>136</v>
      </c>
    </row>
    <row r="33" spans="1:8" x14ac:dyDescent="0.25">
      <c r="A33" s="76">
        <v>7.1499999999999994E-2</v>
      </c>
      <c r="B33" s="104" t="s">
        <v>134</v>
      </c>
      <c r="C33" s="85" t="s">
        <v>70</v>
      </c>
      <c r="D33" s="4" t="s">
        <v>135</v>
      </c>
      <c r="E33" s="13" t="s">
        <v>136</v>
      </c>
    </row>
    <row r="34" spans="1:8" x14ac:dyDescent="0.25">
      <c r="A34" s="76">
        <v>6.9900000000000004E-2</v>
      </c>
      <c r="B34" s="104" t="s">
        <v>134</v>
      </c>
      <c r="C34" s="85" t="s">
        <v>71</v>
      </c>
      <c r="D34" s="4" t="s">
        <v>135</v>
      </c>
      <c r="E34" s="13" t="s">
        <v>136</v>
      </c>
    </row>
    <row r="35" spans="1:8" x14ac:dyDescent="0.25">
      <c r="A35" s="76">
        <v>6.5930000000000002E-2</v>
      </c>
      <c r="B35" s="104" t="s">
        <v>134</v>
      </c>
      <c r="C35" s="85" t="s">
        <v>72</v>
      </c>
      <c r="D35" s="4" t="s">
        <v>137</v>
      </c>
      <c r="E35" s="13" t="s">
        <v>138</v>
      </c>
      <c r="G35" s="17"/>
    </row>
    <row r="36" spans="1:8" x14ac:dyDescent="0.25">
      <c r="A36" s="76">
        <v>6.25E-2</v>
      </c>
      <c r="B36" s="104" t="s">
        <v>134</v>
      </c>
      <c r="C36" s="85" t="s">
        <v>73</v>
      </c>
      <c r="D36" s="4" t="s">
        <v>137</v>
      </c>
      <c r="E36" s="13" t="s">
        <v>138</v>
      </c>
    </row>
    <row r="37" spans="1:8" x14ac:dyDescent="0.25">
      <c r="A37" s="76">
        <v>5.6250000000000001E-2</v>
      </c>
      <c r="B37" s="104" t="s">
        <v>134</v>
      </c>
      <c r="C37" s="85" t="s">
        <v>74</v>
      </c>
      <c r="D37" s="4" t="s">
        <v>137</v>
      </c>
      <c r="E37" s="13" t="s">
        <v>138</v>
      </c>
    </row>
    <row r="38" spans="1:8" x14ac:dyDescent="0.25">
      <c r="A38" s="76">
        <v>5.3749999999999999E-2</v>
      </c>
      <c r="B38" s="104" t="s">
        <v>134</v>
      </c>
      <c r="C38" s="85" t="s">
        <v>75</v>
      </c>
      <c r="D38" s="4" t="s">
        <v>137</v>
      </c>
      <c r="E38" s="13" t="s">
        <v>138</v>
      </c>
    </row>
    <row r="39" spans="1:8" x14ac:dyDescent="0.25">
      <c r="A39" s="76">
        <v>5.0500000000000003E-2</v>
      </c>
      <c r="B39" s="104" t="s">
        <v>134</v>
      </c>
      <c r="C39" s="85" t="s">
        <v>77</v>
      </c>
      <c r="D39" s="4" t="s">
        <v>137</v>
      </c>
      <c r="E39" s="13" t="s">
        <v>138</v>
      </c>
    </row>
    <row r="40" spans="1:8" ht="13.5" customHeight="1" x14ac:dyDescent="0.25">
      <c r="A40" s="17"/>
      <c r="B40" s="104" t="s">
        <v>134</v>
      </c>
      <c r="C40" s="17" t="s">
        <v>76</v>
      </c>
      <c r="D40" s="17" t="s">
        <v>139</v>
      </c>
      <c r="E40" s="13"/>
    </row>
    <row r="41" spans="1:8" ht="13.5" customHeight="1" x14ac:dyDescent="0.25">
      <c r="A41" s="76">
        <v>0.04</v>
      </c>
      <c r="B41" s="104" t="s">
        <v>134</v>
      </c>
      <c r="C41" s="17" t="s">
        <v>95</v>
      </c>
      <c r="D41" s="4" t="s">
        <v>137</v>
      </c>
      <c r="E41" s="13" t="s">
        <v>138</v>
      </c>
    </row>
    <row r="42" spans="1:8" ht="13.5" customHeight="1" x14ac:dyDescent="0.25">
      <c r="A42" s="76">
        <v>0.04</v>
      </c>
      <c r="B42" s="104" t="s">
        <v>134</v>
      </c>
      <c r="C42" s="17" t="s">
        <v>148</v>
      </c>
      <c r="D42" s="4" t="s">
        <v>137</v>
      </c>
      <c r="E42" s="13" t="s">
        <v>138</v>
      </c>
    </row>
    <row r="43" spans="1:8" ht="13.5" customHeight="1" x14ac:dyDescent="0.25">
      <c r="A43" s="76">
        <v>3.7499999999999999E-2</v>
      </c>
      <c r="B43" s="104" t="s">
        <v>134</v>
      </c>
      <c r="C43" s="17" t="s">
        <v>149</v>
      </c>
      <c r="D43" s="4" t="s">
        <v>137</v>
      </c>
      <c r="E43" s="13" t="s">
        <v>138</v>
      </c>
    </row>
    <row r="44" spans="1:8" x14ac:dyDescent="0.25">
      <c r="A44" s="76">
        <v>8.4699999999999998E-2</v>
      </c>
      <c r="B44" s="104" t="s">
        <v>140</v>
      </c>
      <c r="C44" s="17" t="s">
        <v>141</v>
      </c>
      <c r="D44" s="93" t="s">
        <v>142</v>
      </c>
      <c r="E44" s="13" t="s">
        <v>136</v>
      </c>
    </row>
    <row r="47" spans="1:8" x14ac:dyDescent="0.25">
      <c r="A47" s="17"/>
      <c r="B47" s="17"/>
      <c r="C47" s="17"/>
      <c r="D47" s="17"/>
      <c r="E47" s="17"/>
    </row>
    <row r="48" spans="1:8" x14ac:dyDescent="0.25">
      <c r="F48" s="17"/>
      <c r="G48" s="17"/>
      <c r="H48" s="17"/>
    </row>
  </sheetData>
  <pageMargins left="0.7" right="0.7" top="0.75" bottom="0.75" header="0.3" footer="0.3"/>
  <pageSetup scale="83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>Set 1</DR_x0020_Series>
    <Party xmlns="7203d2c3-413f-43d7-a52d-eb1ac8076465">Public Service Commission</Party>
    <Internal_x0020_Due_x0020_Date xmlns="7203d2c3-413f-43d7-a52d-eb1ac8076465">2018-03-21T04:00:00+00:00</Internal_x0020_Due_x0020_Date>
    <Document_x0020_Type xmlns="7203d2c3-413f-43d7-a52d-eb1ac8076465">Discovery</Document_x0020_Type>
    <Responsible_x0020_Witness xmlns="7203d2c3-413f-43d7-a52d-eb1ac8076465">Linda Bridwell</Responsible_x0020_Witness>
    <Subject_x002f_Dept xmlns="7203d2c3-413f-43d7-a52d-eb1ac8076465" xsi:nil="true"/>
    <Preparer xmlns="7203d2c3-413f-43d7-a52d-eb1ac8076465">Scott Rungren</Preparer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>i:0#.w|aww\petrydj</DisplayName>
        <AccountId>90</AccountId>
        <AccountType/>
      </UserInfo>
    </Internal_x0020_Reviewer>
    <Date_x0020_Filed_x002f_Submitted xmlns="7203d2c3-413f-43d7-a52d-eb1ac8076465" xsi:nil="true"/>
    <Final_x0020_Due_x0020_Date xmlns="7203d2c3-413f-43d7-a52d-eb1ac8076465">2018-03-27T04:00:00+00:00</Final_x0020_Due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5F75C6-5411-4F5A-AC3F-6FEC7A999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03d2c3-413f-43d7-a52d-eb1ac8076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4D3D4-AB68-43CC-B616-2814AF09BA88}">
  <ds:schemaRefs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203d2c3-413f-43d7-a52d-eb1ac807646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AEF348-024A-4E2C-8476-0FCD539DB2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LT Debt</vt:lpstr>
      <vt:lpstr>Pref Stock</vt:lpstr>
      <vt:lpstr>Workpaper</vt:lpstr>
      <vt:lpstr>STD 2017 WP</vt:lpstr>
      <vt:lpstr>Unamort ITCs 2017 WP</vt:lpstr>
      <vt:lpstr>Debt Discount 2017 WP</vt:lpstr>
      <vt:lpstr>Notes</vt:lpstr>
      <vt:lpstr>'LT Debt'!Print_Area</vt:lpstr>
      <vt:lpstr>'Pref Stock'!Print_Area</vt:lpstr>
      <vt:lpstr>'STD 2017 WP'!Print_Area</vt:lpstr>
      <vt:lpstr>Summary!Print_Area</vt:lpstr>
      <vt:lpstr>'Unamort ITCs 2017 WP'!Print_Area</vt:lpstr>
      <vt:lpstr>Workpaper!Print_Area</vt:lpstr>
      <vt:lpstr>Workpaper!Print_Titles</vt:lpstr>
    </vt:vector>
  </TitlesOfParts>
  <Company>KAWC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KAW_SR_PSCDR1_NUM002_032918_Attachment 2 Supplemental</dc:title>
  <dc:creator>Mark Frost</dc:creator>
  <cp:lastModifiedBy>INGRAML</cp:lastModifiedBy>
  <cp:lastPrinted>2018-03-26T19:05:48Z</cp:lastPrinted>
  <dcterms:created xsi:type="dcterms:W3CDTF">1998-12-14T20:29:10Z</dcterms:created>
  <dcterms:modified xsi:type="dcterms:W3CDTF">2018-03-29T15:07:53Z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