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CKY\2017 Tax Reform\Data Requests\"/>
    </mc:Choice>
  </mc:AlternateContent>
  <bookViews>
    <workbookView xWindow="-330" yWindow="-315" windowWidth="13725" windowHeight="9135" tabRatio="757" firstSheet="34" activeTab="34"/>
  </bookViews>
  <sheets>
    <sheet name="Input" sheetId="101" state="hidden" r:id="rId1"/>
    <sheet name="Schedule M Input" sheetId="100" state="hidden" r:id="rId2"/>
    <sheet name="Fin Sum Index A" sheetId="19" state="hidden" r:id="rId3"/>
    <sheet name="Overall Fin Sum Sch-A" sheetId="18" state="hidden" r:id="rId4"/>
    <sheet name="Rate Base Index B" sheetId="21" state="hidden" r:id="rId5"/>
    <sheet name="Rate Base Summary Sch B-1" sheetId="20" state="hidden" r:id="rId6"/>
    <sheet name="Plant in Service B-2" sheetId="22" state="hidden" r:id="rId7"/>
    <sheet name="PP&amp;E  by Accounts B-2.1" sheetId="23" state="hidden" r:id="rId8"/>
    <sheet name="PP&amp;E by Accts by Type B-2.1a" sheetId="24" state="hidden" r:id="rId9"/>
    <sheet name="Adj to PP&amp;E B-2.2" sheetId="25" state="hidden" r:id="rId10"/>
    <sheet name="PP&amp;E Add. Retire. Trans. B-2.3" sheetId="26" state="hidden" r:id="rId11"/>
    <sheet name="PP&amp;E Prop Merged Acquired B-2.4" sheetId="27" state="hidden" r:id="rId12"/>
    <sheet name="Leased Property B-2.5" sheetId="28" state="hidden" r:id="rId13"/>
    <sheet name="Property for Future Use B-2.6" sheetId="29" state="hidden" r:id="rId14"/>
    <sheet name="Property Excluded B-2.7" sheetId="30" state="hidden" r:id="rId15"/>
    <sheet name="Accum Depr &amp; Amort Summary B-3" sheetId="69" state="hidden" r:id="rId16"/>
    <sheet name="Adj. to Accum Dep &amp; Amort B-3.1" sheetId="70" state="hidden" r:id="rId17"/>
    <sheet name="Dep Accur Rates &amp; Acc Bal B-3.2" sheetId="71" state="hidden" r:id="rId18"/>
    <sheet name="CWIP B-4" sheetId="72" state="hidden" r:id="rId19"/>
    <sheet name="Allowance for Work Capital B-5" sheetId="73" state="hidden" r:id="rId20"/>
    <sheet name="WC Comp 13 Mon Avg Bal B-5.1" sheetId="74" state="hidden" r:id="rId21"/>
    <sheet name="WC Comp 1-8 O&amp;M Exp  B-5.2" sheetId="75" state="hidden" r:id="rId22"/>
    <sheet name="Def Cr &amp; Accum Def Inc Tax B-6" sheetId="76" state="hidden" r:id="rId23"/>
    <sheet name="B-7" sheetId="77" state="hidden" r:id="rId24"/>
    <sheet name="B-7.1" sheetId="82" state="hidden" r:id="rId25"/>
    <sheet name="B-7.2" sheetId="83" state="hidden" r:id="rId26"/>
    <sheet name="Comparative Bal Sheets B-8" sheetId="80" state="hidden" r:id="rId27"/>
    <sheet name="WPB-5.1 MIS WC" sheetId="102" state="hidden" r:id="rId28"/>
    <sheet name="WPB-6 Acct. 101, 252, 255, 283" sheetId="103" state="hidden" r:id="rId29"/>
    <sheet name="Acct. 282 pg 1" sheetId="105" state="hidden" r:id="rId30"/>
    <sheet name="Acct. 282 pg 2" sheetId="106" state="hidden" r:id="rId31"/>
    <sheet name="Acct. 190" sheetId="104" state="hidden" r:id="rId32"/>
    <sheet name="Operating Income Sum Index C" sheetId="1" state="hidden" r:id="rId33"/>
    <sheet name="Operating Income Summary C-1" sheetId="2" state="hidden" r:id="rId34"/>
    <sheet name="Attachment CYL - 1" sheetId="3" r:id="rId35"/>
    <sheet name="Oper Rev&amp;Exp by Accts C2.1p1-2" sheetId="4" state="hidden" r:id="rId36"/>
    <sheet name="Total Co Accts Activ C2.2p1-11" sheetId="8" state="hidden" r:id="rId37"/>
    <sheet name="Adj to Operating Income Index D" sheetId="31" state="hidden" r:id="rId38"/>
    <sheet name="Sum Adj  Oper Inc D-1, Sht 1-2" sheetId="32" state="hidden" r:id="rId39"/>
    <sheet name="Ann of Sales Rev D-2.1, Sht 1-6" sheetId="34" state="hidden" r:id="rId40"/>
    <sheet name="Labor Adj D-2.2" sheetId="41" state="hidden" r:id="rId41"/>
    <sheet name="Bonus Accrual-Incen Comp  D-2.3" sheetId="43" state="hidden" r:id="rId42"/>
    <sheet name="Benefits Adj D-2.4" sheetId="42" state="hidden" r:id="rId43"/>
    <sheet name="Postage D-2.5" sheetId="45" state="hidden" r:id="rId44"/>
    <sheet name="Depr Exp Adj D-2.6" sheetId="47" state="hidden" r:id="rId45"/>
    <sheet name="Depr Exp Adj D-2.6 p2" sheetId="86" state="hidden" r:id="rId46"/>
    <sheet name="Rate Case Expense D-2.7" sheetId="40" state="hidden" r:id="rId47"/>
    <sheet name="NCSC D-2.8 p1" sheetId="93" state="hidden" r:id="rId48"/>
    <sheet name="NCSC D-2.8 p2 " sheetId="95" state="hidden" r:id="rId49"/>
    <sheet name="NCSC D-2.8 p3" sheetId="111" state="hidden" r:id="rId50"/>
    <sheet name="NCSC D-2.8 p4" sheetId="112" state="hidden" r:id="rId51"/>
    <sheet name="NCSC D-2.8 p5" sheetId="109" state="hidden" r:id="rId52"/>
    <sheet name="NCSC D-2.8 p6" sheetId="110" state="hidden" r:id="rId53"/>
    <sheet name="Corporate Insurance  D-2.9" sheetId="46" state="hidden" r:id="rId54"/>
    <sheet name="Payroll Tax Adj D-2.10" sheetId="48" state="hidden" r:id="rId55"/>
    <sheet name="Property Tax Adj D-2.11" sheetId="99" state="hidden" r:id="rId56"/>
    <sheet name="Out-of-Period D-2.12" sheetId="107" state="hidden" r:id="rId57"/>
    <sheet name="Non-Recoverable D-2.13" sheetId="108" state="hidden" r:id="rId58"/>
    <sheet name="D-3" sheetId="49" state="hidden" r:id="rId59"/>
    <sheet name="D-4" sheetId="84" state="hidden" r:id="rId60"/>
    <sheet name="D-5" sheetId="85" state="hidden" r:id="rId61"/>
    <sheet name="Income Taxes Index E" sheetId="52" state="hidden" r:id="rId62"/>
    <sheet name="Fed &amp; State Income Taxes E-1.1" sheetId="53" state="hidden" r:id="rId63"/>
    <sheet name="Develop Fed &amp; State Inc Tax E-2" sheetId="54" state="hidden" r:id="rId64"/>
    <sheet name="Other Expenses Index F" sheetId="55" state="hidden" r:id="rId65"/>
    <sheet name="Payroll Cost Analysis Index G" sheetId="56" state="hidden" r:id="rId66"/>
    <sheet name="Gross Conversion Factor Index H" sheetId="57" state="hidden" r:id="rId67"/>
    <sheet name="Gross Conversion Factor H-1" sheetId="58" state="hidden" r:id="rId68"/>
    <sheet name="Statisical Data Index I" sheetId="59" state="hidden" r:id="rId69"/>
    <sheet name="Cost of Capital Index J" sheetId="60" state="hidden" r:id="rId70"/>
    <sheet name="Cost of Capital Summary J-1" sheetId="61" state="hidden" r:id="rId71"/>
    <sheet name="Avg Base Period  Cap Str J-1.1" sheetId="62" state="hidden" r:id="rId72"/>
    <sheet name="Embedded Cost of STD J-2" sheetId="63" state="hidden" r:id="rId73"/>
    <sheet name="Embedded Cost of LTD J-3" sheetId="64" state="hidden" r:id="rId74"/>
    <sheet name="Embedded Cost of Pre Stock J-4" sheetId="65" state="hidden" r:id="rId75"/>
    <sheet name="Financial Data Index K" sheetId="66" state="hidden" r:id="rId76"/>
    <sheet name="Rates &amp; Tariffs Index L" sheetId="67" state="hidden" r:id="rId77"/>
    <sheet name="Sch. L" sheetId="68" state="hidden" r:id="rId78"/>
  </sheets>
  <externalReferences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C">#REF!</definedName>
    <definedName name="\f" localSheetId="63">'Develop Fed &amp; State Inc Tax E-2'!#REF!</definedName>
    <definedName name="\f" localSheetId="47">'[1]E-2'!#REF!</definedName>
    <definedName name="\f" localSheetId="48">'[1]E-2'!#REF!</definedName>
    <definedName name="\p" localSheetId="15">#REF!</definedName>
    <definedName name="\p" localSheetId="9">'Adj to PP&amp;E B-2.2'!#REF!</definedName>
    <definedName name="\p" localSheetId="16">#REF!</definedName>
    <definedName name="\p" localSheetId="19">'Allowance for Work Capital B-5'!#REF!</definedName>
    <definedName name="\p" localSheetId="23">'B-7'!#REF!</definedName>
    <definedName name="\p" localSheetId="26">'Comparative Bal Sheets B-8'!$C$101:$C$107</definedName>
    <definedName name="\p" localSheetId="18">'CWIP B-4'!#REF!</definedName>
    <definedName name="\p" localSheetId="58">'D-3'!#REF!</definedName>
    <definedName name="\p" localSheetId="22">'Def Cr &amp; Accum Def Inc Tax B-6'!#REF!</definedName>
    <definedName name="\p" localSheetId="17">#REF!</definedName>
    <definedName name="\p" localSheetId="63">'Develop Fed &amp; State Inc Tax E-2'!#REF!</definedName>
    <definedName name="\p" localSheetId="62">'[1]E-2'!#REF!</definedName>
    <definedName name="\p" localSheetId="67">'Gross Conversion Factor H-1'!$D$33:$E$35</definedName>
    <definedName name="\p" localSheetId="12">'Leased Property B-2.5'!#REF!</definedName>
    <definedName name="\p" localSheetId="6">'Plant in Service B-2'!#REF!</definedName>
    <definedName name="\p" localSheetId="7">'PP&amp;E  by Accounts B-2.1'!#REF!</definedName>
    <definedName name="\p" localSheetId="10">'PP&amp;E Add. Retire. Trans. B-2.3'!$V$8:$X$15</definedName>
    <definedName name="\p" localSheetId="8">'PP&amp;E by Accts by Type B-2.1a'!#REF!</definedName>
    <definedName name="\p" localSheetId="11">'PP&amp;E Prop Merged Acquired B-2.4'!#REF!</definedName>
    <definedName name="\p" localSheetId="14">'Property Excluded B-2.7'!#REF!</definedName>
    <definedName name="\p" localSheetId="13">'Property for Future Use B-2.6'!#REF!</definedName>
    <definedName name="\p" localSheetId="5">'Rate Base Summary Sch B-1'!$C$40:$C$41</definedName>
    <definedName name="\p" localSheetId="20">'WC Comp 13 Mon Avg Bal B-5.1'!#REF!</definedName>
    <definedName name="\p" localSheetId="21">'WC Comp 1-8 O&amp;M Exp  B-5.2'!#REF!</definedName>
    <definedName name="\s" localSheetId="63">'Develop Fed &amp; State Inc Tax E-2'!#REF!</definedName>
    <definedName name="\s" localSheetId="47">'[1]E-2'!#REF!</definedName>
    <definedName name="\s" localSheetId="48">'[1]E-2'!#REF!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 localSheetId="63">'Develop Fed &amp; State Inc Tax E-2'!#REF!</definedName>
    <definedName name="_FS_ESC_3_X_\TA" localSheetId="47">'[1]E-2'!#REF!</definedName>
    <definedName name="_FS_ESC_3_X_\TA" localSheetId="48">'[1]E-2'!#REF!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PC" localSheetId="63">'Develop Fed &amp; State Inc Tax E-2'!#REF!</definedName>
    <definedName name="_HOME__APP1__PC" localSheetId="47">'[1]E-2'!#REF!</definedName>
    <definedName name="_HOME__APP1__PC" localSheetId="48">'[1]E-2'!#REF!</definedName>
    <definedName name="_HOME__FS_ESC_3" localSheetId="63">'Develop Fed &amp; State Inc Tax E-2'!#REF!</definedName>
    <definedName name="_HOME__FS_ESC_3" localSheetId="47">'[1]E-2'!#REF!</definedName>
    <definedName name="_HOME__FS_ESC_3" localSheetId="48">'[1]E-2'!#REF!</definedName>
    <definedName name="_PRCRSA148..O17" localSheetId="63">'Develop Fed &amp; State Inc Tax E-2'!#REF!</definedName>
    <definedName name="_PRCRSA148..O17" localSheetId="47">'[1]E-2'!#REF!</definedName>
    <definedName name="_PRCRSA148..O17" localSheetId="48">'[1]E-2'!#REF!</definedName>
    <definedName name="_PRCRSQ148..AE1" localSheetId="63">'Develop Fed &amp; State Inc Tax E-2'!#REF!</definedName>
    <definedName name="_PRCRSQ148..AE1" localSheetId="47">'[1]E-2'!#REF!</definedName>
    <definedName name="_PRCRSQ148..AE1" localSheetId="48">'[1]E-2'!#REF!</definedName>
    <definedName name="_Regression_Int" localSheetId="31" hidden="1">1</definedName>
    <definedName name="_Regression_Int" localSheetId="29" hidden="1">1</definedName>
    <definedName name="_Regression_Int" localSheetId="15" hidden="1">1</definedName>
    <definedName name="_Regression_Int" localSheetId="9" hidden="1">1</definedName>
    <definedName name="_Regression_Int" localSheetId="16" hidden="1">1</definedName>
    <definedName name="_Regression_Int" localSheetId="19" hidden="1">1</definedName>
    <definedName name="_Regression_Int" localSheetId="23" hidden="1">1</definedName>
    <definedName name="_Regression_Int" localSheetId="26" hidden="1">1</definedName>
    <definedName name="_Regression_Int" localSheetId="69" hidden="1">1</definedName>
    <definedName name="_Regression_Int" localSheetId="18" hidden="1">1</definedName>
    <definedName name="_Regression_Int" localSheetId="58" hidden="1">1</definedName>
    <definedName name="_Regression_Int" localSheetId="22" hidden="1">1</definedName>
    <definedName name="_Regression_Int" localSheetId="17" hidden="1">1</definedName>
    <definedName name="_Regression_Int" localSheetId="63" hidden="1">1</definedName>
    <definedName name="_Regression_Int" localSheetId="2" hidden="1">1</definedName>
    <definedName name="_Regression_Int" localSheetId="75" hidden="1">1</definedName>
    <definedName name="_Regression_Int" localSheetId="67" hidden="1">1</definedName>
    <definedName name="_Regression_Int" localSheetId="66" hidden="1">1</definedName>
    <definedName name="_Regression_Int" localSheetId="61" hidden="1">1</definedName>
    <definedName name="_Regression_Int" localSheetId="12" hidden="1">1</definedName>
    <definedName name="_Regression_Int" localSheetId="32" hidden="1">1</definedName>
    <definedName name="_Regression_Int" localSheetId="64" hidden="1">1</definedName>
    <definedName name="_Regression_Int" localSheetId="3" hidden="1">1</definedName>
    <definedName name="_Regression_Int" localSheetId="65" hidden="1">1</definedName>
    <definedName name="_Regression_Int" localSheetId="6" hidden="1">1</definedName>
    <definedName name="_Regression_Int" localSheetId="7" hidden="1">1</definedName>
    <definedName name="_Regression_Int" localSheetId="10" hidden="1">1</definedName>
    <definedName name="_Regression_Int" localSheetId="8" hidden="1">1</definedName>
    <definedName name="_Regression_Int" localSheetId="11" hidden="1">1</definedName>
    <definedName name="_Regression_Int" localSheetId="14" hidden="1">1</definedName>
    <definedName name="_Regression_Int" localSheetId="13" hidden="1">1</definedName>
    <definedName name="_Regression_Int" localSheetId="4" hidden="1">1</definedName>
    <definedName name="_Regression_Int" localSheetId="5" hidden="1">1</definedName>
    <definedName name="_Regression_Int" localSheetId="76" hidden="1">1</definedName>
    <definedName name="_Regression_Int" localSheetId="68" hidden="1">1</definedName>
    <definedName name="_Regression_Int" localSheetId="20" hidden="1">1</definedName>
    <definedName name="_Regression_Int" localSheetId="21" hidden="1">1</definedName>
    <definedName name="_Regression_Int" localSheetId="27" hidden="1">1</definedName>
    <definedName name="_Regression_Int" localSheetId="28" hidden="1">1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cctXref">#REF!</definedName>
    <definedName name="AddPMA">#REF!</definedName>
    <definedName name="AddUSF">#REF!</definedName>
    <definedName name="ahahahahaha" localSheetId="49" hidden="1">{"'Server Configuration'!$A$1:$DB$281"}</definedName>
    <definedName name="ahahahahaha" localSheetId="50" hidden="1">{"'Server Configuration'!$A$1:$DB$281"}</definedName>
    <definedName name="ahahahahaha" localSheetId="52" hidden="1">{"'Server Configuration'!$A$1:$DB$281"}</definedName>
    <definedName name="ahahahahaha" hidden="1">{"'Server Configuration'!$A$1:$DB$281"}</definedName>
    <definedName name="Ainput2">'[2]L Graph (Data)'!$A$6:$DS$21</definedName>
    <definedName name="Ainputvol">'[3]L Graph (Data)'!$A$6:$DS$17</definedName>
    <definedName name="AllData">OFFSET('[4]SLCs Due &amp; Recd'!$A$11,0,0,COUNTA('[4]SLCs Due &amp; Recd'!$B$1:$B$65536),COUNTA('[4]SLCs Due &amp; Recd'!$A$11:$IV$11))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rate">'[5]AVG FXrates'!$B$4:$F$47</definedName>
    <definedName name="Baseline">#REF!</definedName>
    <definedName name="Binputrusum">'[2]L Graph (Data)'!$A$97:$DS$109</definedName>
    <definedName name="binputsum">'[3]L Graph (Data)'!$A$19:$DS$29</definedName>
    <definedName name="binputsumru">'[6]L Graph (Data)'!$A$91:$DS$105</definedName>
    <definedName name="binputvol">'[6]L Graph (Data)'!$A$21:$DS$34</definedName>
    <definedName name="blip" localSheetId="49" hidden="1">{"'Server Configuration'!$A$1:$DB$281"}</definedName>
    <definedName name="blip" localSheetId="50" hidden="1">{"'Server Configuration'!$A$1:$DB$281"}</definedName>
    <definedName name="blip" localSheetId="52" hidden="1">{"'Server Configuration'!$A$1:$DB$281"}</definedName>
    <definedName name="blip" hidden="1">{"'Server Configuration'!$A$1:$DB$281"}</definedName>
    <definedName name="blort">#REF!</definedName>
    <definedName name="BMSGRADE">[7]Assumptions!$J$8:$J$21</definedName>
    <definedName name="ByTower">#REF!</definedName>
    <definedName name="CALDEN">#REF!</definedName>
    <definedName name="CCCfeeadj">'[3]L Graph (Data)'!$A$410:$DS$457</definedName>
    <definedName name="CCCvoladj">'[3]L Graph (Data)'!$A$359:$DS$406</definedName>
    <definedName name="Central_Call_Handling_Charge">'[8]Router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'[2]L Graph (Data)'!$A$41:$IV$56</definedName>
    <definedName name="Cinputvol">'[6]L Graph (Data)'!$A$38:$DS$51</definedName>
    <definedName name="Clarification">#REF!</definedName>
    <definedName name="Companies">#REF!</definedName>
    <definedName name="Criticality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D" localSheetId="49">{"'Server Configuration'!$A$1:$DB$281"}</definedName>
    <definedName name="D" localSheetId="50">{"'Server Configuration'!$A$1:$DB$281"}</definedName>
    <definedName name="D" localSheetId="52">{"'Server Configuration'!$A$1:$DB$281"}</definedName>
    <definedName name="D">{"'Server Configuration'!$A$1:$DB$281"}</definedName>
    <definedName name="DAVE" localSheetId="63">'Develop Fed &amp; State Inc Tax E-2'!#REF!</definedName>
    <definedName name="DAVE" localSheetId="47">'[1]E-2'!#REF!</definedName>
    <definedName name="DAVE" localSheetId="48">'[1]E-2'!#REF!</definedName>
    <definedName name="DAVE">'[1]E-2'!#REF!</definedName>
    <definedName name="DEBT" localSheetId="47">[9]RORB!$B$2:$F$24</definedName>
    <definedName name="DEBT" localSheetId="48">[9]RORB!$B$2:$F$24</definedName>
    <definedName name="DEBT">[9]RORB!$B$2:$F$24</definedName>
    <definedName name="DEPPROD51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ENDrate">'[5]END FXrates'!$B$4:$F$46</definedName>
    <definedName name="EQUITY" localSheetId="47">[9]RORB!$A$25:$G$49</definedName>
    <definedName name="EQUITY" localSheetId="48">[9]RORB!$A$25:$G$49</definedName>
    <definedName name="EQUITY">[9]RORB!$A$25:$G$49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indRef">OFFSET('[4]% Invoice'!$A$1,0,0,COUNTA('[4]% Invoice'!$A$1:$A$65536),1)</definedName>
    <definedName name="Grade">[7]Assumptions!$J$8:$J$21</definedName>
    <definedName name="HEAD">'Gross Conversion Factor H-1'!$A$1:$R$8</definedName>
    <definedName name="header">#REF!</definedName>
    <definedName name="HoursPerDay">7.5</definedName>
    <definedName name="HTML_CodePage" hidden="1">1252</definedName>
    <definedName name="HTML_Control" localSheetId="49" hidden="1">{"'Server Configuration'!$A$1:$DB$281"}</definedName>
    <definedName name="HTML_Control" localSheetId="50" hidden="1">{"'Server Configuration'!$A$1:$DB$281"}</definedName>
    <definedName name="HTML_Control" localSheetId="52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'[6]L Graph (Data)'!$A$71:$DS$84</definedName>
    <definedName name="IMFILE">#REF!</definedName>
    <definedName name="Inputbase">'[2]A (Input) Inv MO Service Charge'!#REF!</definedName>
    <definedName name="IRefbase">'[2]L Graph (Data)'!$A$113:$DS$126</definedName>
    <definedName name="Irefbaseunits">'[6]L Graph (Data)'!$A$109:$DS$125</definedName>
    <definedName name="ITARCRRCCHARGE">'[3]L Graph (Data)'!$A$187:$DS$233</definedName>
    <definedName name="ITbasefee">'[3]L Graph (Data)'!$A$49:$DS$60</definedName>
    <definedName name="ITbaseRUFee">'[3]L Graph (Data)'!$A$239:$DS$286</definedName>
    <definedName name="ITbinputsumru">'[3]L Graph (Data)'!$A$81:$DS$128</definedName>
    <definedName name="ITbinputvol">'[3]L Graph (Data)'!$A$19:$DS$30</definedName>
    <definedName name="ITCinputvol">'[3]L Graph (Data)'!$A$34:$DS$45</definedName>
    <definedName name="ITIbaselineunits">'[3]L Graph (Data)'!$A$63:$DS$74</definedName>
    <definedName name="ITNetArcCharge">'[3]L Graph (Data)'!$A$293:$DS$339</definedName>
    <definedName name="ITnetservfee">'[3]L Graph (Data)'!$A$344:$DS$355</definedName>
    <definedName name="ITrefbaselineunits">'[3]L Graph (Data)'!$A$132:$DS$181</definedName>
    <definedName name="LABOR">#REF!</definedName>
    <definedName name="licenseduration">#REF!</definedName>
    <definedName name="licensescope">#REF!</definedName>
    <definedName name="lookup">'[10]Input Sheet'!$A$9:$BM$140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EBT">#REF!</definedName>
    <definedName name="NEWFILE">#REF!</definedName>
    <definedName name="nousf">#REF!</definedName>
    <definedName name="NPM">#REF!</definedName>
    <definedName name="NvsAnswerCol">"'[PYR_SVC_BLUERI_AP IMAGES.xls]AVG FXrates'!$A$4:$A$21"</definedName>
    <definedName name="NvsASD" localSheetId="49">"V2007-09-30"</definedName>
    <definedName name="NvsASD" localSheetId="50">"V2007-09-30"</definedName>
    <definedName name="NvsASD" localSheetId="52">"V2007-09-30"</definedName>
    <definedName name="NvsASD">"V2001-09-30"</definedName>
    <definedName name="NvsAutoDrillOk">"VN"</definedName>
    <definedName name="NvsElapsedTime" localSheetId="49">0.000219907407881692</definedName>
    <definedName name="NvsElapsedTime" localSheetId="50">0.000219907407881692</definedName>
    <definedName name="NvsElapsedTime" localSheetId="52">0.000219907407881692</definedName>
    <definedName name="NvsElapsedTime">0.00477291666902602</definedName>
    <definedName name="NvsEndTime" localSheetId="49">39363.4914467593</definedName>
    <definedName name="NvsEndTime" localSheetId="50">39363.4914467593</definedName>
    <definedName name="NvsEndTime" localSheetId="52">39363.4914467593</definedName>
    <definedName name="NvsEndTime">35706.4988658565</definedName>
    <definedName name="NvsInstanceHook">#REF!='[11]September Travel Detail'!#REF!</definedName>
    <definedName name="NvsInstLang">"VENG"</definedName>
    <definedName name="NvsInstSpec" localSheetId="49">"%"</definedName>
    <definedName name="NvsInstSpec" localSheetId="50">"%"</definedName>
    <definedName name="NvsInstSpec" localSheetId="52">"%"</definedName>
    <definedName name="NvsInstSpec">"%,FDEPTID,VHS9PW"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 localSheetId="49">"V2099-01-01"</definedName>
    <definedName name="NvsPanelEffdt" localSheetId="50">"V2099-01-01"</definedName>
    <definedName name="NvsPanelEffdt" localSheetId="52">"V2099-01-01"</definedName>
    <definedName name="NvsPanelEffdt">"V2000-01-01"</definedName>
    <definedName name="NvsPanelSetid">"VSHARE"</definedName>
    <definedName name="NvsParentRef">"'[PYR_SVC_BLUERI_BS-1003.xls]Balance Sheet'!$I$13"</definedName>
    <definedName name="NvsReqBU" localSheetId="49">"V00012"</definedName>
    <definedName name="NvsReqBU" localSheetId="50">"V00012"</definedName>
    <definedName name="NvsReqBU" localSheetId="52">"V00012"</definedName>
    <definedName name="NvsReqBU">"VPSC"</definedName>
    <definedName name="NvsReqBUOnly" localSheetId="49">"VY"</definedName>
    <definedName name="NvsReqBUOnly" localSheetId="50">"VY"</definedName>
    <definedName name="NvsReqBUOnly" localSheetId="52">"VY"</definedName>
    <definedName name="NvsReqBUOnly">"VN"</definedName>
    <definedName name="NvsStyleNme">"NiSource Corporate.xls"</definedName>
    <definedName name="NvsTransLed">"VN"</definedName>
    <definedName name="NvsTreeASD" localSheetId="49">"V2007-09-30"</definedName>
    <definedName name="NvsTreeASD" localSheetId="50">"V2007-09-30"</definedName>
    <definedName name="NvsTreeASD" localSheetId="52">"V2007-09-30"</definedName>
    <definedName name="NvsTreeASD">"V2001-09-30"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k">#REF!</definedName>
    <definedName name="PAGE1" localSheetId="15">#REF!</definedName>
    <definedName name="PAGE1" localSheetId="9">'Adj to PP&amp;E B-2.2'!$A$1:$O$28</definedName>
    <definedName name="PAGE1" localSheetId="16">#REF!</definedName>
    <definedName name="PAGE1" localSheetId="19">'Allowance for Work Capital B-5'!$A$1:$L$25</definedName>
    <definedName name="PAGE1" localSheetId="23">'B-7'!$A$1:$I$16</definedName>
    <definedName name="PAGE1" localSheetId="26">'Comparative Bal Sheets B-8'!$A$1:$O$42</definedName>
    <definedName name="PAGE1" localSheetId="18">'CWIP B-4'!$A$1:$P$54</definedName>
    <definedName name="PAGE1" localSheetId="58">'D-3'!$A$1:$H$18</definedName>
    <definedName name="PAGE1" localSheetId="22">'Def Cr &amp; Accum Def Inc Tax B-6'!$A$1:$O$44</definedName>
    <definedName name="PAGE1" localSheetId="17">#REF!</definedName>
    <definedName name="PAGE1" localSheetId="67">'Gross Conversion Factor H-1'!$A$1:$M$31</definedName>
    <definedName name="PAGE1" localSheetId="12">'Leased Property B-2.5'!$A$1:$O$21</definedName>
    <definedName name="PAGE1" localSheetId="6">'Plant in Service B-2'!$A$1:$N$33</definedName>
    <definedName name="PAGE1" localSheetId="7">'PP&amp;E  by Accounts B-2.1'!$A$1:$P$41</definedName>
    <definedName name="PAGE1" localSheetId="10">'PP&amp;E Add. Retire. Trans. B-2.3'!$A$1:$S$47</definedName>
    <definedName name="PAGE1" localSheetId="8">'PP&amp;E by Accts by Type B-2.1a'!$A$1:$O$41</definedName>
    <definedName name="PAGE1" localSheetId="11">'PP&amp;E Prop Merged Acquired B-2.4'!$A$1:$Q$18</definedName>
    <definedName name="PAGE1" localSheetId="14">'Property Excluded B-2.7'!$A$1:$U$18</definedName>
    <definedName name="PAGE1" localSheetId="13">'Property for Future Use B-2.6'!$A$1:$W$18</definedName>
    <definedName name="PAGE1" localSheetId="20">'WC Comp 13 Mon Avg Bal B-5.1'!$A$1:$O$22</definedName>
    <definedName name="PAGE1" localSheetId="21">'WC Comp 1-8 O&amp;M Exp  B-5.2'!$A$1:$K$29</definedName>
    <definedName name="PAGE1">'Rate Base Summary Sch B-1'!$A$1:$H$36</definedName>
    <definedName name="PAGE2" localSheetId="15">#REF!</definedName>
    <definedName name="PAGE2" localSheetId="9">'Adj to PP&amp;E B-2.2'!#REF!</definedName>
    <definedName name="PAGE2" localSheetId="16">#REF!</definedName>
    <definedName name="PAGE2" localSheetId="19">'Allowance for Work Capital B-5'!#REF!</definedName>
    <definedName name="PAGE2" localSheetId="23">'B-7'!#REF!</definedName>
    <definedName name="PAGE2" localSheetId="26">'Comparative Bal Sheets B-8'!$A$44:$O$93</definedName>
    <definedName name="PAGE2" localSheetId="18">'CWIP B-4'!#REF!</definedName>
    <definedName name="PAGE2" localSheetId="58">'D-3'!$A$39:$H$41</definedName>
    <definedName name="PAGE2" localSheetId="22">'Def Cr &amp; Accum Def Inc Tax B-6'!#REF!</definedName>
    <definedName name="PAGE2" localSheetId="17">#REF!</definedName>
    <definedName name="PAGE2" localSheetId="12">'Leased Property B-2.5'!#REF!</definedName>
    <definedName name="PAGE2" localSheetId="47">'[12]Rate Base Summary Sch B-1'!#REF!</definedName>
    <definedName name="PAGE2" localSheetId="48">'[12]Rate Base Summary Sch B-1'!#REF!</definedName>
    <definedName name="PAGE2" localSheetId="6">'Plant in Service B-2'!#REF!</definedName>
    <definedName name="PAGE2" localSheetId="7">'PP&amp;E  by Accounts B-2.1'!$A$43:$P$87</definedName>
    <definedName name="PAGE2" localSheetId="10">'PP&amp;E Add. Retire. Trans. B-2.3'!$A$49:$S$87</definedName>
    <definedName name="PAGE2" localSheetId="8">'PP&amp;E by Accts by Type B-2.1a'!$A$43:$O$85</definedName>
    <definedName name="PAGE2" localSheetId="11">'PP&amp;E Prop Merged Acquired B-2.4'!#REF!</definedName>
    <definedName name="PAGE2" localSheetId="14">'Property Excluded B-2.7'!#REF!</definedName>
    <definedName name="PAGE2" localSheetId="13">'Property for Future Use B-2.6'!#REF!</definedName>
    <definedName name="PAGE2" localSheetId="20">'WC Comp 13 Mon Avg Bal B-5.1'!#REF!</definedName>
    <definedName name="PAGE2" localSheetId="21">'WC Comp 1-8 O&amp;M Exp  B-5.2'!#REF!</definedName>
    <definedName name="PAGE2">'Rate Base Summary Sch B-1'!#REF!</definedName>
    <definedName name="PAGE3" localSheetId="15">#REF!</definedName>
    <definedName name="PAGE3" localSheetId="16">#REF!</definedName>
    <definedName name="PAGE3" localSheetId="18">#REF!</definedName>
    <definedName name="PAGE3" localSheetId="17">#REF!</definedName>
    <definedName name="PAGE3" localSheetId="47">#REF!</definedName>
    <definedName name="PAGE3" localSheetId="48">#REF!</definedName>
    <definedName name="PAGE3" localSheetId="7">'PP&amp;E  by Accounts B-2.1'!#REF!</definedName>
    <definedName name="PAGE3" localSheetId="10">'PP&amp;E Add. Retire. Trans. B-2.3'!$A$89:$S$128</definedName>
    <definedName name="PAGE3" localSheetId="8">'PP&amp;E by Accts by Type B-2.1a'!#REF!</definedName>
    <definedName name="PAGE3">#REF!</definedName>
    <definedName name="PAGE4" localSheetId="15">#REF!</definedName>
    <definedName name="PAGE4" localSheetId="16">#REF!</definedName>
    <definedName name="PAGE4" localSheetId="18">#REF!</definedName>
    <definedName name="PAGE4" localSheetId="17">#REF!</definedName>
    <definedName name="PAGE4" localSheetId="47">#REF!</definedName>
    <definedName name="PAGE4" localSheetId="48">#REF!</definedName>
    <definedName name="PAGE4" localSheetId="7">'PP&amp;E  by Accounts B-2.1'!#REF!</definedName>
    <definedName name="PAGE4" localSheetId="10">'PP&amp;E Add. Retire. Trans. B-2.3'!#REF!</definedName>
    <definedName name="PAGE4" localSheetId="8">'PP&amp;E by Accts by Type B-2.1a'!#REF!</definedName>
    <definedName name="PAGE4">#REF!</definedName>
    <definedName name="PAGE5" localSheetId="15">'[13]B-2.3'!#REF!</definedName>
    <definedName name="PAGE5" localSheetId="16">'[13]B-2.3'!#REF!</definedName>
    <definedName name="PAGE5" localSheetId="18">'[13]B-2.3'!#REF!</definedName>
    <definedName name="PAGE5" localSheetId="17">'[13]B-2.3'!#REF!</definedName>
    <definedName name="PAGE5" localSheetId="47">'[14]B-2.3'!#REF!</definedName>
    <definedName name="PAGE5" localSheetId="48">'[14]B-2.3'!#REF!</definedName>
    <definedName name="PAGE5" localSheetId="10">'PP&amp;E Add. Retire. Trans. B-2.3'!#REF!</definedName>
    <definedName name="PAGE5">'[14]B-2.3'!#REF!</definedName>
    <definedName name="PAGE6" localSheetId="15">'[13]B-2.3'!#REF!</definedName>
    <definedName name="PAGE6" localSheetId="16">'[13]B-2.3'!#REF!</definedName>
    <definedName name="PAGE6" localSheetId="18">'[13]B-2.3'!#REF!</definedName>
    <definedName name="PAGE6" localSheetId="17">'[13]B-2.3'!#REF!</definedName>
    <definedName name="PAGE6" localSheetId="47">'[14]B-2.3'!#REF!</definedName>
    <definedName name="PAGE6" localSheetId="48">'[14]B-2.3'!#REF!</definedName>
    <definedName name="PAGE6" localSheetId="10">'PP&amp;E Add. Retire. Trans. B-2.3'!#REF!</definedName>
    <definedName name="PAGE6">'[14]B-2.3'!#REF!</definedName>
    <definedName name="penalty">#REF!</definedName>
    <definedName name="PerInvoiceLookup">OFFSET('[4]% Invoice'!$A$1,0,0,COUNTA('[4]% Invoice'!$A$1:$A$65536),COUNTA('[4]% Invoice'!$A$1:$IV$1))</definedName>
    <definedName name="pook">#REF!</definedName>
    <definedName name="PRINT">#REF!</definedName>
    <definedName name="_xlnm.Print_Area" localSheetId="31">'Acct. 190'!$A$1:$N$33</definedName>
    <definedName name="_xlnm.Print_Area" localSheetId="29">'Acct. 282 pg 1'!$A$1:$R$33</definedName>
    <definedName name="_xlnm.Print_Area" localSheetId="15">'Accum Depr &amp; Amort Summary B-3'!$A$1:$Q$92</definedName>
    <definedName name="_xlnm.Print_Area" localSheetId="37">'Adj to Operating Income Index D'!$A$1:$C$23</definedName>
    <definedName name="_xlnm.Print_Area" localSheetId="9">'Adj to PP&amp;E B-2.2'!$A$1:$O$17</definedName>
    <definedName name="_xlnm.Print_Area" localSheetId="16">'Adj. to Accum Dep &amp; Amort B-3.1'!$A$1:$O$18</definedName>
    <definedName name="_xlnm.Print_Area" localSheetId="19">'Allowance for Work Capital B-5'!$A$1:$L$25</definedName>
    <definedName name="_xlnm.Print_Area" localSheetId="39">'Ann of Sales Rev D-2.1, Sht 1-6'!$A$1:$G$236</definedName>
    <definedName name="_xlnm.Print_Area" localSheetId="34">'Attachment CYL - 1'!$A$1:$F$64</definedName>
    <definedName name="_xlnm.Print_Area" localSheetId="71">'Avg Base Period  Cap Str J-1.1'!$A$1:$M$31</definedName>
    <definedName name="_xlnm.Print_Area" localSheetId="23">'B-7'!$A$1:$I$16</definedName>
    <definedName name="_xlnm.Print_Area" localSheetId="24">'B-7.1'!$A$1:$M$18</definedName>
    <definedName name="_xlnm.Print_Area" localSheetId="25">'B-7.2'!$A$1:$L$18</definedName>
    <definedName name="_xlnm.Print_Area" localSheetId="42">'Benefits Adj D-2.4'!$A$1:$U$47</definedName>
    <definedName name="_xlnm.Print_Area" localSheetId="41">'Bonus Accrual-Incen Comp  D-2.3'!$A$1:$E$34</definedName>
    <definedName name="_xlnm.Print_Area" localSheetId="26">'Comparative Bal Sheets B-8'!$A$1:$N$91</definedName>
    <definedName name="_xlnm.Print_Area" localSheetId="53">'Corporate Insurance  D-2.9'!$A$1:$I$37</definedName>
    <definedName name="_xlnm.Print_Area" localSheetId="69">'Cost of Capital Index J'!$A$1:$D$25</definedName>
    <definedName name="_xlnm.Print_Area" localSheetId="70">'Cost of Capital Summary J-1'!$A$1:$M$27</definedName>
    <definedName name="_xlnm.Print_Area" localSheetId="18">'CWIP B-4'!$A$1:$P$42</definedName>
    <definedName name="_xlnm.Print_Area" localSheetId="58">'D-3'!$A$1:$J$18</definedName>
    <definedName name="_xlnm.Print_Area" localSheetId="59">'D-4'!$A$1:$M$18</definedName>
    <definedName name="_xlnm.Print_Area" localSheetId="60">'D-5'!$A$1:$L$18</definedName>
    <definedName name="_xlnm.Print_Area" localSheetId="22">'Def Cr &amp; Accum Def Inc Tax B-6'!$A$1:$M$46</definedName>
    <definedName name="_xlnm.Print_Area" localSheetId="17">'Dep Accur Rates &amp; Acc Bal B-3.2'!$A$1:$S$84</definedName>
    <definedName name="_xlnm.Print_Area" localSheetId="44">'Depr Exp Adj D-2.6'!$A$1:$F$31</definedName>
    <definedName name="_xlnm.Print_Area" localSheetId="45">'Depr Exp Adj D-2.6 p2'!$A$1:$K$64</definedName>
    <definedName name="_xlnm.Print_Area" localSheetId="63">'Develop Fed &amp; State Inc Tax E-2'!$A$1:$K$20</definedName>
    <definedName name="_xlnm.Print_Area" localSheetId="73">'Embedded Cost of LTD J-3'!$A$1:$K$32</definedName>
    <definedName name="_xlnm.Print_Area" localSheetId="74">'Embedded Cost of Pre Stock J-4'!$A$1:$S$16</definedName>
    <definedName name="_xlnm.Print_Area" localSheetId="72">'Embedded Cost of STD J-2'!$A$1:$L$27</definedName>
    <definedName name="_xlnm.Print_Area" localSheetId="62">'Fed &amp; State Income Taxes E-1.1'!$A$1:$G$112</definedName>
    <definedName name="_xlnm.Print_Area" localSheetId="2">'Fin Sum Index A'!$A$1:$C$19</definedName>
    <definedName name="_xlnm.Print_Area" localSheetId="75">'Financial Data Index K'!$A$1:$D$22</definedName>
    <definedName name="_xlnm.Print_Area" localSheetId="67">'Gross Conversion Factor H-1'!$A$1:$H$31</definedName>
    <definedName name="_xlnm.Print_Area" localSheetId="66">'Gross Conversion Factor Index H'!$A$1:$D$21</definedName>
    <definedName name="_xlnm.Print_Area" localSheetId="61">'Income Taxes Index E'!$A$1:$C$21</definedName>
    <definedName name="_xlnm.Print_Area" localSheetId="40">'Labor Adj D-2.2'!$A$1:$F$39</definedName>
    <definedName name="_xlnm.Print_Area" localSheetId="12">'Leased Property B-2.5'!$A$1:$O$22</definedName>
    <definedName name="_xlnm.Print_Area" localSheetId="47">'NCSC D-2.8 p1'!$A$1:$K$43</definedName>
    <definedName name="_xlnm.Print_Area" localSheetId="48">'NCSC D-2.8 p2 '!$A$1:$E$28</definedName>
    <definedName name="_xlnm.Print_Area" localSheetId="49">'NCSC D-2.8 p3'!$A$1:$H$42</definedName>
    <definedName name="_xlnm.Print_Area" localSheetId="50">'NCSC D-2.8 p4'!$A$1:$H$27</definedName>
    <definedName name="_xlnm.Print_Area" localSheetId="52">'NCSC D-2.8 p6'!$A$1:$G$33</definedName>
    <definedName name="_xlnm.Print_Area" localSheetId="57">'Non-Recoverable D-2.13'!$A$1:$I$28</definedName>
    <definedName name="_xlnm.Print_Area" localSheetId="35">'Oper Rev&amp;Exp by Accts C2.1p1-2'!$A$1:$L$148</definedName>
    <definedName name="_xlnm.Print_Area" localSheetId="32">'Operating Income Sum Index C'!$A$1:$C$24</definedName>
    <definedName name="_xlnm.Print_Area" localSheetId="33">'Operating Income Summary C-1'!$A$1:$I$34</definedName>
    <definedName name="_xlnm.Print_Area" localSheetId="64">'Other Expenses Index F'!$A$1:$D$22</definedName>
    <definedName name="_xlnm.Print_Area" localSheetId="3">'Overall Fin Sum Sch-A'!$A$1:$G$47</definedName>
    <definedName name="_xlnm.Print_Area" localSheetId="65">'Payroll Cost Analysis Index G'!$A$1:$D$22</definedName>
    <definedName name="_xlnm.Print_Area" localSheetId="54">'Payroll Tax Adj D-2.10'!$A$1:$E$23</definedName>
    <definedName name="_xlnm.Print_Area" localSheetId="6">'Plant in Service B-2'!$A$1:$L$34</definedName>
    <definedName name="_xlnm.Print_Area" localSheetId="43">'Postage D-2.5'!$A$1:$F$34</definedName>
    <definedName name="_xlnm.Print_Area" localSheetId="7">'PP&amp;E  by Accounts B-2.1'!$A$1:$O$88</definedName>
    <definedName name="_xlnm.Print_Area" localSheetId="10">'PP&amp;E Add. Retire. Trans. B-2.3'!$A$1:$S$131</definedName>
    <definedName name="_xlnm.Print_Area" localSheetId="8">'PP&amp;E by Accts by Type B-2.1a'!$A$1:$O$87</definedName>
    <definedName name="_xlnm.Print_Area" localSheetId="11">'PP&amp;E Prop Merged Acquired B-2.4'!$A$1:$Q$17</definedName>
    <definedName name="_xlnm.Print_Area" localSheetId="14">'Property Excluded B-2.7'!$A$1:$U$19</definedName>
    <definedName name="_xlnm.Print_Area" localSheetId="13">'Property for Future Use B-2.6'!$A$1:$W$18</definedName>
    <definedName name="_xlnm.Print_Area" localSheetId="55">'Property Tax Adj D-2.11'!$A$1:$H$55</definedName>
    <definedName name="_xlnm.Print_Area" localSheetId="4">'Rate Base Index B'!$A$1:$C$39</definedName>
    <definedName name="_xlnm.Print_Area" localSheetId="46">'Rate Case Expense D-2.7'!$A$1:$F$39</definedName>
    <definedName name="_xlnm.Print_Area" localSheetId="76">'Rates &amp; Tariffs Index L'!$A$1:$D$22</definedName>
    <definedName name="_xlnm.Print_Area" localSheetId="77">'Sch. L'!$A$1:$H$14</definedName>
    <definedName name="_xlnm.Print_Area" localSheetId="68">'Statisical Data Index I'!$A$1:$D$24</definedName>
    <definedName name="_xlnm.Print_Area" localSheetId="38">'Sum Adj  Oper Inc D-1, Sht 1-2'!$A$1:$R$118</definedName>
    <definedName name="_xlnm.Print_Area" localSheetId="36">'Total Co Accts Activ C2.2p1-11'!$A$1:$O$483</definedName>
    <definedName name="_xlnm.Print_Area" localSheetId="20">'WC Comp 13 Mon Avg Bal B-5.1'!$A$1:$O$24</definedName>
    <definedName name="_xlnm.Print_Area" localSheetId="21">'WC Comp 1-8 O&amp;M Exp  B-5.2'!$A$1:$I$31</definedName>
    <definedName name="_xlnm.Print_Area" localSheetId="27">'WPB-5.1 MIS WC'!$A$1:$K$144</definedName>
    <definedName name="_xlnm.Print_Area" localSheetId="28">'WPB-6 Acct. 101, 252, 255, 283'!$A$1:$I$33</definedName>
    <definedName name="Print_Area_MI" localSheetId="31">'Acct. 190'!$A$4:$M$32</definedName>
    <definedName name="Print_Area_MI" localSheetId="29">'Acct. 282 pg 1'!$A$4:$I$31</definedName>
    <definedName name="Print_Area_MI" localSheetId="15">'Accum Depr &amp; Amort Summary B-3'!$A$1:$Q$92</definedName>
    <definedName name="Print_Area_MI" localSheetId="9">'Adj to PP&amp;E B-2.2'!#REF!</definedName>
    <definedName name="Print_Area_MI" localSheetId="16">'Adj. to Accum Dep &amp; Amort B-3.1'!$A$1:$O$35</definedName>
    <definedName name="Print_Area_MI" localSheetId="19">'Allowance for Work Capital B-5'!#REF!</definedName>
    <definedName name="Print_Area_MI" localSheetId="23">'B-7'!#REF!</definedName>
    <definedName name="Print_Area_MI" localSheetId="26">'Comparative Bal Sheets B-8'!$A$44:$O$93</definedName>
    <definedName name="Print_Area_MI" localSheetId="69">'Cost of Capital Index J'!$A$1:$H$24</definedName>
    <definedName name="Print_Area_MI" localSheetId="18">'CWIP B-4'!#REF!</definedName>
    <definedName name="Print_Area_MI" localSheetId="58">'D-3'!$A$1:$H$19</definedName>
    <definedName name="Print_Area_MI" localSheetId="22">'Def Cr &amp; Accum Def Inc Tax B-6'!#REF!</definedName>
    <definedName name="Print_Area_MI" localSheetId="17">'Dep Accur Rates &amp; Acc Bal B-3.2'!$A$1:$S$179</definedName>
    <definedName name="Print_Area_MI" localSheetId="63">'Develop Fed &amp; State Inc Tax E-2'!$A$1:$M$24</definedName>
    <definedName name="Print_Area_MI" localSheetId="2">'Fin Sum Index A'!$A$1:$N$38</definedName>
    <definedName name="Print_Area_MI" localSheetId="75">'Financial Data Index K'!$A$1:$L$42</definedName>
    <definedName name="Print_Area_MI" localSheetId="67">'Gross Conversion Factor H-1'!$A$1:$M$31</definedName>
    <definedName name="Print_Area_MI" localSheetId="66">'Gross Conversion Factor Index H'!$A$1:$G$20</definedName>
    <definedName name="Print_Area_MI" localSheetId="61">'Income Taxes Index E'!$A$1:$N$39</definedName>
    <definedName name="Print_Area_MI" localSheetId="12">'Leased Property B-2.5'!#REF!</definedName>
    <definedName name="Print_Area_MI" localSheetId="64">'Other Expenses Index F'!$A$1:$H$44</definedName>
    <definedName name="Print_Area_MI" localSheetId="3">'Overall Fin Sum Sch-A'!$A$1:$K$47</definedName>
    <definedName name="Print_Area_MI" localSheetId="65">'Payroll Cost Analysis Index G'!$A$1:$L$42</definedName>
    <definedName name="Print_Area_MI" localSheetId="6">'Plant in Service B-2'!#REF!</definedName>
    <definedName name="Print_Area_MI" localSheetId="7">'PP&amp;E  by Accounts B-2.1'!#REF!</definedName>
    <definedName name="Print_Area_MI" localSheetId="10">'PP&amp;E Add. Retire. Trans. B-2.3'!#REF!</definedName>
    <definedName name="Print_Area_MI" localSheetId="8">'PP&amp;E by Accts by Type B-2.1a'!#REF!</definedName>
    <definedName name="Print_Area_MI" localSheetId="11">'PP&amp;E Prop Merged Acquired B-2.4'!#REF!</definedName>
    <definedName name="Print_Area_MI" localSheetId="14">'Property Excluded B-2.7'!#REF!</definedName>
    <definedName name="Print_Area_MI" localSheetId="13">'Property for Future Use B-2.6'!#REF!</definedName>
    <definedName name="Print_Area_MI" localSheetId="4">'Rate Base Index B'!$A$1:$N$39</definedName>
    <definedName name="Print_Area_MI" localSheetId="5">'Rate Base Summary Sch B-1'!#REF!</definedName>
    <definedName name="Print_Area_MI" localSheetId="76">'Rates &amp; Tariffs Index L'!$A$1:$L$40</definedName>
    <definedName name="Print_Area_MI" localSheetId="68">'Statisical Data Index I'!$A$1:$G$26</definedName>
    <definedName name="Print_Area_MI" localSheetId="20">'WC Comp 13 Mon Avg Bal B-5.1'!#REF!</definedName>
    <definedName name="Print_Area_MI" localSheetId="21">'WC Comp 1-8 O&amp;M Exp  B-5.2'!#REF!</definedName>
    <definedName name="Print_Area_MI" localSheetId="27">'WPB-5.1 MIS WC'!$B$1:$I$76</definedName>
    <definedName name="Print_Area_MI">'Operating Income Sum Index C'!$A$1:$N$39</definedName>
    <definedName name="productlist">'[15]Product List'!$A$1:$E$23153</definedName>
    <definedName name="qryFTECategbyCountry">#REF!</definedName>
    <definedName name="Quest">#REF!</definedName>
    <definedName name="rates">#REF!</definedName>
    <definedName name="_xlnm.Recorder">#REF!</definedName>
    <definedName name="RefFunction">[7]Assumptions!$F$34:$F$39</definedName>
    <definedName name="RefGrade">[7]Assumptions!$F$7:$F$16</definedName>
    <definedName name="RefJobTitle">[7]Assumptions!$F$18:$F$31</definedName>
    <definedName name="RISK">#REF!</definedName>
    <definedName name="Rollups">#REF!</definedName>
    <definedName name="SCHEDA">'Overall Fin Sum Sch-A'!$A$1:$K$47</definedName>
    <definedName name="SGA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aryTable">#REF!</definedName>
    <definedName name="Teldata">#REF!</definedName>
    <definedName name="TEMP">#REF!</definedName>
    <definedName name="test">'[10]Input Sheet'!#REF!</definedName>
    <definedName name="test1">'[10]Input Sheet'!#REF!</definedName>
    <definedName name="tol">0.001</definedName>
    <definedName name="Totals">'[16]Complete Listing incl LCN'!#REF!</definedName>
    <definedName name="usd">[17]Assumptions!$C$13</definedName>
    <definedName name="USF">#REF!</definedName>
    <definedName name="WorkingDaysPerYear">210</definedName>
    <definedName name="Xref">'[18]xref acct'!$A$3:$C$167</definedName>
  </definedNames>
  <calcPr calcId="152511" iterate="1"/>
</workbook>
</file>

<file path=xl/calcChain.xml><?xml version="1.0" encoding="utf-8"?>
<calcChain xmlns="http://schemas.openxmlformats.org/spreadsheetml/2006/main">
  <c r="F34" i="3" l="1"/>
  <c r="F32" i="3" l="1"/>
  <c r="F30" i="3" l="1"/>
  <c r="E58" i="3" l="1"/>
  <c r="E59" i="3" s="1"/>
  <c r="F57" i="3"/>
  <c r="F56" i="3"/>
  <c r="F55" i="3"/>
  <c r="F58" i="3" l="1"/>
  <c r="F59" i="3" s="1"/>
  <c r="F60" i="3" s="1"/>
  <c r="E60" i="3"/>
  <c r="E51" i="3"/>
  <c r="F20" i="3"/>
  <c r="F61" i="3" l="1"/>
  <c r="F62" i="3" s="1"/>
  <c r="F63" i="3" s="1"/>
  <c r="F43" i="3" s="1"/>
  <c r="E61" i="3"/>
  <c r="E62" i="3" s="1"/>
  <c r="E63" i="3" s="1"/>
  <c r="A15" i="3"/>
  <c r="A16" i="3" s="1"/>
  <c r="F51" i="3"/>
  <c r="G16" i="53"/>
  <c r="E20" i="53"/>
  <c r="F52" i="3" l="1"/>
  <c r="F37" i="3" s="1"/>
  <c r="A17" i="3"/>
  <c r="A18" i="3" s="1"/>
  <c r="A19" i="3" s="1"/>
  <c r="A20" i="3" s="1"/>
  <c r="A21" i="3" l="1"/>
  <c r="A22" i="3" s="1"/>
  <c r="A23" i="3" s="1"/>
  <c r="G27" i="18"/>
  <c r="E28" i="53"/>
  <c r="E15" i="75"/>
  <c r="A25" i="3" l="1"/>
  <c r="A27" i="3" s="1"/>
  <c r="A30" i="3" s="1"/>
  <c r="A32" i="3" s="1"/>
  <c r="A34" i="3" s="1"/>
  <c r="A37" i="3" l="1"/>
  <c r="A39" i="3" s="1"/>
  <c r="A41" i="3" s="1"/>
  <c r="A43" i="3" s="1"/>
  <c r="A45" i="3" s="1"/>
  <c r="A49" i="3" s="1"/>
  <c r="K143" i="102" l="1"/>
  <c r="A50" i="3" l="1"/>
  <c r="A51" i="3" s="1"/>
  <c r="A52" i="3" s="1"/>
  <c r="A55" i="3" s="1"/>
  <c r="A56" i="3" s="1"/>
  <c r="A57" i="3" s="1"/>
  <c r="A58" i="3" s="1"/>
  <c r="A59" i="3" s="1"/>
  <c r="A60" i="3" s="1"/>
  <c r="A61" i="3" s="1"/>
  <c r="A62" i="3" s="1"/>
  <c r="A63" i="3" s="1"/>
  <c r="F22" i="3"/>
  <c r="F18" i="3"/>
  <c r="F16" i="3"/>
  <c r="F13" i="3"/>
  <c r="G21" i="18" l="1"/>
  <c r="G37" i="18"/>
  <c r="H30" i="58"/>
  <c r="H21" i="58"/>
  <c r="H23" i="58" s="1"/>
  <c r="H19" i="58"/>
  <c r="A41" i="18"/>
  <c r="A39" i="18"/>
  <c r="A37" i="18"/>
  <c r="H25" i="58" l="1"/>
  <c r="H27" i="58" s="1"/>
  <c r="H33" i="99"/>
  <c r="A37" i="8"/>
  <c r="A90" i="102"/>
  <c r="A91" i="102" s="1"/>
  <c r="A92" i="102" s="1"/>
  <c r="A93" i="102" s="1"/>
  <c r="A94" i="102" s="1"/>
  <c r="A95" i="102" s="1"/>
  <c r="A96" i="102" s="1"/>
  <c r="A97" i="102" s="1"/>
  <c r="A98" i="102" s="1"/>
  <c r="A99" i="102" s="1"/>
  <c r="A100" i="102" s="1"/>
  <c r="A101" i="102" s="1"/>
  <c r="A102" i="102" s="1"/>
  <c r="A103" i="102" s="1"/>
  <c r="A104" i="102" s="1"/>
  <c r="A105" i="102" s="1"/>
  <c r="A106" i="102" s="1"/>
  <c r="A107" i="102" s="1"/>
  <c r="A108" i="102" s="1"/>
  <c r="A109" i="102" s="1"/>
  <c r="A110" i="102" s="1"/>
  <c r="A111" i="102" s="1"/>
  <c r="A112" i="102" s="1"/>
  <c r="A113" i="102" s="1"/>
  <c r="A115" i="102" s="1"/>
  <c r="M33" i="71"/>
  <c r="K16" i="74"/>
  <c r="O16" i="74" s="1"/>
  <c r="F22" i="40"/>
  <c r="F28" i="40" s="1"/>
  <c r="F30" i="40" s="1"/>
  <c r="F34" i="40" s="1"/>
  <c r="F38" i="40" s="1"/>
  <c r="I21" i="108"/>
  <c r="P98" i="32"/>
  <c r="I22" i="108"/>
  <c r="I23" i="108"/>
  <c r="P99" i="32" s="1"/>
  <c r="I24" i="108"/>
  <c r="I25" i="108"/>
  <c r="G26" i="108"/>
  <c r="F25" i="108"/>
  <c r="F22" i="108"/>
  <c r="F23" i="108"/>
  <c r="F24" i="108"/>
  <c r="F21" i="108"/>
  <c r="F20" i="108"/>
  <c r="A21" i="108"/>
  <c r="A22" i="108" s="1"/>
  <c r="A23" i="108" s="1"/>
  <c r="A24" i="108" s="1"/>
  <c r="A25" i="108" s="1"/>
  <c r="A26" i="108" s="1"/>
  <c r="E25" i="95"/>
  <c r="A19" i="95"/>
  <c r="A20" i="95"/>
  <c r="A21" i="95" s="1"/>
  <c r="A22" i="95" s="1"/>
  <c r="A23" i="95" s="1"/>
  <c r="A24" i="95" s="1"/>
  <c r="A25" i="95" s="1"/>
  <c r="G188" i="34"/>
  <c r="K66" i="71"/>
  <c r="K65" i="71"/>
  <c r="K78" i="71" s="1"/>
  <c r="F20" i="47" s="1"/>
  <c r="K64" i="71"/>
  <c r="G9" i="110"/>
  <c r="A4" i="110"/>
  <c r="A2" i="110"/>
  <c r="G9" i="109"/>
  <c r="A4" i="109"/>
  <c r="A2" i="109"/>
  <c r="H9" i="112"/>
  <c r="A4" i="112"/>
  <c r="A2" i="112"/>
  <c r="G9" i="111"/>
  <c r="A4" i="111"/>
  <c r="A2" i="111"/>
  <c r="E21" i="110"/>
  <c r="F21" i="110"/>
  <c r="G21" i="110"/>
  <c r="G23" i="110" s="1"/>
  <c r="F22" i="110"/>
  <c r="G22" i="110" s="1"/>
  <c r="G16" i="110"/>
  <c r="G17" i="110"/>
  <c r="G19" i="112"/>
  <c r="H19" i="112"/>
  <c r="H16" i="112"/>
  <c r="H21" i="112" s="1"/>
  <c r="G43" i="93" s="1"/>
  <c r="G16" i="111"/>
  <c r="G26" i="111" s="1"/>
  <c r="G27" i="111" s="1"/>
  <c r="G30" i="111" s="1"/>
  <c r="G17" i="111"/>
  <c r="G18" i="111" s="1"/>
  <c r="G20" i="111" s="1"/>
  <c r="G25" i="111"/>
  <c r="E18" i="111"/>
  <c r="E20" i="111"/>
  <c r="E26" i="111"/>
  <c r="E27" i="111" s="1"/>
  <c r="E30" i="111" s="1"/>
  <c r="D15" i="109"/>
  <c r="E15" i="109"/>
  <c r="F15" i="109" s="1"/>
  <c r="G15" i="109" s="1"/>
  <c r="H43" i="93" s="1"/>
  <c r="E43" i="93"/>
  <c r="C41" i="93"/>
  <c r="C38" i="93"/>
  <c r="C43" i="93" s="1"/>
  <c r="C23" i="93"/>
  <c r="R40" i="32"/>
  <c r="F32" i="40"/>
  <c r="I8" i="75"/>
  <c r="H22" i="63"/>
  <c r="J22" i="63"/>
  <c r="K15" i="62" s="1"/>
  <c r="G19" i="62"/>
  <c r="G27" i="62"/>
  <c r="I24" i="64"/>
  <c r="H36" i="32"/>
  <c r="G180" i="34"/>
  <c r="G181" i="34"/>
  <c r="G182" i="34"/>
  <c r="G184" i="34"/>
  <c r="G192" i="34"/>
  <c r="G197" i="34"/>
  <c r="H37" i="32"/>
  <c r="H38" i="32"/>
  <c r="H39" i="32"/>
  <c r="G115" i="34"/>
  <c r="G73" i="34"/>
  <c r="F26" i="32"/>
  <c r="G27" i="34"/>
  <c r="G20" i="34"/>
  <c r="G34" i="34"/>
  <c r="G41" i="34"/>
  <c r="G43" i="34"/>
  <c r="G45" i="34"/>
  <c r="F21" i="32" s="1"/>
  <c r="R80" i="32" s="1"/>
  <c r="G224" i="34"/>
  <c r="O37" i="42"/>
  <c r="Q37" i="42" s="1"/>
  <c r="H40" i="32"/>
  <c r="F121" i="4"/>
  <c r="J121" i="4"/>
  <c r="Q83" i="69"/>
  <c r="Q79" i="69"/>
  <c r="Q80" i="69"/>
  <c r="Q81" i="69"/>
  <c r="I81" i="69" s="1"/>
  <c r="I72" i="71" s="1"/>
  <c r="Q82" i="69"/>
  <c r="Q53" i="69"/>
  <c r="P16" i="72"/>
  <c r="P18" i="72" s="1"/>
  <c r="P17" i="72"/>
  <c r="P20" i="72"/>
  <c r="P21" i="72"/>
  <c r="P22" i="72"/>
  <c r="P23" i="72"/>
  <c r="P24" i="72"/>
  <c r="P25" i="72"/>
  <c r="P26" i="72"/>
  <c r="P27" i="72"/>
  <c r="P28" i="72"/>
  <c r="P29" i="72"/>
  <c r="P30" i="72"/>
  <c r="P31" i="72"/>
  <c r="P32" i="72"/>
  <c r="P33" i="72"/>
  <c r="P36" i="72"/>
  <c r="P37" i="72"/>
  <c r="P38" i="72"/>
  <c r="P40" i="72" s="1"/>
  <c r="P39" i="72"/>
  <c r="I12" i="76"/>
  <c r="M12" i="76"/>
  <c r="G30" i="20" s="1"/>
  <c r="I15" i="76"/>
  <c r="M15" i="76" s="1"/>
  <c r="I16" i="76"/>
  <c r="M16" i="76" s="1"/>
  <c r="I26" i="76"/>
  <c r="M26" i="76" s="1"/>
  <c r="I27" i="76"/>
  <c r="M27" i="76" s="1"/>
  <c r="I28" i="76"/>
  <c r="M28" i="76" s="1"/>
  <c r="I29" i="76"/>
  <c r="M29" i="76"/>
  <c r="I30" i="76"/>
  <c r="M30" i="76" s="1"/>
  <c r="I31" i="76"/>
  <c r="M31" i="76"/>
  <c r="I32" i="76"/>
  <c r="M32" i="76" s="1"/>
  <c r="I33" i="76"/>
  <c r="M33" i="76"/>
  <c r="I34" i="76"/>
  <c r="M34" i="76" s="1"/>
  <c r="I35" i="76"/>
  <c r="M35" i="76"/>
  <c r="I36" i="76"/>
  <c r="M36" i="76" s="1"/>
  <c r="I40" i="76"/>
  <c r="M40" i="76"/>
  <c r="M42" i="76" s="1"/>
  <c r="I41" i="76"/>
  <c r="M41" i="76" s="1"/>
  <c r="G150" i="34"/>
  <c r="H34" i="32"/>
  <c r="K35" i="86"/>
  <c r="I83" i="69"/>
  <c r="I74" i="71" s="1"/>
  <c r="I79" i="69"/>
  <c r="I70" i="71"/>
  <c r="I80" i="69"/>
  <c r="I71" i="71" s="1"/>
  <c r="I82" i="69"/>
  <c r="I73" i="71" s="1"/>
  <c r="E22" i="48"/>
  <c r="J103" i="32" s="1"/>
  <c r="R103" i="32" s="1"/>
  <c r="A24" i="64"/>
  <c r="A26" i="64"/>
  <c r="I15" i="64"/>
  <c r="I16" i="64"/>
  <c r="I17" i="64"/>
  <c r="I18" i="64"/>
  <c r="I19" i="64"/>
  <c r="I20" i="64"/>
  <c r="E22" i="64"/>
  <c r="E26" i="64" s="1"/>
  <c r="A16" i="64"/>
  <c r="A17" i="64"/>
  <c r="A18" i="64" s="1"/>
  <c r="A19" i="64" s="1"/>
  <c r="A20" i="64" s="1"/>
  <c r="E31" i="46"/>
  <c r="I31" i="46" s="1"/>
  <c r="G31" i="46"/>
  <c r="E24" i="46"/>
  <c r="A128" i="102"/>
  <c r="A129" i="102" s="1"/>
  <c r="A130" i="102" s="1"/>
  <c r="A131" i="102" s="1"/>
  <c r="A132" i="102" s="1"/>
  <c r="A133" i="102" s="1"/>
  <c r="A134" i="102" s="1"/>
  <c r="A135" i="102" s="1"/>
  <c r="A136" i="102" s="1"/>
  <c r="A137" i="102" s="1"/>
  <c r="A138" i="102" s="1"/>
  <c r="A139" i="102" s="1"/>
  <c r="A140" i="102" s="1"/>
  <c r="A141" i="102" s="1"/>
  <c r="A143" i="102" s="1"/>
  <c r="H90" i="102"/>
  <c r="I90" i="102"/>
  <c r="H92" i="102"/>
  <c r="I92" i="102"/>
  <c r="E93" i="102"/>
  <c r="H93" i="102" s="1"/>
  <c r="D93" i="102"/>
  <c r="I93" i="102"/>
  <c r="H94" i="102"/>
  <c r="I94" i="102"/>
  <c r="D95" i="102"/>
  <c r="H95" i="102"/>
  <c r="H96" i="102"/>
  <c r="I96" i="102"/>
  <c r="D97" i="102"/>
  <c r="H97" i="102" s="1"/>
  <c r="H98" i="102"/>
  <c r="I98" i="102"/>
  <c r="H100" i="102"/>
  <c r="I100" i="102"/>
  <c r="H102" i="102"/>
  <c r="I102" i="102"/>
  <c r="H104" i="102"/>
  <c r="I104" i="102"/>
  <c r="H106" i="102"/>
  <c r="I106" i="102"/>
  <c r="H108" i="102"/>
  <c r="I108" i="102"/>
  <c r="H110" i="102"/>
  <c r="I110" i="102"/>
  <c r="H112" i="102"/>
  <c r="I112" i="102"/>
  <c r="F90" i="102"/>
  <c r="F92" i="102" s="1"/>
  <c r="F94" i="102" s="1"/>
  <c r="F96" i="102" s="1"/>
  <c r="F98" i="102" s="1"/>
  <c r="F100" i="102" s="1"/>
  <c r="F102" i="102" s="1"/>
  <c r="F104" i="102" s="1"/>
  <c r="F106" i="102" s="1"/>
  <c r="F108" i="102" s="1"/>
  <c r="E119" i="102"/>
  <c r="E117" i="102"/>
  <c r="F130" i="102"/>
  <c r="F131" i="102" s="1"/>
  <c r="F132" i="102" s="1"/>
  <c r="F133" i="102" s="1"/>
  <c r="F134" i="102" s="1"/>
  <c r="F135" i="102" s="1"/>
  <c r="F136" i="102" s="1"/>
  <c r="F137" i="102" s="1"/>
  <c r="F138" i="102" s="1"/>
  <c r="F139" i="102" s="1"/>
  <c r="F140" i="102" s="1"/>
  <c r="F141" i="102" s="1"/>
  <c r="G88" i="102"/>
  <c r="I26" i="108"/>
  <c r="I10" i="108"/>
  <c r="A5" i="108"/>
  <c r="A2" i="108"/>
  <c r="A19" i="99"/>
  <c r="A20" i="99" s="1"/>
  <c r="A21" i="99" s="1"/>
  <c r="A22" i="99" s="1"/>
  <c r="A23" i="99" s="1"/>
  <c r="A24" i="99" s="1"/>
  <c r="A26" i="99" s="1"/>
  <c r="A27" i="99" s="1"/>
  <c r="A28" i="99" s="1"/>
  <c r="A29" i="99" s="1"/>
  <c r="A30" i="99" s="1"/>
  <c r="A32" i="99" s="1"/>
  <c r="A33" i="99" s="1"/>
  <c r="A34" i="99" s="1"/>
  <c r="A36" i="99" s="1"/>
  <c r="A38" i="99" s="1"/>
  <c r="A40" i="99" s="1"/>
  <c r="A42" i="99" s="1"/>
  <c r="A43" i="99" s="1"/>
  <c r="A44" i="99" s="1"/>
  <c r="A45" i="99" s="1"/>
  <c r="A47" i="99" s="1"/>
  <c r="A48" i="99" s="1"/>
  <c r="A49" i="99" s="1"/>
  <c r="A50" i="99" s="1"/>
  <c r="A51" i="99" s="1"/>
  <c r="A53" i="99" s="1"/>
  <c r="A54" i="99" s="1"/>
  <c r="A55" i="99" s="1"/>
  <c r="E27" i="99"/>
  <c r="E55" i="99"/>
  <c r="H55" i="99" s="1"/>
  <c r="G29" i="99" s="1"/>
  <c r="I51" i="102"/>
  <c r="E21" i="99" s="1"/>
  <c r="I25" i="102"/>
  <c r="E16" i="74" s="1"/>
  <c r="I16" i="74" s="1"/>
  <c r="E51" i="99"/>
  <c r="H51" i="99"/>
  <c r="G23" i="99" s="1"/>
  <c r="I24" i="46"/>
  <c r="E22" i="43"/>
  <c r="H63" i="102"/>
  <c r="H64" i="102"/>
  <c r="D65" i="102" s="1"/>
  <c r="H65" i="102"/>
  <c r="H66" i="102"/>
  <c r="D67" i="102" s="1"/>
  <c r="H67" i="102"/>
  <c r="D68" i="102" s="1"/>
  <c r="F68" i="102" s="1"/>
  <c r="H68" i="102"/>
  <c r="H69" i="102"/>
  <c r="D70" i="102" s="1"/>
  <c r="H70" i="102"/>
  <c r="D71" i="102" s="1"/>
  <c r="H71" i="102"/>
  <c r="D72" i="102" s="1"/>
  <c r="F72" i="102" s="1"/>
  <c r="H72" i="102"/>
  <c r="H73" i="102"/>
  <c r="D74" i="102" s="1"/>
  <c r="H74" i="102"/>
  <c r="D75" i="102" s="1"/>
  <c r="H75" i="102"/>
  <c r="A22" i="93"/>
  <c r="A23" i="93"/>
  <c r="A25" i="93"/>
  <c r="A26" i="93" s="1"/>
  <c r="A27" i="93" s="1"/>
  <c r="A28" i="93" s="1"/>
  <c r="A29" i="93"/>
  <c r="A30" i="93" s="1"/>
  <c r="A31" i="93" s="1"/>
  <c r="A32" i="93" s="1"/>
  <c r="A33" i="93" s="1"/>
  <c r="A34" i="93" s="1"/>
  <c r="A35" i="93" s="1"/>
  <c r="A36" i="93" s="1"/>
  <c r="A37" i="93" s="1"/>
  <c r="A38" i="93" s="1"/>
  <c r="A40" i="93" s="1"/>
  <c r="A41" i="93" s="1"/>
  <c r="A43" i="93" s="1"/>
  <c r="K59" i="86"/>
  <c r="A24" i="86"/>
  <c r="A26" i="86" s="1"/>
  <c r="A27" i="86" s="1"/>
  <c r="A28" i="86" s="1"/>
  <c r="A29" i="86" s="1"/>
  <c r="A30" i="86" s="1"/>
  <c r="A31" i="86" s="1"/>
  <c r="A32" i="86" s="1"/>
  <c r="A33" i="86" s="1"/>
  <c r="A34" i="86" s="1"/>
  <c r="A35" i="86"/>
  <c r="A36" i="86" s="1"/>
  <c r="A37" i="86" s="1"/>
  <c r="A38" i="86" s="1"/>
  <c r="A39" i="86" s="1"/>
  <c r="A40" i="86" s="1"/>
  <c r="A41" i="86" s="1"/>
  <c r="A42" i="86" s="1"/>
  <c r="A43" i="86" s="1"/>
  <c r="A44" i="86" s="1"/>
  <c r="A45" i="86" s="1"/>
  <c r="A46" i="86" s="1"/>
  <c r="A47" i="86" s="1"/>
  <c r="A48" i="86" s="1"/>
  <c r="A49" i="86" s="1"/>
  <c r="A50" i="86" s="1"/>
  <c r="A51" i="86" s="1"/>
  <c r="A53" i="86" s="1"/>
  <c r="A54" i="86" s="1"/>
  <c r="A55" i="86" s="1"/>
  <c r="A56" i="86" s="1"/>
  <c r="A57" i="86" s="1"/>
  <c r="A58" i="86" s="1"/>
  <c r="A59" i="86" s="1"/>
  <c r="A60" i="86" s="1"/>
  <c r="A62" i="86" s="1"/>
  <c r="K27" i="86"/>
  <c r="K28" i="86"/>
  <c r="K29" i="86"/>
  <c r="K30" i="86"/>
  <c r="K31" i="86"/>
  <c r="K32" i="86"/>
  <c r="K33" i="86"/>
  <c r="K34" i="86"/>
  <c r="K36" i="86"/>
  <c r="K37" i="86"/>
  <c r="K38" i="86"/>
  <c r="K39" i="86"/>
  <c r="K40" i="86"/>
  <c r="K41" i="86"/>
  <c r="K42" i="86"/>
  <c r="K43" i="86"/>
  <c r="K44" i="86"/>
  <c r="K45" i="86"/>
  <c r="K46" i="86"/>
  <c r="K47" i="86"/>
  <c r="K48" i="86"/>
  <c r="K49" i="86"/>
  <c r="K50" i="86"/>
  <c r="K51" i="86"/>
  <c r="K55" i="86"/>
  <c r="K56" i="86"/>
  <c r="K57" i="86"/>
  <c r="K60" i="86"/>
  <c r="A17" i="72"/>
  <c r="A18" i="72"/>
  <c r="A20" i="72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6" i="72" s="1"/>
  <c r="A37" i="72" s="1"/>
  <c r="A38" i="72" s="1"/>
  <c r="A39" i="72" s="1"/>
  <c r="A40" i="72" s="1"/>
  <c r="A42" i="72" s="1"/>
  <c r="H32" i="72"/>
  <c r="L34" i="72"/>
  <c r="F24" i="107"/>
  <c r="F28" i="107" s="1"/>
  <c r="N99" i="32" s="1"/>
  <c r="A22" i="107"/>
  <c r="A24" i="107" s="1"/>
  <c r="A26" i="107"/>
  <c r="A28" i="107" s="1"/>
  <c r="F10" i="107"/>
  <c r="A5" i="107"/>
  <c r="A2" i="107"/>
  <c r="G64" i="71"/>
  <c r="G65" i="71"/>
  <c r="G66" i="71"/>
  <c r="G67" i="71"/>
  <c r="G68" i="71"/>
  <c r="G69" i="71"/>
  <c r="G70" i="71"/>
  <c r="G71" i="71"/>
  <c r="G72" i="71"/>
  <c r="G73" i="71"/>
  <c r="G74" i="71"/>
  <c r="G75" i="71"/>
  <c r="G76" i="71"/>
  <c r="G61" i="71"/>
  <c r="G62" i="71"/>
  <c r="M62" i="71"/>
  <c r="G21" i="71"/>
  <c r="M21" i="71" s="1"/>
  <c r="G22" i="71"/>
  <c r="G23" i="71"/>
  <c r="G24" i="71"/>
  <c r="M24" i="71" s="1"/>
  <c r="G25" i="71"/>
  <c r="G26" i="71"/>
  <c r="G27" i="71"/>
  <c r="G28" i="71"/>
  <c r="G29" i="71"/>
  <c r="M29" i="71" s="1"/>
  <c r="G34" i="71"/>
  <c r="G35" i="71"/>
  <c r="G36" i="71"/>
  <c r="G37" i="71"/>
  <c r="M37" i="71" s="1"/>
  <c r="G38" i="71"/>
  <c r="G39" i="71"/>
  <c r="G40" i="71"/>
  <c r="M40" i="71" s="1"/>
  <c r="G41" i="71"/>
  <c r="M41" i="71" s="1"/>
  <c r="G42" i="71"/>
  <c r="M42" i="71" s="1"/>
  <c r="G43" i="71"/>
  <c r="G44" i="71"/>
  <c r="G45" i="71"/>
  <c r="G46" i="71"/>
  <c r="M46" i="71" s="1"/>
  <c r="G47" i="71"/>
  <c r="M47" i="71" s="1"/>
  <c r="G18" i="71"/>
  <c r="G19" i="71"/>
  <c r="G13" i="71"/>
  <c r="G14" i="71"/>
  <c r="G15" i="71"/>
  <c r="G16" i="71"/>
  <c r="M71" i="71"/>
  <c r="M68" i="71"/>
  <c r="M67" i="71"/>
  <c r="M61" i="71"/>
  <c r="M45" i="71"/>
  <c r="M44" i="71"/>
  <c r="M43" i="71"/>
  <c r="M39" i="71"/>
  <c r="M38" i="71"/>
  <c r="M34" i="71"/>
  <c r="M35" i="71"/>
  <c r="M36" i="71"/>
  <c r="M30" i="71"/>
  <c r="M31" i="71"/>
  <c r="M32" i="71"/>
  <c r="M22" i="71"/>
  <c r="M23" i="71"/>
  <c r="M25" i="71"/>
  <c r="M26" i="71"/>
  <c r="M27" i="71"/>
  <c r="N50" i="80"/>
  <c r="N7" i="80"/>
  <c r="L8" i="83"/>
  <c r="M8" i="82"/>
  <c r="I8" i="77"/>
  <c r="O176" i="8"/>
  <c r="F47" i="4" s="1"/>
  <c r="A22" i="41"/>
  <c r="A24" i="41"/>
  <c r="A26" i="41" s="1"/>
  <c r="A28" i="41" s="1"/>
  <c r="A30" i="41" s="1"/>
  <c r="A32" i="41" s="1"/>
  <c r="F32" i="41"/>
  <c r="O8" i="74"/>
  <c r="L8" i="73"/>
  <c r="P8" i="72"/>
  <c r="A14" i="71"/>
  <c r="A15" i="71" s="1"/>
  <c r="A16" i="71" s="1"/>
  <c r="A18" i="71" s="1"/>
  <c r="A19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S55" i="71"/>
  <c r="S7" i="71"/>
  <c r="Q7" i="69"/>
  <c r="O7" i="70"/>
  <c r="U9" i="30"/>
  <c r="O8" i="28"/>
  <c r="S96" i="26"/>
  <c r="S56" i="26"/>
  <c r="S8" i="26"/>
  <c r="O8" i="25"/>
  <c r="O50" i="24"/>
  <c r="O8" i="24"/>
  <c r="A28" i="45"/>
  <c r="A18" i="45"/>
  <c r="A20" i="45" s="1"/>
  <c r="A22" i="45" s="1"/>
  <c r="A24" i="45" s="1"/>
  <c r="A26" i="45" s="1"/>
  <c r="F22" i="45"/>
  <c r="F24" i="45" s="1"/>
  <c r="F28" i="45" s="1"/>
  <c r="F32" i="45" s="1"/>
  <c r="N37" i="32" s="1"/>
  <c r="N46" i="32" s="1"/>
  <c r="O50" i="23"/>
  <c r="O8" i="23"/>
  <c r="L8" i="22"/>
  <c r="G8" i="20"/>
  <c r="Q8" i="27"/>
  <c r="W8" i="29"/>
  <c r="A20" i="48"/>
  <c r="A22" i="48" s="1"/>
  <c r="E27" i="43"/>
  <c r="E29" i="43" s="1"/>
  <c r="E33" i="43" s="1"/>
  <c r="J40" i="32" s="1"/>
  <c r="J46" i="32" s="1"/>
  <c r="A20" i="43"/>
  <c r="A24" i="43"/>
  <c r="A25" i="43" s="1"/>
  <c r="A26" i="43" s="1"/>
  <c r="A27" i="43" s="1"/>
  <c r="A29" i="43" s="1"/>
  <c r="A31" i="43" s="1"/>
  <c r="A33" i="43" s="1"/>
  <c r="M40" i="42"/>
  <c r="G40" i="42"/>
  <c r="S40" i="42" s="1"/>
  <c r="G22" i="42"/>
  <c r="F52" i="53"/>
  <c r="F48" i="53"/>
  <c r="F49" i="53" s="1"/>
  <c r="E84" i="53"/>
  <c r="E85" i="53"/>
  <c r="E89" i="53" s="1"/>
  <c r="E92" i="53"/>
  <c r="E103" i="53"/>
  <c r="E109" i="53"/>
  <c r="F86" i="53"/>
  <c r="A84" i="53"/>
  <c r="A85" i="53" s="1"/>
  <c r="A86" i="53"/>
  <c r="A87" i="53" s="1"/>
  <c r="A89" i="53" s="1"/>
  <c r="E28" i="46"/>
  <c r="E27" i="46"/>
  <c r="E25" i="46"/>
  <c r="K31" i="106"/>
  <c r="I31" i="106"/>
  <c r="G31" i="106"/>
  <c r="E31" i="106"/>
  <c r="C31" i="106"/>
  <c r="A4" i="106"/>
  <c r="A2" i="106"/>
  <c r="E28" i="105"/>
  <c r="I25" i="76"/>
  <c r="M25" i="76" s="1"/>
  <c r="E27" i="105"/>
  <c r="E26" i="105"/>
  <c r="E25" i="105"/>
  <c r="E24" i="105"/>
  <c r="E23" i="105"/>
  <c r="E21" i="105"/>
  <c r="E22" i="105"/>
  <c r="E20" i="105"/>
  <c r="E19" i="105"/>
  <c r="E18" i="105"/>
  <c r="E17" i="105"/>
  <c r="E16" i="105"/>
  <c r="C28" i="105"/>
  <c r="I24" i="76" s="1"/>
  <c r="M24" i="76" s="1"/>
  <c r="C27" i="105"/>
  <c r="C26" i="105"/>
  <c r="C25" i="105"/>
  <c r="C24" i="105"/>
  <c r="C23" i="105"/>
  <c r="C22" i="105"/>
  <c r="C21" i="105"/>
  <c r="C20" i="105"/>
  <c r="C19" i="105"/>
  <c r="C18" i="105"/>
  <c r="C17" i="105"/>
  <c r="C16" i="105"/>
  <c r="A14" i="76"/>
  <c r="A15" i="76"/>
  <c r="A16" i="76" s="1"/>
  <c r="A17" i="76"/>
  <c r="A18" i="76" s="1"/>
  <c r="A19" i="76" s="1"/>
  <c r="A20" i="76" s="1"/>
  <c r="I32" i="104"/>
  <c r="I18" i="76" s="1"/>
  <c r="M18" i="76" s="1"/>
  <c r="G32" i="104"/>
  <c r="I17" i="76" s="1"/>
  <c r="N145" i="8"/>
  <c r="N497" i="8"/>
  <c r="M162" i="8"/>
  <c r="M145" i="8"/>
  <c r="L145" i="8"/>
  <c r="L497" i="8"/>
  <c r="K145" i="8"/>
  <c r="K497" i="8" s="1"/>
  <c r="J145" i="8"/>
  <c r="J497" i="8"/>
  <c r="I145" i="8"/>
  <c r="I497" i="8" s="1"/>
  <c r="H162" i="8"/>
  <c r="H163" i="8"/>
  <c r="H145" i="8"/>
  <c r="G145" i="8"/>
  <c r="G497" i="8"/>
  <c r="F145" i="8"/>
  <c r="E145" i="8"/>
  <c r="E497" i="8" s="1"/>
  <c r="D145" i="8"/>
  <c r="D497" i="8"/>
  <c r="C145" i="8"/>
  <c r="C497" i="8" s="1"/>
  <c r="C29" i="8"/>
  <c r="C26" i="8"/>
  <c r="D29" i="8"/>
  <c r="E29" i="8"/>
  <c r="F29" i="8"/>
  <c r="G29" i="8"/>
  <c r="H29" i="8"/>
  <c r="I29" i="8"/>
  <c r="J29" i="8"/>
  <c r="K29" i="8"/>
  <c r="L29" i="8"/>
  <c r="M29" i="8"/>
  <c r="N29" i="8"/>
  <c r="D26" i="8"/>
  <c r="E26" i="8"/>
  <c r="F26" i="8"/>
  <c r="G26" i="8"/>
  <c r="H26" i="8"/>
  <c r="I26" i="8"/>
  <c r="J26" i="8"/>
  <c r="K26" i="8"/>
  <c r="L26" i="8"/>
  <c r="M26" i="8"/>
  <c r="N26" i="8"/>
  <c r="O23" i="8"/>
  <c r="F141" i="4"/>
  <c r="J141" i="4"/>
  <c r="O14" i="8"/>
  <c r="O17" i="8"/>
  <c r="O417" i="8"/>
  <c r="F122" i="4"/>
  <c r="O474" i="8"/>
  <c r="F131" i="4"/>
  <c r="J131" i="4"/>
  <c r="O469" i="8"/>
  <c r="F130" i="4" s="1"/>
  <c r="J130" i="4" s="1"/>
  <c r="O464" i="8"/>
  <c r="F129" i="4"/>
  <c r="J129" i="4" s="1"/>
  <c r="O459" i="8"/>
  <c r="F128" i="4"/>
  <c r="J128" i="4"/>
  <c r="O454" i="8"/>
  <c r="F127" i="4"/>
  <c r="J127" i="4"/>
  <c r="O449" i="8"/>
  <c r="F126" i="4" s="1"/>
  <c r="J126" i="4" s="1"/>
  <c r="O432" i="8"/>
  <c r="F125" i="4"/>
  <c r="J125" i="4" s="1"/>
  <c r="O427" i="8"/>
  <c r="F124" i="4"/>
  <c r="J124" i="4"/>
  <c r="O422" i="8"/>
  <c r="F123" i="4"/>
  <c r="J123" i="4"/>
  <c r="O407" i="8"/>
  <c r="F120" i="4" s="1"/>
  <c r="J120" i="4" s="1"/>
  <c r="O402" i="8"/>
  <c r="F116" i="4"/>
  <c r="J116" i="4" s="1"/>
  <c r="O385" i="8"/>
  <c r="F115" i="4"/>
  <c r="J115" i="4"/>
  <c r="O380" i="8"/>
  <c r="F114" i="4"/>
  <c r="J114" i="4"/>
  <c r="O375" i="8"/>
  <c r="F113" i="4" s="1"/>
  <c r="O370" i="8"/>
  <c r="F106" i="4"/>
  <c r="J106" i="4"/>
  <c r="O365" i="8"/>
  <c r="F105" i="4"/>
  <c r="J105" i="4"/>
  <c r="O360" i="8"/>
  <c r="F104" i="4" s="1"/>
  <c r="J104" i="4" s="1"/>
  <c r="O355" i="8"/>
  <c r="F103" i="4"/>
  <c r="O350" i="8"/>
  <c r="F96" i="4"/>
  <c r="J96" i="4"/>
  <c r="O334" i="8"/>
  <c r="F95" i="4" s="1"/>
  <c r="J95" i="4" s="1"/>
  <c r="O329" i="8"/>
  <c r="F94" i="4"/>
  <c r="J94" i="4" s="1"/>
  <c r="O324" i="8"/>
  <c r="F93" i="4"/>
  <c r="J93" i="4"/>
  <c r="O319" i="8"/>
  <c r="F92" i="4" s="1"/>
  <c r="O314" i="8"/>
  <c r="F75" i="4"/>
  <c r="J75" i="4" s="1"/>
  <c r="O309" i="8"/>
  <c r="F74" i="4"/>
  <c r="J74" i="4"/>
  <c r="O304" i="8"/>
  <c r="F73" i="4" s="1"/>
  <c r="J73" i="4" s="1"/>
  <c r="O287" i="8"/>
  <c r="F71" i="4" s="1"/>
  <c r="J71" i="4" s="1"/>
  <c r="O282" i="8"/>
  <c r="F70" i="4"/>
  <c r="J70" i="4" s="1"/>
  <c r="O277" i="8"/>
  <c r="F69" i="4" s="1"/>
  <c r="J69" i="4" s="1"/>
  <c r="O272" i="8"/>
  <c r="F68" i="4" s="1"/>
  <c r="J68" i="4" s="1"/>
  <c r="O267" i="8"/>
  <c r="F67" i="4" s="1"/>
  <c r="J67" i="4" s="1"/>
  <c r="O262" i="8"/>
  <c r="F63" i="4"/>
  <c r="J63" i="4" s="1"/>
  <c r="O257" i="8"/>
  <c r="F62" i="4" s="1"/>
  <c r="J62" i="4" s="1"/>
  <c r="O240" i="8"/>
  <c r="F61" i="4" s="1"/>
  <c r="J61" i="4" s="1"/>
  <c r="O234" i="8"/>
  <c r="F60" i="4" s="1"/>
  <c r="J60" i="4" s="1"/>
  <c r="O229" i="8"/>
  <c r="F58" i="4"/>
  <c r="J58" i="4" s="1"/>
  <c r="O224" i="8"/>
  <c r="F57" i="4" s="1"/>
  <c r="J57" i="4" s="1"/>
  <c r="O219" i="8"/>
  <c r="F56" i="4"/>
  <c r="J56" i="4" s="1"/>
  <c r="O214" i="8"/>
  <c r="F55" i="4" s="1"/>
  <c r="J55" i="4" s="1"/>
  <c r="O209" i="8"/>
  <c r="F54" i="4"/>
  <c r="O192" i="8"/>
  <c r="F50" i="4"/>
  <c r="J50" i="4" s="1"/>
  <c r="O186" i="8"/>
  <c r="F49" i="4" s="1"/>
  <c r="O181" i="8"/>
  <c r="F48" i="4" s="1"/>
  <c r="J48" i="4" s="1"/>
  <c r="O171" i="8"/>
  <c r="F46" i="4"/>
  <c r="J46" i="4" s="1"/>
  <c r="M166" i="8"/>
  <c r="M161" i="8"/>
  <c r="O161" i="8"/>
  <c r="F44" i="4" s="1"/>
  <c r="J44" i="4"/>
  <c r="C144" i="8"/>
  <c r="D144" i="8"/>
  <c r="D491" i="8" s="1"/>
  <c r="E144" i="8"/>
  <c r="E491" i="8" s="1"/>
  <c r="F144" i="8"/>
  <c r="F491" i="8" s="1"/>
  <c r="G144" i="8"/>
  <c r="H144" i="8"/>
  <c r="H491" i="8"/>
  <c r="I144" i="8"/>
  <c r="I491" i="8"/>
  <c r="J144" i="8"/>
  <c r="K144" i="8"/>
  <c r="L144" i="8"/>
  <c r="L491" i="8"/>
  <c r="M144" i="8"/>
  <c r="N144" i="8"/>
  <c r="O139" i="8"/>
  <c r="F38" i="4"/>
  <c r="J38" i="4" s="1"/>
  <c r="O134" i="8"/>
  <c r="F37" i="4" s="1"/>
  <c r="J37" i="4" s="1"/>
  <c r="O128" i="8"/>
  <c r="F36" i="4"/>
  <c r="J36" i="4" s="1"/>
  <c r="O123" i="8"/>
  <c r="F35" i="4" s="1"/>
  <c r="J35" i="4" s="1"/>
  <c r="O118" i="8"/>
  <c r="F34" i="4"/>
  <c r="O113" i="8"/>
  <c r="F27" i="4"/>
  <c r="J27" i="4" s="1"/>
  <c r="C92" i="8"/>
  <c r="D92" i="8"/>
  <c r="E92" i="8"/>
  <c r="F92" i="8"/>
  <c r="G92" i="8"/>
  <c r="H92" i="8"/>
  <c r="I92" i="8"/>
  <c r="J92" i="8"/>
  <c r="K92" i="8"/>
  <c r="L92" i="8"/>
  <c r="M92" i="8"/>
  <c r="N92" i="8"/>
  <c r="C95" i="8"/>
  <c r="D95" i="8"/>
  <c r="E95" i="8"/>
  <c r="F95" i="8"/>
  <c r="G95" i="8"/>
  <c r="H95" i="8"/>
  <c r="I95" i="8"/>
  <c r="J95" i="8"/>
  <c r="K95" i="8"/>
  <c r="L95" i="8"/>
  <c r="M95" i="8"/>
  <c r="N95" i="8"/>
  <c r="C98" i="8"/>
  <c r="D98" i="8"/>
  <c r="E98" i="8"/>
  <c r="F98" i="8"/>
  <c r="G98" i="8"/>
  <c r="H98" i="8"/>
  <c r="I98" i="8"/>
  <c r="J98" i="8"/>
  <c r="K98" i="8"/>
  <c r="L98" i="8"/>
  <c r="M98" i="8"/>
  <c r="N98" i="8"/>
  <c r="O89" i="8"/>
  <c r="F25" i="4" s="1"/>
  <c r="J25" i="4" s="1"/>
  <c r="O86" i="8"/>
  <c r="F24" i="4"/>
  <c r="J24" i="4" s="1"/>
  <c r="O83" i="8"/>
  <c r="F23" i="4" s="1"/>
  <c r="J23" i="4" s="1"/>
  <c r="C80" i="8"/>
  <c r="D80" i="8"/>
  <c r="E80" i="8"/>
  <c r="F80" i="8"/>
  <c r="G80" i="8"/>
  <c r="H80" i="8"/>
  <c r="I80" i="8"/>
  <c r="J80" i="8"/>
  <c r="K80" i="8"/>
  <c r="L80" i="8"/>
  <c r="M80" i="8"/>
  <c r="N80" i="8"/>
  <c r="C65" i="8"/>
  <c r="D65" i="8"/>
  <c r="E65" i="8"/>
  <c r="F65" i="8"/>
  <c r="G65" i="8"/>
  <c r="H65" i="8"/>
  <c r="I65" i="8"/>
  <c r="J65" i="8"/>
  <c r="K65" i="8"/>
  <c r="L65" i="8"/>
  <c r="M65" i="8"/>
  <c r="N65" i="8"/>
  <c r="O62" i="8"/>
  <c r="F16" i="4"/>
  <c r="N490" i="8"/>
  <c r="N492" i="8"/>
  <c r="C498" i="8"/>
  <c r="D498" i="8"/>
  <c r="E498" i="8"/>
  <c r="F498" i="8"/>
  <c r="G498" i="8"/>
  <c r="H498" i="8"/>
  <c r="I498" i="8"/>
  <c r="K498" i="8"/>
  <c r="L498" i="8"/>
  <c r="M498" i="8"/>
  <c r="N498" i="8"/>
  <c r="J498" i="8"/>
  <c r="M492" i="8"/>
  <c r="L492" i="8"/>
  <c r="K492" i="8"/>
  <c r="C492" i="8"/>
  <c r="D492" i="8"/>
  <c r="E492" i="8"/>
  <c r="F492" i="8"/>
  <c r="G492" i="8"/>
  <c r="H492" i="8"/>
  <c r="I492" i="8"/>
  <c r="J490" i="8"/>
  <c r="J492" i="8"/>
  <c r="C377" i="8"/>
  <c r="D377" i="8"/>
  <c r="E377" i="8"/>
  <c r="F377" i="8"/>
  <c r="G377" i="8"/>
  <c r="H377" i="8"/>
  <c r="I377" i="8"/>
  <c r="J377" i="8"/>
  <c r="K377" i="8"/>
  <c r="L377" i="8"/>
  <c r="M377" i="8"/>
  <c r="N377" i="8"/>
  <c r="O376" i="8"/>
  <c r="A44" i="71"/>
  <c r="A45" i="71" s="1"/>
  <c r="A46" i="71" s="1"/>
  <c r="A47" i="71" s="1"/>
  <c r="H490" i="8"/>
  <c r="G490" i="8"/>
  <c r="E490" i="8"/>
  <c r="F490" i="8"/>
  <c r="C490" i="8"/>
  <c r="D490" i="8"/>
  <c r="D63" i="102"/>
  <c r="A62" i="71"/>
  <c r="A64" i="71" s="1"/>
  <c r="A65" i="71" s="1"/>
  <c r="A66" i="71" s="1"/>
  <c r="A67" i="71" s="1"/>
  <c r="A68" i="71" s="1"/>
  <c r="A69" i="71" s="1"/>
  <c r="A70" i="71" s="1"/>
  <c r="A71" i="71" s="1"/>
  <c r="A72" i="71" s="1"/>
  <c r="A73" i="71" s="1"/>
  <c r="A74" i="71" s="1"/>
  <c r="A75" i="71" s="1"/>
  <c r="A76" i="71" s="1"/>
  <c r="A78" i="71" s="1"/>
  <c r="A81" i="71" s="1"/>
  <c r="A82" i="71" s="1"/>
  <c r="A83" i="71" s="1"/>
  <c r="A84" i="71" s="1"/>
  <c r="O74" i="24"/>
  <c r="G74" i="23"/>
  <c r="K74" i="23" s="1"/>
  <c r="O74" i="23" s="1"/>
  <c r="A13" i="23"/>
  <c r="A14" i="23"/>
  <c r="A15" i="23" s="1"/>
  <c r="A16" i="23" s="1"/>
  <c r="A17" i="23" s="1"/>
  <c r="A18" i="23" s="1"/>
  <c r="A20" i="23" s="1"/>
  <c r="A21" i="23" s="1"/>
  <c r="A22" i="23" s="1"/>
  <c r="A24" i="23" s="1"/>
  <c r="A25" i="23" s="1"/>
  <c r="A26" i="23" s="1"/>
  <c r="A27" i="23" s="1"/>
  <c r="A28" i="23" s="1"/>
  <c r="A29" i="23" s="1"/>
  <c r="A30" i="23" s="1"/>
  <c r="A31" i="23" s="1"/>
  <c r="A32" i="23"/>
  <c r="A33" i="23" s="1"/>
  <c r="A34" i="23" s="1"/>
  <c r="A35" i="23" s="1"/>
  <c r="A36" i="23" s="1"/>
  <c r="A37" i="23" s="1"/>
  <c r="A38" i="23" s="1"/>
  <c r="A39" i="23" s="1"/>
  <c r="A40" i="23" s="1"/>
  <c r="A41" i="23" s="1"/>
  <c r="K69" i="26"/>
  <c r="F136" i="4"/>
  <c r="F99" i="4"/>
  <c r="N61" i="80"/>
  <c r="L61" i="80"/>
  <c r="J61" i="80"/>
  <c r="I61" i="80"/>
  <c r="H61" i="80"/>
  <c r="F61" i="80"/>
  <c r="N18" i="80"/>
  <c r="N42" i="80" s="1"/>
  <c r="N33" i="80"/>
  <c r="L18" i="80"/>
  <c r="L33" i="80"/>
  <c r="J18" i="80"/>
  <c r="J42" i="80"/>
  <c r="J33" i="80"/>
  <c r="H18" i="80"/>
  <c r="H33" i="80"/>
  <c r="F18" i="80"/>
  <c r="F42" i="80" s="1"/>
  <c r="F33" i="80"/>
  <c r="D61" i="80"/>
  <c r="M32" i="104"/>
  <c r="I20" i="76" s="1"/>
  <c r="M20" i="76" s="1"/>
  <c r="K32" i="104"/>
  <c r="I19" i="76" s="1"/>
  <c r="M19" i="76" s="1"/>
  <c r="Q31" i="105"/>
  <c r="O31" i="105"/>
  <c r="M31" i="105"/>
  <c r="K31" i="105"/>
  <c r="I31" i="105"/>
  <c r="G31" i="105"/>
  <c r="A4" i="105"/>
  <c r="A2" i="105"/>
  <c r="E32" i="104"/>
  <c r="A4" i="104"/>
  <c r="A2" i="104"/>
  <c r="I32" i="103"/>
  <c r="G32" i="103"/>
  <c r="E32" i="103"/>
  <c r="A4" i="103"/>
  <c r="A2" i="103"/>
  <c r="C32" i="103"/>
  <c r="C32" i="104"/>
  <c r="E54" i="102"/>
  <c r="E79" i="102"/>
  <c r="E28" i="102"/>
  <c r="E2" i="102"/>
  <c r="F13" i="102"/>
  <c r="D14" i="102"/>
  <c r="F14" i="102" s="1"/>
  <c r="D15" i="102"/>
  <c r="F15" i="102" s="1"/>
  <c r="D16" i="102"/>
  <c r="F16" i="102" s="1"/>
  <c r="D17" i="102"/>
  <c r="F17" i="102" s="1"/>
  <c r="D18" i="102"/>
  <c r="F18" i="102" s="1"/>
  <c r="D19" i="102"/>
  <c r="F19" i="102" s="1"/>
  <c r="D20" i="102"/>
  <c r="F20" i="102" s="1"/>
  <c r="D21" i="102"/>
  <c r="F21" i="102" s="1"/>
  <c r="D22" i="102"/>
  <c r="F22" i="102" s="1"/>
  <c r="D23" i="102"/>
  <c r="F23" i="102" s="1"/>
  <c r="D24" i="102"/>
  <c r="F24" i="102" s="1"/>
  <c r="D25" i="102"/>
  <c r="F25" i="102" s="1"/>
  <c r="E30" i="102"/>
  <c r="F39" i="102"/>
  <c r="D40" i="102"/>
  <c r="F40" i="102" s="1"/>
  <c r="D41" i="102"/>
  <c r="F41" i="102" s="1"/>
  <c r="D42" i="102"/>
  <c r="F42" i="102" s="1"/>
  <c r="D43" i="102"/>
  <c r="F43" i="102" s="1"/>
  <c r="D44" i="102"/>
  <c r="F44" i="102" s="1"/>
  <c r="D45" i="102"/>
  <c r="F45" i="102" s="1"/>
  <c r="D46" i="102"/>
  <c r="F46" i="102" s="1"/>
  <c r="D47" i="102"/>
  <c r="F47" i="102" s="1"/>
  <c r="D48" i="102"/>
  <c r="F48" i="102" s="1"/>
  <c r="D49" i="102"/>
  <c r="F49" i="102" s="1"/>
  <c r="D50" i="102"/>
  <c r="F50" i="102" s="1"/>
  <c r="D51" i="102"/>
  <c r="F51" i="102" s="1"/>
  <c r="E81" i="102"/>
  <c r="E56" i="102"/>
  <c r="D66" i="102"/>
  <c r="F66" i="102" s="1"/>
  <c r="D69" i="102"/>
  <c r="D73" i="102"/>
  <c r="Q85" i="69"/>
  <c r="I85" i="69"/>
  <c r="I76" i="71" s="1"/>
  <c r="Q84" i="69"/>
  <c r="I84" i="69" s="1"/>
  <c r="I75" i="71" s="1"/>
  <c r="Q78" i="69"/>
  <c r="I78" i="69"/>
  <c r="I69" i="71" s="1"/>
  <c r="Q77" i="69"/>
  <c r="I77" i="69" s="1"/>
  <c r="I68" i="71" s="1"/>
  <c r="Q76" i="69"/>
  <c r="I76" i="69"/>
  <c r="Q75" i="69"/>
  <c r="I75" i="69" s="1"/>
  <c r="I66" i="71"/>
  <c r="Q74" i="69"/>
  <c r="I74" i="69"/>
  <c r="I65" i="71" s="1"/>
  <c r="Q73" i="69"/>
  <c r="Q69" i="69"/>
  <c r="I69" i="69"/>
  <c r="I62" i="71" s="1"/>
  <c r="Q68" i="69"/>
  <c r="I68" i="69" s="1"/>
  <c r="I61" i="71" s="1"/>
  <c r="Q67" i="69"/>
  <c r="I67" i="69"/>
  <c r="I47" i="71" s="1"/>
  <c r="Q66" i="69"/>
  <c r="I66" i="69" s="1"/>
  <c r="I46" i="71"/>
  <c r="Q65" i="69"/>
  <c r="I65" i="69"/>
  <c r="I45" i="71" s="1"/>
  <c r="Q64" i="69"/>
  <c r="I64" i="69" s="1"/>
  <c r="I44" i="71" s="1"/>
  <c r="Q63" i="69"/>
  <c r="I63" i="69"/>
  <c r="I43" i="71" s="1"/>
  <c r="Q62" i="69"/>
  <c r="I62" i="69" s="1"/>
  <c r="I42" i="71" s="1"/>
  <c r="Q61" i="69"/>
  <c r="I61" i="69"/>
  <c r="I41" i="71" s="1"/>
  <c r="Q60" i="69"/>
  <c r="I60" i="69" s="1"/>
  <c r="I40" i="71" s="1"/>
  <c r="Q59" i="69"/>
  <c r="I59" i="69"/>
  <c r="I39" i="71" s="1"/>
  <c r="Q43" i="69"/>
  <c r="I43" i="69" s="1"/>
  <c r="I37" i="71"/>
  <c r="Q42" i="69"/>
  <c r="I42" i="69"/>
  <c r="I36" i="71" s="1"/>
  <c r="Q41" i="69"/>
  <c r="I41" i="69" s="1"/>
  <c r="I35" i="71" s="1"/>
  <c r="Q40" i="69"/>
  <c r="I40" i="69"/>
  <c r="I34" i="71" s="1"/>
  <c r="Q38" i="69"/>
  <c r="I38" i="69" s="1"/>
  <c r="I29" i="71" s="1"/>
  <c r="Q37" i="69"/>
  <c r="I37" i="69"/>
  <c r="I28" i="71" s="1"/>
  <c r="Q36" i="69"/>
  <c r="I36" i="69" s="1"/>
  <c r="I27" i="71" s="1"/>
  <c r="Q35" i="69"/>
  <c r="I35" i="69"/>
  <c r="I26" i="71" s="1"/>
  <c r="Q34" i="69"/>
  <c r="I34" i="69" s="1"/>
  <c r="I25" i="71"/>
  <c r="Q33" i="69"/>
  <c r="I33" i="69"/>
  <c r="I24" i="71" s="1"/>
  <c r="Q32" i="69"/>
  <c r="I32" i="69" s="1"/>
  <c r="I23" i="71" s="1"/>
  <c r="Q31" i="69"/>
  <c r="I31" i="69"/>
  <c r="I22" i="71" s="1"/>
  <c r="Q30" i="69"/>
  <c r="I30" i="69" s="1"/>
  <c r="I21" i="71" s="1"/>
  <c r="Q24" i="69"/>
  <c r="I24" i="69"/>
  <c r="I19" i="71" s="1"/>
  <c r="Q23" i="69"/>
  <c r="I23" i="69" s="1"/>
  <c r="I18" i="71" s="1"/>
  <c r="Q18" i="69"/>
  <c r="I18" i="69" s="1"/>
  <c r="I16" i="71"/>
  <c r="Q17" i="69"/>
  <c r="I17" i="69"/>
  <c r="I15" i="71" s="1"/>
  <c r="Q16" i="69"/>
  <c r="I16" i="69" s="1"/>
  <c r="I14" i="71" s="1"/>
  <c r="Q15" i="69"/>
  <c r="I15" i="69"/>
  <c r="I13" i="71" s="1"/>
  <c r="Q14" i="69"/>
  <c r="I14" i="69" s="1"/>
  <c r="H9" i="68"/>
  <c r="A4" i="68"/>
  <c r="A2" i="68"/>
  <c r="C13" i="67"/>
  <c r="C11" i="67"/>
  <c r="C9" i="67"/>
  <c r="C13" i="66"/>
  <c r="C11" i="66"/>
  <c r="C9" i="66"/>
  <c r="S8" i="65"/>
  <c r="A4" i="65"/>
  <c r="A2" i="65"/>
  <c r="K8" i="64"/>
  <c r="A4" i="64"/>
  <c r="A2" i="64"/>
  <c r="L8" i="63"/>
  <c r="A4" i="63"/>
  <c r="A2" i="63"/>
  <c r="M8" i="62"/>
  <c r="A4" i="62"/>
  <c r="A2" i="62"/>
  <c r="M8" i="61"/>
  <c r="A4" i="61"/>
  <c r="A2" i="61"/>
  <c r="C15" i="60"/>
  <c r="C13" i="60"/>
  <c r="C11" i="60"/>
  <c r="C15" i="59"/>
  <c r="C13" i="59"/>
  <c r="C11" i="59"/>
  <c r="H8" i="58"/>
  <c r="A4" i="58"/>
  <c r="A2" i="58"/>
  <c r="C15" i="57"/>
  <c r="C13" i="57"/>
  <c r="C11" i="57"/>
  <c r="C13" i="56"/>
  <c r="C11" i="56"/>
  <c r="C9" i="56"/>
  <c r="C13" i="55"/>
  <c r="C11" i="55"/>
  <c r="C9" i="55"/>
  <c r="K8" i="54"/>
  <c r="A4" i="54"/>
  <c r="A2" i="54"/>
  <c r="G76" i="53"/>
  <c r="A72" i="53"/>
  <c r="A70" i="53"/>
  <c r="G8" i="53"/>
  <c r="A4" i="53"/>
  <c r="A2" i="53"/>
  <c r="C13" i="52"/>
  <c r="C11" i="52"/>
  <c r="C9" i="52"/>
  <c r="L10" i="85"/>
  <c r="A4" i="85"/>
  <c r="A2" i="85"/>
  <c r="M8" i="84"/>
  <c r="G4" i="84"/>
  <c r="G2" i="84"/>
  <c r="J10" i="49"/>
  <c r="A4" i="49"/>
  <c r="A2" i="49"/>
  <c r="H10" i="99"/>
  <c r="A5" i="99"/>
  <c r="A2" i="99"/>
  <c r="E10" i="48"/>
  <c r="A5" i="48"/>
  <c r="A2" i="48"/>
  <c r="I10" i="46"/>
  <c r="A5" i="46"/>
  <c r="A2" i="46"/>
  <c r="E9" i="95"/>
  <c r="A4" i="95"/>
  <c r="A2" i="95"/>
  <c r="K10" i="93"/>
  <c r="A5" i="93"/>
  <c r="A2" i="93"/>
  <c r="F10" i="40"/>
  <c r="A5" i="40"/>
  <c r="A2" i="40"/>
  <c r="K9" i="86"/>
  <c r="A5" i="86"/>
  <c r="A2" i="86"/>
  <c r="F10" i="47"/>
  <c r="A5" i="47"/>
  <c r="A2" i="47"/>
  <c r="F10" i="45"/>
  <c r="A5" i="45"/>
  <c r="A2" i="45"/>
  <c r="U9" i="42"/>
  <c r="A5" i="42"/>
  <c r="A2" i="42"/>
  <c r="E10" i="43"/>
  <c r="A5" i="43"/>
  <c r="A2" i="43"/>
  <c r="F10" i="41"/>
  <c r="A5" i="41"/>
  <c r="A2" i="41"/>
  <c r="G213" i="34"/>
  <c r="A208" i="34"/>
  <c r="A205" i="34"/>
  <c r="G170" i="34"/>
  <c r="A165" i="34"/>
  <c r="A162" i="34"/>
  <c r="G139" i="34"/>
  <c r="A134" i="34"/>
  <c r="A131" i="34"/>
  <c r="G105" i="34"/>
  <c r="A100" i="34"/>
  <c r="A97" i="34"/>
  <c r="G63" i="34"/>
  <c r="A58" i="34"/>
  <c r="A55" i="34"/>
  <c r="G10" i="34"/>
  <c r="A5" i="34"/>
  <c r="A2" i="34"/>
  <c r="R69" i="32"/>
  <c r="A65" i="32"/>
  <c r="A62" i="32"/>
  <c r="R9" i="32"/>
  <c r="A5" i="32"/>
  <c r="A2" i="32"/>
  <c r="C12" i="31"/>
  <c r="C9" i="31"/>
  <c r="N481" i="8"/>
  <c r="M481" i="8"/>
  <c r="L481" i="8"/>
  <c r="K481" i="8"/>
  <c r="J481" i="8"/>
  <c r="I481" i="8"/>
  <c r="H481" i="8"/>
  <c r="G481" i="8"/>
  <c r="F481" i="8"/>
  <c r="E481" i="8"/>
  <c r="D481" i="8"/>
  <c r="C481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N168" i="8"/>
  <c r="L168" i="8"/>
  <c r="K168" i="8"/>
  <c r="J168" i="8"/>
  <c r="I168" i="8"/>
  <c r="H168" i="8"/>
  <c r="G168" i="8"/>
  <c r="F168" i="8"/>
  <c r="E168" i="8"/>
  <c r="D168" i="8"/>
  <c r="C168" i="8"/>
  <c r="N163" i="8"/>
  <c r="L163" i="8"/>
  <c r="K163" i="8"/>
  <c r="J163" i="8"/>
  <c r="I163" i="8"/>
  <c r="G163" i="8"/>
  <c r="F163" i="8"/>
  <c r="E163" i="8"/>
  <c r="D163" i="8"/>
  <c r="C163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O443" i="8"/>
  <c r="A439" i="8"/>
  <c r="A437" i="8"/>
  <c r="O396" i="8"/>
  <c r="A392" i="8"/>
  <c r="A390" i="8"/>
  <c r="O345" i="8"/>
  <c r="A341" i="8"/>
  <c r="A339" i="8"/>
  <c r="O298" i="8"/>
  <c r="A294" i="8"/>
  <c r="A292" i="8"/>
  <c r="O251" i="8"/>
  <c r="A247" i="8"/>
  <c r="A245" i="8"/>
  <c r="O203" i="8"/>
  <c r="A199" i="8"/>
  <c r="A197" i="8"/>
  <c r="O155" i="8"/>
  <c r="A151" i="8"/>
  <c r="A149" i="8"/>
  <c r="O107" i="8"/>
  <c r="A103" i="8"/>
  <c r="A101" i="8"/>
  <c r="O74" i="8"/>
  <c r="A70" i="8"/>
  <c r="A68" i="8"/>
  <c r="O41" i="8"/>
  <c r="A35" i="8"/>
  <c r="O8" i="8"/>
  <c r="A4" i="8"/>
  <c r="A2" i="8"/>
  <c r="L86" i="4"/>
  <c r="A82" i="4"/>
  <c r="A80" i="4"/>
  <c r="L8" i="4"/>
  <c r="A4" i="4"/>
  <c r="A2" i="4"/>
  <c r="I9" i="2"/>
  <c r="A4" i="2"/>
  <c r="A2" i="2"/>
  <c r="C13" i="1"/>
  <c r="C11" i="1"/>
  <c r="C9" i="1"/>
  <c r="A45" i="80"/>
  <c r="A2" i="80"/>
  <c r="A4" i="83"/>
  <c r="A2" i="83"/>
  <c r="A4" i="82"/>
  <c r="A2" i="82"/>
  <c r="A4" i="77"/>
  <c r="A2" i="77"/>
  <c r="M7" i="76"/>
  <c r="A4" i="76"/>
  <c r="A2" i="76"/>
  <c r="A4" i="75"/>
  <c r="A2" i="75"/>
  <c r="A4" i="74"/>
  <c r="A2" i="74"/>
  <c r="A4" i="73"/>
  <c r="A2" i="73"/>
  <c r="A4" i="72"/>
  <c r="A2" i="72"/>
  <c r="Q56" i="71"/>
  <c r="G57" i="71"/>
  <c r="A52" i="71"/>
  <c r="A50" i="71"/>
  <c r="G9" i="71"/>
  <c r="Q8" i="71"/>
  <c r="A4" i="71"/>
  <c r="A2" i="71"/>
  <c r="A4" i="70"/>
  <c r="A2" i="70"/>
  <c r="A50" i="69"/>
  <c r="A48" i="69"/>
  <c r="A4" i="69"/>
  <c r="A2" i="69"/>
  <c r="A5" i="30"/>
  <c r="A2" i="30"/>
  <c r="A4" i="29"/>
  <c r="A2" i="29"/>
  <c r="A4" i="28"/>
  <c r="A2" i="28"/>
  <c r="A4" i="27"/>
  <c r="A2" i="27"/>
  <c r="A92" i="26"/>
  <c r="A90" i="26"/>
  <c r="A52" i="26"/>
  <c r="A50" i="26"/>
  <c r="A4" i="26"/>
  <c r="A2" i="26"/>
  <c r="A4" i="25"/>
  <c r="A2" i="25"/>
  <c r="A47" i="24"/>
  <c r="A44" i="24"/>
  <c r="A5" i="24"/>
  <c r="A2" i="24"/>
  <c r="A47" i="23"/>
  <c r="A44" i="23"/>
  <c r="A5" i="23"/>
  <c r="A2" i="23"/>
  <c r="A4" i="22"/>
  <c r="A2" i="22"/>
  <c r="A4" i="20"/>
  <c r="A2" i="20"/>
  <c r="C13" i="21"/>
  <c r="C11" i="21"/>
  <c r="C9" i="21"/>
  <c r="G8" i="18"/>
  <c r="A4" i="18"/>
  <c r="A2" i="18"/>
  <c r="C13" i="19"/>
  <c r="C11" i="19"/>
  <c r="C9" i="19"/>
  <c r="G26" i="42"/>
  <c r="E53" i="42"/>
  <c r="G53" i="42" s="1"/>
  <c r="G34" i="42"/>
  <c r="I26" i="80"/>
  <c r="A75" i="34"/>
  <c r="A77" i="34" s="1"/>
  <c r="A79" i="34" s="1"/>
  <c r="A81" i="34" s="1"/>
  <c r="Q39" i="69"/>
  <c r="I39" i="69" s="1"/>
  <c r="Q44" i="69"/>
  <c r="I44" i="69"/>
  <c r="I38" i="71" s="1"/>
  <c r="Q28" i="69"/>
  <c r="Q29" i="69"/>
  <c r="Q88" i="69"/>
  <c r="Q22" i="69"/>
  <c r="O13" i="24"/>
  <c r="G13" i="23" s="1"/>
  <c r="K13" i="23" s="1"/>
  <c r="O13" i="23" s="1"/>
  <c r="O14" i="24"/>
  <c r="O15" i="24"/>
  <c r="G15" i="23"/>
  <c r="K15" i="23" s="1"/>
  <c r="O15" i="23" s="1"/>
  <c r="O16" i="24"/>
  <c r="G16" i="23"/>
  <c r="O17" i="24"/>
  <c r="G17" i="23"/>
  <c r="K17" i="23" s="1"/>
  <c r="O17" i="23" s="1"/>
  <c r="M18" i="24"/>
  <c r="M84" i="24"/>
  <c r="O21" i="24"/>
  <c r="G21" i="23" s="1"/>
  <c r="K21" i="23" s="1"/>
  <c r="O21" i="23" s="1"/>
  <c r="O22" i="23" s="1"/>
  <c r="D17" i="22" s="1"/>
  <c r="H17" i="22" s="1"/>
  <c r="L17" i="22" s="1"/>
  <c r="M22" i="24"/>
  <c r="O25" i="24"/>
  <c r="G25" i="23"/>
  <c r="K25" i="23" s="1"/>
  <c r="O26" i="24"/>
  <c r="G26" i="23"/>
  <c r="K26" i="23" s="1"/>
  <c r="O26" i="23"/>
  <c r="O27" i="24"/>
  <c r="G27" i="23"/>
  <c r="K27" i="23" s="1"/>
  <c r="O27" i="23" s="1"/>
  <c r="O28" i="24"/>
  <c r="G28" i="23"/>
  <c r="K28" i="23" s="1"/>
  <c r="O28" i="23" s="1"/>
  <c r="O29" i="24"/>
  <c r="G29" i="23"/>
  <c r="K29" i="23" s="1"/>
  <c r="O29" i="23" s="1"/>
  <c r="O30" i="24"/>
  <c r="G30" i="23"/>
  <c r="K30" i="23" s="1"/>
  <c r="O30" i="23" s="1"/>
  <c r="O31" i="24"/>
  <c r="G31" i="23" s="1"/>
  <c r="K31" i="23" s="1"/>
  <c r="O31" i="23" s="1"/>
  <c r="O32" i="24"/>
  <c r="G32" i="23" s="1"/>
  <c r="K32" i="23" s="1"/>
  <c r="O32" i="23" s="1"/>
  <c r="O33" i="24"/>
  <c r="G33" i="23" s="1"/>
  <c r="K33" i="23" s="1"/>
  <c r="O33" i="23" s="1"/>
  <c r="O34" i="24"/>
  <c r="G34" i="23" s="1"/>
  <c r="K34" i="23" s="1"/>
  <c r="O34" i="23" s="1"/>
  <c r="O35" i="24"/>
  <c r="G35" i="23" s="1"/>
  <c r="K35" i="23" s="1"/>
  <c r="O35" i="23" s="1"/>
  <c r="O37" i="24"/>
  <c r="G37" i="23" s="1"/>
  <c r="K37" i="23"/>
  <c r="O37" i="23" s="1"/>
  <c r="O38" i="24"/>
  <c r="G38" i="23" s="1"/>
  <c r="K38" i="23" s="1"/>
  <c r="O38" i="23" s="1"/>
  <c r="O39" i="24"/>
  <c r="G39" i="23" s="1"/>
  <c r="K39" i="23"/>
  <c r="O39" i="23" s="1"/>
  <c r="O40" i="24"/>
  <c r="G40" i="23" s="1"/>
  <c r="K40" i="23" s="1"/>
  <c r="O40" i="23" s="1"/>
  <c r="O55" i="24"/>
  <c r="G55" i="23" s="1"/>
  <c r="K55" i="23" s="1"/>
  <c r="O55" i="23" s="1"/>
  <c r="O56" i="24"/>
  <c r="G56" i="23" s="1"/>
  <c r="K56" i="23"/>
  <c r="O56" i="23" s="1"/>
  <c r="O57" i="24"/>
  <c r="G57" i="23" s="1"/>
  <c r="K57" i="23" s="1"/>
  <c r="O57" i="23" s="1"/>
  <c r="O58" i="24"/>
  <c r="G58" i="23" s="1"/>
  <c r="K58" i="23"/>
  <c r="O58" i="23" s="1"/>
  <c r="O59" i="24"/>
  <c r="G59" i="23"/>
  <c r="K59" i="23" s="1"/>
  <c r="O59" i="23"/>
  <c r="O60" i="24"/>
  <c r="G60" i="23"/>
  <c r="K60" i="23" s="1"/>
  <c r="O60" i="23" s="1"/>
  <c r="O61" i="24"/>
  <c r="G61" i="23"/>
  <c r="K61" i="23" s="1"/>
  <c r="O61" i="23"/>
  <c r="O62" i="24"/>
  <c r="G62" i="23"/>
  <c r="K62" i="23" s="1"/>
  <c r="O62" i="23" s="1"/>
  <c r="O63" i="24"/>
  <c r="G63" i="23" s="1"/>
  <c r="K63" i="23"/>
  <c r="O63" i="23" s="1"/>
  <c r="O64" i="24"/>
  <c r="G64" i="23" s="1"/>
  <c r="K64" i="23"/>
  <c r="O64" i="23" s="1"/>
  <c r="O65" i="24"/>
  <c r="G65" i="23" s="1"/>
  <c r="K65" i="23"/>
  <c r="O65" i="23" s="1"/>
  <c r="M66" i="24"/>
  <c r="O69" i="24"/>
  <c r="O70" i="24"/>
  <c r="G70" i="23"/>
  <c r="K70" i="23" s="1"/>
  <c r="O70" i="23" s="1"/>
  <c r="O71" i="24"/>
  <c r="G71" i="23"/>
  <c r="K71" i="23" s="1"/>
  <c r="O71" i="23"/>
  <c r="O72" i="24"/>
  <c r="G72" i="23"/>
  <c r="K72" i="23" s="1"/>
  <c r="O72" i="23" s="1"/>
  <c r="O73" i="24"/>
  <c r="G73" i="23"/>
  <c r="K73" i="23" s="1"/>
  <c r="O73" i="23" s="1"/>
  <c r="O75" i="24"/>
  <c r="G75" i="23"/>
  <c r="K75" i="23" s="1"/>
  <c r="O75" i="23" s="1"/>
  <c r="O76" i="24"/>
  <c r="G76" i="23"/>
  <c r="K76" i="23" s="1"/>
  <c r="O76" i="23"/>
  <c r="O77" i="24"/>
  <c r="G77" i="23"/>
  <c r="K77" i="23" s="1"/>
  <c r="O77" i="23" s="1"/>
  <c r="O78" i="24"/>
  <c r="G78" i="23" s="1"/>
  <c r="K78" i="23"/>
  <c r="O78" i="23" s="1"/>
  <c r="O79" i="24"/>
  <c r="G79" i="23" s="1"/>
  <c r="K79" i="23" s="1"/>
  <c r="O79" i="23" s="1"/>
  <c r="O80" i="24"/>
  <c r="G80" i="23" s="1"/>
  <c r="K80" i="23"/>
  <c r="O80" i="23" s="1"/>
  <c r="O82" i="23" s="1"/>
  <c r="D25" i="22" s="1"/>
  <c r="H25" i="22" s="1"/>
  <c r="L25" i="22" s="1"/>
  <c r="O81" i="24"/>
  <c r="G81" i="23" s="1"/>
  <c r="K81" i="23" s="1"/>
  <c r="O81" i="23" s="1"/>
  <c r="M82" i="24"/>
  <c r="F36" i="41"/>
  <c r="K37" i="42"/>
  <c r="U37" i="42"/>
  <c r="K31" i="42"/>
  <c r="M31" i="42"/>
  <c r="K32" i="42"/>
  <c r="M32" i="42"/>
  <c r="Q32" i="42" s="1"/>
  <c r="U32" i="42"/>
  <c r="K40" i="42"/>
  <c r="I25" i="46"/>
  <c r="I28" i="46"/>
  <c r="R94" i="32"/>
  <c r="R104" i="32"/>
  <c r="G84" i="53"/>
  <c r="G93" i="53"/>
  <c r="G94" i="53"/>
  <c r="G95" i="53"/>
  <c r="F95" i="53" s="1"/>
  <c r="G96" i="53"/>
  <c r="G97" i="53"/>
  <c r="G98" i="53"/>
  <c r="G99" i="53"/>
  <c r="F99" i="53"/>
  <c r="G100" i="53"/>
  <c r="G101" i="53"/>
  <c r="G102" i="53"/>
  <c r="G103" i="53"/>
  <c r="F103" i="53" s="1"/>
  <c r="G104" i="53"/>
  <c r="G105" i="53"/>
  <c r="G107" i="53"/>
  <c r="G49" i="53"/>
  <c r="G53" i="53"/>
  <c r="K20" i="61"/>
  <c r="A1" i="69"/>
  <c r="A36" i="40"/>
  <c r="A38" i="40" s="1"/>
  <c r="A181" i="34"/>
  <c r="A182" i="34" s="1"/>
  <c r="A184" i="34" s="1"/>
  <c r="A186" i="34" s="1"/>
  <c r="A188" i="34" s="1"/>
  <c r="A190" i="34" s="1"/>
  <c r="A192" i="34" s="1"/>
  <c r="H46" i="32"/>
  <c r="R46" i="32"/>
  <c r="J105" i="32"/>
  <c r="F19" i="58"/>
  <c r="A151" i="34"/>
  <c r="A152" i="34"/>
  <c r="A153" i="34" s="1"/>
  <c r="A155" i="34" s="1"/>
  <c r="A157" i="34" s="1"/>
  <c r="M26" i="42"/>
  <c r="A195" i="34"/>
  <c r="A197" i="34" s="1"/>
  <c r="A199" i="34" s="1"/>
  <c r="A201" i="34" s="1"/>
  <c r="A117" i="34"/>
  <c r="A119" i="34" s="1"/>
  <c r="A122" i="34"/>
  <c r="A124" i="34" s="1"/>
  <c r="A24" i="46"/>
  <c r="A25" i="46" s="1"/>
  <c r="A26" i="46" s="1"/>
  <c r="A27" i="46" s="1"/>
  <c r="A28" i="46" s="1"/>
  <c r="A29" i="46" s="1"/>
  <c r="A31" i="46" s="1"/>
  <c r="A32" i="46" s="1"/>
  <c r="A34" i="46" s="1"/>
  <c r="A36" i="46" s="1"/>
  <c r="A22" i="40"/>
  <c r="A23" i="40" s="1"/>
  <c r="A24" i="40" s="1"/>
  <c r="A25" i="40" s="1"/>
  <c r="A26" i="40" s="1"/>
  <c r="A28" i="40" s="1"/>
  <c r="A30" i="40" s="1"/>
  <c r="A32" i="40" s="1"/>
  <c r="A34" i="40" s="1"/>
  <c r="A22" i="47"/>
  <c r="A24" i="47"/>
  <c r="A26" i="47" s="1"/>
  <c r="A28" i="47"/>
  <c r="A30" i="47" s="1"/>
  <c r="A30" i="45"/>
  <c r="A32" i="45" s="1"/>
  <c r="A34" i="41"/>
  <c r="A36" i="41" s="1"/>
  <c r="A224" i="34"/>
  <c r="A226" i="34" s="1"/>
  <c r="A228" i="34"/>
  <c r="A230" i="34" s="1"/>
  <c r="A232" i="34"/>
  <c r="A234" i="34" s="1"/>
  <c r="A22" i="34"/>
  <c r="A24" i="34" s="1"/>
  <c r="A27" i="34"/>
  <c r="A29" i="34" s="1"/>
  <c r="A31" i="34"/>
  <c r="A34" i="34" s="1"/>
  <c r="A36" i="34"/>
  <c r="A38" i="34" s="1"/>
  <c r="A41" i="34" s="1"/>
  <c r="A43" i="34" s="1"/>
  <c r="A45" i="34" s="1"/>
  <c r="A48" i="34" s="1"/>
  <c r="A50" i="34" s="1"/>
  <c r="A16" i="53"/>
  <c r="A17" i="53"/>
  <c r="A28" i="53" s="1"/>
  <c r="A30" i="53"/>
  <c r="A32" i="53" s="1"/>
  <c r="A33" i="53"/>
  <c r="A34" i="53" s="1"/>
  <c r="A36" i="53" s="1"/>
  <c r="A38" i="53" s="1"/>
  <c r="A40" i="53" s="1"/>
  <c r="A41" i="53" s="1"/>
  <c r="A43" i="53" s="1"/>
  <c r="A44" i="53" s="1"/>
  <c r="A45" i="53" s="1"/>
  <c r="A47" i="53" s="1"/>
  <c r="A48" i="53" s="1"/>
  <c r="A49" i="53" s="1"/>
  <c r="A51" i="53" s="1"/>
  <c r="A52" i="53" s="1"/>
  <c r="A53" i="53" s="1"/>
  <c r="A55" i="53" s="1"/>
  <c r="A57" i="53" s="1"/>
  <c r="A58" i="53" s="1"/>
  <c r="A59" i="53" s="1"/>
  <c r="A61" i="53" s="1"/>
  <c r="A63" i="53" s="1"/>
  <c r="E53" i="53"/>
  <c r="E61" i="53" s="1"/>
  <c r="F47" i="53"/>
  <c r="G55" i="53"/>
  <c r="F51" i="53"/>
  <c r="F53" i="53" s="1"/>
  <c r="G62" i="86"/>
  <c r="K14" i="61"/>
  <c r="G20" i="61"/>
  <c r="G18" i="61"/>
  <c r="G16" i="61"/>
  <c r="G14" i="61"/>
  <c r="K18" i="61"/>
  <c r="A23" i="42"/>
  <c r="A24" i="42"/>
  <c r="A25" i="42"/>
  <c r="A26" i="42" s="1"/>
  <c r="A29" i="42" s="1"/>
  <c r="A30" i="42" s="1"/>
  <c r="A31" i="42" s="1"/>
  <c r="A32" i="42" s="1"/>
  <c r="A34" i="42" s="1"/>
  <c r="A36" i="42" s="1"/>
  <c r="A37" i="42"/>
  <c r="A39" i="42" s="1"/>
  <c r="A40" i="42" s="1"/>
  <c r="A43" i="42" s="1"/>
  <c r="G32" i="46"/>
  <c r="L22" i="32"/>
  <c r="J22" i="32"/>
  <c r="L29" i="32"/>
  <c r="L31" i="32"/>
  <c r="J29" i="32"/>
  <c r="H22" i="32"/>
  <c r="N22" i="32"/>
  <c r="P22" i="32"/>
  <c r="P31" i="32"/>
  <c r="R22" i="32"/>
  <c r="F81" i="32"/>
  <c r="H81" i="32"/>
  <c r="H90" i="32"/>
  <c r="J81" i="32"/>
  <c r="L81" i="32"/>
  <c r="N81" i="32"/>
  <c r="N90" i="32" s="1"/>
  <c r="N107" i="32" s="1"/>
  <c r="P81" i="32"/>
  <c r="P90" i="32"/>
  <c r="H29" i="32"/>
  <c r="N29" i="32"/>
  <c r="N31" i="32" s="1"/>
  <c r="N48" i="32" s="1"/>
  <c r="P29" i="32"/>
  <c r="R29" i="32"/>
  <c r="R31" i="32"/>
  <c r="R48" i="32" s="1"/>
  <c r="R51" i="32" s="1"/>
  <c r="R54" i="32" s="1"/>
  <c r="F88" i="32"/>
  <c r="F90" i="32" s="1"/>
  <c r="H88" i="32"/>
  <c r="J88" i="32"/>
  <c r="L88" i="32"/>
  <c r="N88" i="32"/>
  <c r="P88" i="32"/>
  <c r="J19" i="4"/>
  <c r="H19" i="22"/>
  <c r="L19" i="22" s="1"/>
  <c r="H21" i="22"/>
  <c r="L21" i="22"/>
  <c r="O36" i="24"/>
  <c r="G36" i="23" s="1"/>
  <c r="O41" i="24"/>
  <c r="G41" i="23"/>
  <c r="K41" i="23" s="1"/>
  <c r="O41" i="23" s="1"/>
  <c r="H27" i="22"/>
  <c r="L27" i="22" s="1"/>
  <c r="H31" i="22"/>
  <c r="L31" i="22"/>
  <c r="I14" i="74"/>
  <c r="J31" i="32"/>
  <c r="J48" i="32" s="1"/>
  <c r="R52" i="32"/>
  <c r="H31" i="32"/>
  <c r="H48" i="32" s="1"/>
  <c r="N105" i="32"/>
  <c r="R101" i="32"/>
  <c r="R85" i="32"/>
  <c r="R84" i="32"/>
  <c r="L18" i="72"/>
  <c r="L42" i="72"/>
  <c r="L40" i="72"/>
  <c r="J42" i="72"/>
  <c r="H16" i="72"/>
  <c r="H17" i="72"/>
  <c r="H20" i="72"/>
  <c r="H21" i="72"/>
  <c r="H22" i="72"/>
  <c r="H23" i="72"/>
  <c r="H24" i="72"/>
  <c r="H25" i="72"/>
  <c r="H26" i="72"/>
  <c r="H27" i="72"/>
  <c r="H28" i="72"/>
  <c r="H29" i="72"/>
  <c r="H30" i="72"/>
  <c r="H31" i="72"/>
  <c r="H33" i="72"/>
  <c r="H36" i="72"/>
  <c r="H37" i="72"/>
  <c r="H38" i="72"/>
  <c r="H39" i="72"/>
  <c r="F18" i="72"/>
  <c r="F42" i="72" s="1"/>
  <c r="F34" i="72"/>
  <c r="F40" i="72"/>
  <c r="M19" i="69"/>
  <c r="M25" i="69"/>
  <c r="M70" i="69"/>
  <c r="M86" i="69"/>
  <c r="I19" i="69"/>
  <c r="I22" i="69"/>
  <c r="I25" i="69"/>
  <c r="I28" i="69"/>
  <c r="I29" i="69"/>
  <c r="I88" i="69"/>
  <c r="G19" i="69"/>
  <c r="G25" i="69"/>
  <c r="G91" i="69" s="1"/>
  <c r="G70" i="69"/>
  <c r="G86" i="69"/>
  <c r="A60" i="69"/>
  <c r="A61" i="69"/>
  <c r="A62" i="69" s="1"/>
  <c r="A63" i="69" s="1"/>
  <c r="A64" i="69" s="1"/>
  <c r="A65" i="69" s="1"/>
  <c r="A66" i="69" s="1"/>
  <c r="A67" i="69" s="1"/>
  <c r="A68" i="69" s="1"/>
  <c r="A69" i="69" s="1"/>
  <c r="A70" i="69" s="1"/>
  <c r="A72" i="69" s="1"/>
  <c r="A73" i="69" s="1"/>
  <c r="A74" i="69" s="1"/>
  <c r="A75" i="69" s="1"/>
  <c r="A76" i="69" s="1"/>
  <c r="A77" i="69" s="1"/>
  <c r="A78" i="69" s="1"/>
  <c r="A79" i="69" s="1"/>
  <c r="A80" i="69" s="1"/>
  <c r="A81" i="69" s="1"/>
  <c r="A82" i="69" s="1"/>
  <c r="A83" i="69" s="1"/>
  <c r="A84" i="69" s="1"/>
  <c r="A85" i="69" s="1"/>
  <c r="A86" i="69" s="1"/>
  <c r="A88" i="69" s="1"/>
  <c r="A91" i="69" s="1"/>
  <c r="A14" i="69"/>
  <c r="A15" i="69" s="1"/>
  <c r="A16" i="69" s="1"/>
  <c r="A17" i="69" s="1"/>
  <c r="A18" i="69" s="1"/>
  <c r="A19" i="69" s="1"/>
  <c r="A21" i="69" s="1"/>
  <c r="A22" i="69" s="1"/>
  <c r="A23" i="69" s="1"/>
  <c r="A24" i="69" s="1"/>
  <c r="A25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106" i="26"/>
  <c r="A107" i="26" s="1"/>
  <c r="A108" i="26" s="1"/>
  <c r="A109" i="26" s="1"/>
  <c r="A110" i="26" s="1"/>
  <c r="A111" i="26" s="1"/>
  <c r="A112" i="26" s="1"/>
  <c r="A113" i="26" s="1"/>
  <c r="A114" i="26" s="1"/>
  <c r="A116" i="26" s="1"/>
  <c r="A118" i="26" s="1"/>
  <c r="A119" i="26" s="1"/>
  <c r="A120" i="26" s="1"/>
  <c r="A121" i="26" s="1"/>
  <c r="A122" i="26" s="1"/>
  <c r="A123" i="26" s="1"/>
  <c r="A125" i="26" s="1"/>
  <c r="A127" i="26" s="1"/>
  <c r="A129" i="26" s="1"/>
  <c r="A130" i="26" s="1"/>
  <c r="A131" i="26" s="1"/>
  <c r="S15" i="26"/>
  <c r="S16" i="26"/>
  <c r="S17" i="26"/>
  <c r="S18" i="26"/>
  <c r="S19" i="26"/>
  <c r="S23" i="26"/>
  <c r="S24" i="26"/>
  <c r="S27" i="26"/>
  <c r="S28" i="26"/>
  <c r="S29" i="26"/>
  <c r="S30" i="26"/>
  <c r="S69" i="26" s="1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44" i="26"/>
  <c r="S45" i="26"/>
  <c r="S46" i="26"/>
  <c r="S47" i="26"/>
  <c r="S62" i="26"/>
  <c r="S63" i="26"/>
  <c r="S64" i="26"/>
  <c r="S65" i="26"/>
  <c r="S66" i="26"/>
  <c r="S67" i="26"/>
  <c r="S68" i="26"/>
  <c r="S72" i="26"/>
  <c r="S73" i="26"/>
  <c r="S74" i="26"/>
  <c r="S75" i="26"/>
  <c r="S76" i="26"/>
  <c r="S77" i="26"/>
  <c r="S78" i="26"/>
  <c r="S79" i="26"/>
  <c r="S80" i="26"/>
  <c r="S81" i="26"/>
  <c r="S82" i="26"/>
  <c r="S83" i="26"/>
  <c r="S84" i="26"/>
  <c r="S104" i="26"/>
  <c r="S105" i="26"/>
  <c r="S106" i="26"/>
  <c r="S107" i="26"/>
  <c r="S108" i="26"/>
  <c r="S109" i="26"/>
  <c r="S110" i="26"/>
  <c r="S111" i="26"/>
  <c r="S112" i="26"/>
  <c r="S113" i="26"/>
  <c r="S122" i="26"/>
  <c r="S123" i="26"/>
  <c r="S125" i="26" s="1"/>
  <c r="M20" i="26"/>
  <c r="M24" i="26"/>
  <c r="M87" i="26" s="1"/>
  <c r="M69" i="26"/>
  <c r="M85" i="26"/>
  <c r="M114" i="26"/>
  <c r="M116" i="26" s="1"/>
  <c r="M127" i="26" s="1"/>
  <c r="M123" i="26"/>
  <c r="M125" i="26"/>
  <c r="K20" i="26"/>
  <c r="K87" i="26" s="1"/>
  <c r="K24" i="26"/>
  <c r="K85" i="26"/>
  <c r="K114" i="26"/>
  <c r="K116" i="26"/>
  <c r="K123" i="26"/>
  <c r="K125" i="26" s="1"/>
  <c r="I20" i="26"/>
  <c r="I24" i="26"/>
  <c r="I87" i="26"/>
  <c r="I69" i="26"/>
  <c r="I85" i="26"/>
  <c r="I114" i="26"/>
  <c r="I116" i="26" s="1"/>
  <c r="I123" i="26"/>
  <c r="I125" i="26" s="1"/>
  <c r="G20" i="26"/>
  <c r="G24" i="26"/>
  <c r="G87" i="26"/>
  <c r="G127" i="26" s="1"/>
  <c r="G69" i="26"/>
  <c r="G85" i="26"/>
  <c r="G114" i="26"/>
  <c r="G116" i="26" s="1"/>
  <c r="G123" i="26"/>
  <c r="G125" i="26" s="1"/>
  <c r="A102" i="26"/>
  <c r="A103" i="26"/>
  <c r="A63" i="26"/>
  <c r="A64" i="26" s="1"/>
  <c r="A65" i="26" s="1"/>
  <c r="A66" i="26" s="1"/>
  <c r="A67" i="26"/>
  <c r="A68" i="26" s="1"/>
  <c r="A69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7" i="26" s="1"/>
  <c r="A14" i="26"/>
  <c r="A15" i="26"/>
  <c r="A16" i="26" s="1"/>
  <c r="A17" i="26"/>
  <c r="A18" i="26" s="1"/>
  <c r="A19" i="26" s="1"/>
  <c r="A20" i="26" s="1"/>
  <c r="A22" i="26" s="1"/>
  <c r="A23" i="26" s="1"/>
  <c r="A24" i="26" s="1"/>
  <c r="A26" i="26" s="1"/>
  <c r="A27" i="26" s="1"/>
  <c r="A28" i="26" s="1"/>
  <c r="A29" i="26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O22" i="24"/>
  <c r="K18" i="24"/>
  <c r="K22" i="24"/>
  <c r="K84" i="24"/>
  <c r="K66" i="24"/>
  <c r="K82" i="24"/>
  <c r="I18" i="24"/>
  <c r="I22" i="24"/>
  <c r="I66" i="24"/>
  <c r="I84" i="24" s="1"/>
  <c r="I82" i="24"/>
  <c r="G18" i="24"/>
  <c r="G22" i="24"/>
  <c r="G66" i="24"/>
  <c r="G82" i="24"/>
  <c r="A56" i="24"/>
  <c r="A57" i="24" s="1"/>
  <c r="A58" i="24" s="1"/>
  <c r="A59" i="24" s="1"/>
  <c r="A60" i="24" s="1"/>
  <c r="A61" i="24" s="1"/>
  <c r="A62" i="24" s="1"/>
  <c r="A63" i="24" s="1"/>
  <c r="A64" i="24" s="1"/>
  <c r="A65" i="24"/>
  <c r="A66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4" i="24" s="1"/>
  <c r="A13" i="24"/>
  <c r="A14" i="24"/>
  <c r="A15" i="24"/>
  <c r="A16" i="24" s="1"/>
  <c r="A17" i="24" s="1"/>
  <c r="A18" i="24" s="1"/>
  <c r="A20" i="24" s="1"/>
  <c r="A21" i="24" s="1"/>
  <c r="A22" i="24" s="1"/>
  <c r="A24" i="24" s="1"/>
  <c r="A25" i="24" s="1"/>
  <c r="A26" i="24" s="1"/>
  <c r="A27" i="24" s="1"/>
  <c r="A28" i="24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F85" i="53"/>
  <c r="F87" i="53"/>
  <c r="F92" i="53"/>
  <c r="F93" i="53"/>
  <c r="F94" i="53"/>
  <c r="F96" i="53"/>
  <c r="F97" i="53"/>
  <c r="F98" i="53"/>
  <c r="F100" i="53"/>
  <c r="F101" i="53"/>
  <c r="F102" i="53"/>
  <c r="F104" i="53"/>
  <c r="F105" i="53"/>
  <c r="F106" i="53"/>
  <c r="F107" i="53"/>
  <c r="A91" i="53"/>
  <c r="A92" i="53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9" i="53"/>
  <c r="A111" i="53" s="1"/>
  <c r="G74" i="53"/>
  <c r="A71" i="53"/>
  <c r="F58" i="53"/>
  <c r="F41" i="53"/>
  <c r="F40" i="53"/>
  <c r="F33" i="53"/>
  <c r="A14" i="80"/>
  <c r="A16" i="80" s="1"/>
  <c r="A17" i="80" s="1"/>
  <c r="A18" i="80" s="1"/>
  <c r="A20" i="80"/>
  <c r="A22" i="80" s="1"/>
  <c r="A24" i="80" s="1"/>
  <c r="A25" i="80" s="1"/>
  <c r="A26" i="80" s="1"/>
  <c r="A27" i="80" s="1"/>
  <c r="A28" i="80" s="1"/>
  <c r="A29" i="80" s="1"/>
  <c r="A30" i="80" s="1"/>
  <c r="A31" i="80" s="1"/>
  <c r="A32" i="80" s="1"/>
  <c r="A33" i="80" s="1"/>
  <c r="A35" i="80" s="1"/>
  <c r="A37" i="80" s="1"/>
  <c r="A39" i="80" s="1"/>
  <c r="A40" i="80" s="1"/>
  <c r="A42" i="80" s="1"/>
  <c r="D18" i="80"/>
  <c r="D42" i="80" s="1"/>
  <c r="E42" i="80" s="1"/>
  <c r="D33" i="80"/>
  <c r="N496" i="8"/>
  <c r="C496" i="8"/>
  <c r="D496" i="8"/>
  <c r="E496" i="8"/>
  <c r="F496" i="8"/>
  <c r="G496" i="8"/>
  <c r="H496" i="8"/>
  <c r="I496" i="8"/>
  <c r="J496" i="8"/>
  <c r="K496" i="8"/>
  <c r="L496" i="8"/>
  <c r="M496" i="8"/>
  <c r="I490" i="8"/>
  <c r="K490" i="8"/>
  <c r="L490" i="8"/>
  <c r="M490" i="8"/>
  <c r="A15" i="4"/>
  <c r="A16" i="4" s="1"/>
  <c r="A17" i="4" s="1"/>
  <c r="A18" i="4" s="1"/>
  <c r="A19" i="4"/>
  <c r="A20" i="4" s="1"/>
  <c r="A22" i="4" s="1"/>
  <c r="A23" i="4" s="1"/>
  <c r="A24" i="4" s="1"/>
  <c r="A25" i="4" s="1"/>
  <c r="A26" i="4" s="1"/>
  <c r="A27" i="4" s="1"/>
  <c r="A30" i="4" s="1"/>
  <c r="A32" i="4" s="1"/>
  <c r="A33" i="4" s="1"/>
  <c r="A34" i="4" s="1"/>
  <c r="A35" i="4" s="1"/>
  <c r="A36" i="4" s="1"/>
  <c r="A37" i="4" s="1"/>
  <c r="A38" i="4" s="1"/>
  <c r="A39" i="4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93" i="4"/>
  <c r="A94" i="4"/>
  <c r="A95" i="4" s="1"/>
  <c r="A96" i="4" s="1"/>
  <c r="A97" i="4" s="1"/>
  <c r="A98" i="4"/>
  <c r="A99" i="4" s="1"/>
  <c r="A100" i="4" s="1"/>
  <c r="A102" i="4" s="1"/>
  <c r="A103" i="4"/>
  <c r="A104" i="4" s="1"/>
  <c r="A105" i="4" s="1"/>
  <c r="A106" i="4" s="1"/>
  <c r="A107" i="4" s="1"/>
  <c r="A108" i="4" s="1"/>
  <c r="A109" i="4" s="1"/>
  <c r="A110" i="4" s="1"/>
  <c r="A112" i="4" s="1"/>
  <c r="A113" i="4" s="1"/>
  <c r="A114" i="4" s="1"/>
  <c r="A115" i="4" s="1"/>
  <c r="A116" i="4" s="1"/>
  <c r="A117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4" i="4" s="1"/>
  <c r="A135" i="4" s="1"/>
  <c r="A136" i="4" s="1"/>
  <c r="A138" i="4" s="1"/>
  <c r="A140" i="4" s="1"/>
  <c r="A141" i="4" s="1"/>
  <c r="A142" i="4" s="1"/>
  <c r="A143" i="4" s="1"/>
  <c r="A145" i="4" s="1"/>
  <c r="A147" i="4" s="1"/>
  <c r="N62" i="80"/>
  <c r="N68" i="80" s="1"/>
  <c r="N91" i="80"/>
  <c r="N80" i="80"/>
  <c r="N88" i="80"/>
  <c r="L62" i="80"/>
  <c r="L68" i="80"/>
  <c r="L80" i="80"/>
  <c r="M80" i="80"/>
  <c r="L88" i="80"/>
  <c r="M88" i="80"/>
  <c r="J80" i="80"/>
  <c r="K80" i="80"/>
  <c r="J88" i="80"/>
  <c r="K88" i="80"/>
  <c r="H62" i="80"/>
  <c r="H68" i="80"/>
  <c r="H80" i="80"/>
  <c r="H88" i="80"/>
  <c r="F62" i="80"/>
  <c r="F68" i="80"/>
  <c r="F80" i="80"/>
  <c r="F88" i="80"/>
  <c r="A47" i="80"/>
  <c r="D53" i="80"/>
  <c r="I42" i="76"/>
  <c r="A21" i="76"/>
  <c r="A23" i="76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9" i="76" s="1"/>
  <c r="A40" i="76" s="1"/>
  <c r="A41" i="76" s="1"/>
  <c r="A42" i="76" s="1"/>
  <c r="A44" i="76" s="1"/>
  <c r="O193" i="8"/>
  <c r="O480" i="8"/>
  <c r="O479" i="8"/>
  <c r="O475" i="8"/>
  <c r="O470" i="8"/>
  <c r="O460" i="8"/>
  <c r="O450" i="8"/>
  <c r="O433" i="8"/>
  <c r="O428" i="8"/>
  <c r="O423" i="8"/>
  <c r="O418" i="8"/>
  <c r="O413" i="8"/>
  <c r="O412" i="8"/>
  <c r="O408" i="8"/>
  <c r="O386" i="8"/>
  <c r="O381" i="8"/>
  <c r="O371" i="8"/>
  <c r="O361" i="8"/>
  <c r="O356" i="8"/>
  <c r="O351" i="8"/>
  <c r="O335" i="8"/>
  <c r="O330" i="8"/>
  <c r="O325" i="8"/>
  <c r="O320" i="8"/>
  <c r="O315" i="8"/>
  <c r="O310" i="8"/>
  <c r="O305" i="8"/>
  <c r="O288" i="8"/>
  <c r="O283" i="8"/>
  <c r="O278" i="8"/>
  <c r="O273" i="8"/>
  <c r="O268" i="8"/>
  <c r="O263" i="8"/>
  <c r="O258" i="8"/>
  <c r="O241" i="8"/>
  <c r="O235" i="8"/>
  <c r="O230" i="8"/>
  <c r="O225" i="8"/>
  <c r="O220" i="8"/>
  <c r="O215" i="8"/>
  <c r="O210" i="8"/>
  <c r="O187" i="8"/>
  <c r="O182" i="8"/>
  <c r="O177" i="8"/>
  <c r="O172" i="8"/>
  <c r="O167" i="8"/>
  <c r="O119" i="8"/>
  <c r="O114" i="8"/>
  <c r="O59" i="8"/>
  <c r="O56" i="8"/>
  <c r="O53" i="8"/>
  <c r="O50" i="8"/>
  <c r="O47" i="8"/>
  <c r="O32" i="8"/>
  <c r="I16" i="73"/>
  <c r="E16" i="80"/>
  <c r="G16" i="80"/>
  <c r="I16" i="80"/>
  <c r="K16" i="80"/>
  <c r="M16" i="80"/>
  <c r="E17" i="80"/>
  <c r="G17" i="80"/>
  <c r="I17" i="80"/>
  <c r="K17" i="80"/>
  <c r="M17" i="80"/>
  <c r="E18" i="80"/>
  <c r="G18" i="80"/>
  <c r="I18" i="80"/>
  <c r="K18" i="80"/>
  <c r="M18" i="80"/>
  <c r="E24" i="80"/>
  <c r="G24" i="80"/>
  <c r="I24" i="80"/>
  <c r="K24" i="80"/>
  <c r="M24" i="80"/>
  <c r="E25" i="80"/>
  <c r="G25" i="80"/>
  <c r="I25" i="80"/>
  <c r="K25" i="80"/>
  <c r="M25" i="80"/>
  <c r="E26" i="80"/>
  <c r="G26" i="80"/>
  <c r="K26" i="80"/>
  <c r="M26" i="80"/>
  <c r="E27" i="80"/>
  <c r="G27" i="80"/>
  <c r="I27" i="80"/>
  <c r="K27" i="80"/>
  <c r="M27" i="80"/>
  <c r="E28" i="80"/>
  <c r="G28" i="80"/>
  <c r="I28" i="80"/>
  <c r="K28" i="80"/>
  <c r="M28" i="80"/>
  <c r="E29" i="80"/>
  <c r="G29" i="80"/>
  <c r="I29" i="80"/>
  <c r="E30" i="80"/>
  <c r="G30" i="80"/>
  <c r="I30" i="80"/>
  <c r="K30" i="80"/>
  <c r="M30" i="80"/>
  <c r="E31" i="80"/>
  <c r="G31" i="80"/>
  <c r="I31" i="80"/>
  <c r="K31" i="80"/>
  <c r="M31" i="80"/>
  <c r="E32" i="80"/>
  <c r="G32" i="80"/>
  <c r="I32" i="80"/>
  <c r="K32" i="80"/>
  <c r="M32" i="80"/>
  <c r="E33" i="80"/>
  <c r="G33" i="80"/>
  <c r="I33" i="80"/>
  <c r="K33" i="80"/>
  <c r="E37" i="80"/>
  <c r="G37" i="80"/>
  <c r="I37" i="80"/>
  <c r="K37" i="80"/>
  <c r="M37" i="80"/>
  <c r="K40" i="80"/>
  <c r="M40" i="80"/>
  <c r="A57" i="80"/>
  <c r="A59" i="80" s="1"/>
  <c r="A60" i="80" s="1"/>
  <c r="A61" i="80" s="1"/>
  <c r="A62" i="80" s="1"/>
  <c r="A64" i="80" s="1"/>
  <c r="A66" i="80" s="1"/>
  <c r="A68" i="80" s="1"/>
  <c r="A70" i="80" s="1"/>
  <c r="A72" i="80" s="1"/>
  <c r="A73" i="80" s="1"/>
  <c r="A74" i="80" s="1"/>
  <c r="A75" i="80" s="1"/>
  <c r="A76" i="80" s="1"/>
  <c r="A77" i="80" s="1"/>
  <c r="A78" i="80" s="1"/>
  <c r="A79" i="80" s="1"/>
  <c r="A80" i="80" s="1"/>
  <c r="A82" i="80" s="1"/>
  <c r="A83" i="80" s="1"/>
  <c r="A84" i="80" s="1"/>
  <c r="A85" i="80" s="1"/>
  <c r="A86" i="80" s="1"/>
  <c r="A87" i="80" s="1"/>
  <c r="A88" i="80" s="1"/>
  <c r="A90" i="80" s="1"/>
  <c r="A91" i="80" s="1"/>
  <c r="E59" i="80"/>
  <c r="G59" i="80"/>
  <c r="I59" i="80"/>
  <c r="K59" i="80"/>
  <c r="M59" i="80"/>
  <c r="G60" i="80"/>
  <c r="I60" i="80"/>
  <c r="K60" i="80"/>
  <c r="M60" i="80"/>
  <c r="E61" i="80"/>
  <c r="G61" i="80"/>
  <c r="M61" i="80"/>
  <c r="D62" i="80"/>
  <c r="E62" i="80"/>
  <c r="G66" i="80"/>
  <c r="I66" i="80"/>
  <c r="K66" i="80"/>
  <c r="M66" i="80"/>
  <c r="E73" i="80"/>
  <c r="G73" i="80"/>
  <c r="I73" i="80"/>
  <c r="K73" i="80"/>
  <c r="M73" i="80"/>
  <c r="E74" i="80"/>
  <c r="G74" i="80"/>
  <c r="I74" i="80"/>
  <c r="K74" i="80"/>
  <c r="M74" i="80"/>
  <c r="E75" i="80"/>
  <c r="G75" i="80"/>
  <c r="I75" i="80"/>
  <c r="K75" i="80"/>
  <c r="M75" i="80"/>
  <c r="E76" i="80"/>
  <c r="G76" i="80"/>
  <c r="I76" i="80"/>
  <c r="K76" i="80"/>
  <c r="M76" i="80"/>
  <c r="E77" i="80"/>
  <c r="G77" i="80"/>
  <c r="I77" i="80"/>
  <c r="K77" i="80"/>
  <c r="M77" i="80"/>
  <c r="E78" i="80"/>
  <c r="G78" i="80"/>
  <c r="I78" i="80"/>
  <c r="K78" i="80"/>
  <c r="M78" i="80"/>
  <c r="E79" i="80"/>
  <c r="G79" i="80"/>
  <c r="I79" i="80"/>
  <c r="K79" i="80"/>
  <c r="M79" i="80"/>
  <c r="D80" i="80"/>
  <c r="E80" i="80" s="1"/>
  <c r="G80" i="80"/>
  <c r="I80" i="80"/>
  <c r="E83" i="80"/>
  <c r="G83" i="80"/>
  <c r="I83" i="80"/>
  <c r="K83" i="80"/>
  <c r="M83" i="80"/>
  <c r="E84" i="80"/>
  <c r="G84" i="80"/>
  <c r="I84" i="80"/>
  <c r="K84" i="80"/>
  <c r="M84" i="80"/>
  <c r="E85" i="80"/>
  <c r="G85" i="80"/>
  <c r="I85" i="80"/>
  <c r="K85" i="80"/>
  <c r="M85" i="80"/>
  <c r="E86" i="80"/>
  <c r="G86" i="80"/>
  <c r="I86" i="80"/>
  <c r="K86" i="80"/>
  <c r="M86" i="80"/>
  <c r="D88" i="80"/>
  <c r="E88" i="80" s="1"/>
  <c r="G88" i="80"/>
  <c r="A15" i="75"/>
  <c r="A17" i="75" s="1"/>
  <c r="A19" i="75"/>
  <c r="A21" i="75" s="1"/>
  <c r="A23" i="75" s="1"/>
  <c r="A25" i="75" s="1"/>
  <c r="A27" i="75"/>
  <c r="A29" i="75" s="1"/>
  <c r="O14" i="74"/>
  <c r="A16" i="74"/>
  <c r="A18" i="74"/>
  <c r="A20" i="74" s="1"/>
  <c r="A22" i="74" s="1"/>
  <c r="A16" i="73"/>
  <c r="A18" i="73" s="1"/>
  <c r="L16" i="73"/>
  <c r="A20" i="73"/>
  <c r="A22" i="73" s="1"/>
  <c r="A24" i="73" s="1"/>
  <c r="I25" i="62"/>
  <c r="M25" i="62" s="1"/>
  <c r="A77" i="32"/>
  <c r="A78" i="32" s="1"/>
  <c r="A79" i="32"/>
  <c r="A80" i="32" s="1"/>
  <c r="A81" i="32" s="1"/>
  <c r="A83" i="32" s="1"/>
  <c r="A84" i="32"/>
  <c r="A85" i="32" s="1"/>
  <c r="A86" i="32" s="1"/>
  <c r="A87" i="32" s="1"/>
  <c r="A88" i="32" s="1"/>
  <c r="A90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/>
  <c r="A103" i="32" s="1"/>
  <c r="A104" i="32" s="1"/>
  <c r="A105" i="32" s="1"/>
  <c r="A107" i="32" s="1"/>
  <c r="A109" i="32" s="1"/>
  <c r="A110" i="32" s="1"/>
  <c r="A111" i="32" s="1"/>
  <c r="A113" i="32" s="1"/>
  <c r="A115" i="32" s="1"/>
  <c r="A117" i="32" s="1"/>
  <c r="A18" i="32"/>
  <c r="A19" i="32"/>
  <c r="A20" i="32" s="1"/>
  <c r="A21" i="32" s="1"/>
  <c r="A22" i="32" s="1"/>
  <c r="A24" i="32" s="1"/>
  <c r="A25" i="32" s="1"/>
  <c r="A26" i="32" s="1"/>
  <c r="A27" i="32" s="1"/>
  <c r="A28" i="32" s="1"/>
  <c r="A29" i="32" s="1"/>
  <c r="A31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8" i="32" s="1"/>
  <c r="A50" i="32" s="1"/>
  <c r="A51" i="32" s="1"/>
  <c r="A52" i="32" s="1"/>
  <c r="A54" i="32" s="1"/>
  <c r="A56" i="32" s="1"/>
  <c r="A58" i="32" s="1"/>
  <c r="M18" i="23"/>
  <c r="M84" i="23" s="1"/>
  <c r="G22" i="23"/>
  <c r="K22" i="23"/>
  <c r="M22" i="23"/>
  <c r="A56" i="23"/>
  <c r="A57" i="23"/>
  <c r="A58" i="23" s="1"/>
  <c r="A59" i="23" s="1"/>
  <c r="A60" i="23" s="1"/>
  <c r="A61" i="23" s="1"/>
  <c r="A62" i="23" s="1"/>
  <c r="A63" i="23" s="1"/>
  <c r="A64" i="23" s="1"/>
  <c r="A65" i="23" s="1"/>
  <c r="A66" i="23" s="1"/>
  <c r="A68" i="23"/>
  <c r="A69" i="23" s="1"/>
  <c r="A70" i="23" s="1"/>
  <c r="A71" i="23" s="1"/>
  <c r="A72" i="23" s="1"/>
  <c r="A73" i="23" s="1"/>
  <c r="A74" i="23" s="1"/>
  <c r="A75" i="23" s="1"/>
  <c r="A76" i="23" s="1"/>
  <c r="A77" i="23" s="1"/>
  <c r="A78" i="23" s="1"/>
  <c r="A79" i="23" s="1"/>
  <c r="A80" i="23" s="1"/>
  <c r="A81" i="23" s="1"/>
  <c r="A82" i="23" s="1"/>
  <c r="A84" i="23" s="1"/>
  <c r="A87" i="23" s="1"/>
  <c r="M66" i="23"/>
  <c r="M82" i="23"/>
  <c r="A17" i="22"/>
  <c r="A19" i="22"/>
  <c r="A21" i="22" s="1"/>
  <c r="A23" i="22" s="1"/>
  <c r="A25" i="22" s="1"/>
  <c r="A27" i="22" s="1"/>
  <c r="A29" i="22" s="1"/>
  <c r="A31" i="22" s="1"/>
  <c r="A33" i="22" s="1"/>
  <c r="J33" i="22"/>
  <c r="A16" i="20"/>
  <c r="A18" i="20"/>
  <c r="A20" i="20" s="1"/>
  <c r="A22" i="20" s="1"/>
  <c r="A24" i="20" s="1"/>
  <c r="A26" i="20" s="1"/>
  <c r="A28" i="20" s="1"/>
  <c r="A30" i="20" s="1"/>
  <c r="A32" i="20" s="1"/>
  <c r="A34" i="20" s="1"/>
  <c r="A36" i="20" s="1"/>
  <c r="O455" i="8"/>
  <c r="O465" i="8"/>
  <c r="O403" i="8"/>
  <c r="O366" i="8"/>
  <c r="O135" i="8"/>
  <c r="O140" i="8"/>
  <c r="O124" i="8"/>
  <c r="O129" i="8"/>
  <c r="J135" i="4"/>
  <c r="J136" i="4"/>
  <c r="J97" i="4"/>
  <c r="J98" i="4"/>
  <c r="J99" i="4"/>
  <c r="J107" i="4"/>
  <c r="J108" i="4"/>
  <c r="J109" i="4"/>
  <c r="J59" i="4"/>
  <c r="J72" i="4"/>
  <c r="A17" i="18"/>
  <c r="A19" i="18" s="1"/>
  <c r="A21" i="18" s="1"/>
  <c r="A23" i="18" s="1"/>
  <c r="A25" i="18" s="1"/>
  <c r="A27" i="18" s="1"/>
  <c r="A29" i="18" s="1"/>
  <c r="A43" i="18" s="1"/>
  <c r="A45" i="18" s="1"/>
  <c r="A47" i="18" s="1"/>
  <c r="O20" i="8"/>
  <c r="I20" i="108"/>
  <c r="P97" i="32"/>
  <c r="P105" i="32" s="1"/>
  <c r="P107" i="32"/>
  <c r="F91" i="80"/>
  <c r="F99" i="80" s="1"/>
  <c r="G68" i="80"/>
  <c r="F109" i="53"/>
  <c r="K62" i="86"/>
  <c r="F22" i="47" s="1"/>
  <c r="G43" i="42"/>
  <c r="J52" i="32"/>
  <c r="J51" i="32"/>
  <c r="J54" i="32" s="1"/>
  <c r="G14" i="23"/>
  <c r="O18" i="24"/>
  <c r="G62" i="80"/>
  <c r="D68" i="80"/>
  <c r="D91" i="80" s="1"/>
  <c r="E91" i="80" s="1"/>
  <c r="M62" i="80"/>
  <c r="K61" i="80"/>
  <c r="M33" i="80"/>
  <c r="J62" i="80"/>
  <c r="J68" i="80" s="1"/>
  <c r="I68" i="80" s="1"/>
  <c r="O66" i="24"/>
  <c r="S20" i="26"/>
  <c r="H34" i="72"/>
  <c r="H18" i="72"/>
  <c r="M34" i="42"/>
  <c r="Q31" i="42"/>
  <c r="U31" i="42"/>
  <c r="G22" i="61"/>
  <c r="S85" i="26"/>
  <c r="M43" i="42"/>
  <c r="F21" i="58"/>
  <c r="F23" i="58"/>
  <c r="F25" i="58" s="1"/>
  <c r="F27" i="58" s="1"/>
  <c r="I15" i="62"/>
  <c r="I19" i="62" s="1"/>
  <c r="I23" i="62"/>
  <c r="M23" i="62"/>
  <c r="M20" i="61" s="1"/>
  <c r="I21" i="62"/>
  <c r="M21" i="62" s="1"/>
  <c r="M18" i="61" s="1"/>
  <c r="I17" i="62"/>
  <c r="Q19" i="69"/>
  <c r="H42" i="80"/>
  <c r="I42" i="80"/>
  <c r="A21" i="43"/>
  <c r="A22" i="43"/>
  <c r="G84" i="24"/>
  <c r="G69" i="23"/>
  <c r="O82" i="24"/>
  <c r="Q25" i="69"/>
  <c r="E111" i="53"/>
  <c r="O40" i="42"/>
  <c r="Q40" i="42"/>
  <c r="U40" i="42" s="1"/>
  <c r="G29" i="111"/>
  <c r="G31" i="111" s="1"/>
  <c r="G34" i="111" s="1"/>
  <c r="G35" i="111" s="1"/>
  <c r="F43" i="93" s="1"/>
  <c r="F28" i="93" s="1"/>
  <c r="Q86" i="69"/>
  <c r="I73" i="69"/>
  <c r="G78" i="71"/>
  <c r="E29" i="111"/>
  <c r="E31" i="111" s="1"/>
  <c r="E34" i="111" s="1"/>
  <c r="D21" i="93"/>
  <c r="D25" i="93"/>
  <c r="D27" i="93"/>
  <c r="D29" i="93"/>
  <c r="D31" i="93"/>
  <c r="D33" i="93"/>
  <c r="D35" i="93"/>
  <c r="D37" i="93"/>
  <c r="D22" i="93"/>
  <c r="D28" i="93"/>
  <c r="E28" i="93" s="1"/>
  <c r="D32" i="93"/>
  <c r="D36" i="93"/>
  <c r="G18" i="110"/>
  <c r="G25" i="110"/>
  <c r="I43" i="93" s="1"/>
  <c r="E25" i="93"/>
  <c r="G33" i="93"/>
  <c r="H33" i="93"/>
  <c r="E33" i="93"/>
  <c r="H22" i="93"/>
  <c r="E22" i="93"/>
  <c r="H21" i="93"/>
  <c r="E21" i="93"/>
  <c r="D23" i="93"/>
  <c r="G21" i="93"/>
  <c r="M15" i="62"/>
  <c r="I27" i="62"/>
  <c r="K62" i="80"/>
  <c r="G36" i="93"/>
  <c r="G37" i="93"/>
  <c r="H37" i="93"/>
  <c r="E29" i="93"/>
  <c r="I64" i="71"/>
  <c r="K69" i="23"/>
  <c r="G82" i="23"/>
  <c r="S87" i="26"/>
  <c r="G28" i="93"/>
  <c r="K14" i="23"/>
  <c r="F31" i="93"/>
  <c r="H31" i="93"/>
  <c r="E31" i="93"/>
  <c r="G31" i="93"/>
  <c r="E32" i="93"/>
  <c r="H32" i="93"/>
  <c r="G32" i="93"/>
  <c r="H35" i="93"/>
  <c r="E35" i="93"/>
  <c r="G35" i="93"/>
  <c r="H27" i="93"/>
  <c r="E27" i="93"/>
  <c r="G27" i="93"/>
  <c r="G42" i="80"/>
  <c r="O84" i="24"/>
  <c r="O69" i="23"/>
  <c r="M14" i="61"/>
  <c r="H23" i="93"/>
  <c r="O14" i="23"/>
  <c r="J91" i="80"/>
  <c r="K68" i="80"/>
  <c r="E23" i="93"/>
  <c r="O367" i="8"/>
  <c r="O404" i="8"/>
  <c r="O456" i="8"/>
  <c r="O274" i="8"/>
  <c r="O275" i="8" s="1"/>
  <c r="H497" i="8"/>
  <c r="O136" i="8"/>
  <c r="L146" i="8"/>
  <c r="O481" i="8"/>
  <c r="O482" i="8" s="1"/>
  <c r="F495" i="8"/>
  <c r="H495" i="8"/>
  <c r="H499" i="8" s="1"/>
  <c r="M146" i="8"/>
  <c r="G22" i="34"/>
  <c r="G24" i="34"/>
  <c r="J16" i="4"/>
  <c r="O98" i="8"/>
  <c r="O377" i="8"/>
  <c r="O378" i="8" s="1"/>
  <c r="O95" i="8"/>
  <c r="O178" i="8"/>
  <c r="O179" i="8"/>
  <c r="O221" i="8"/>
  <c r="O222" i="8" s="1"/>
  <c r="O284" i="8"/>
  <c r="O285" i="8"/>
  <c r="O326" i="8"/>
  <c r="O327" i="8" s="1"/>
  <c r="O414" i="8"/>
  <c r="O415" i="8"/>
  <c r="O424" i="8"/>
  <c r="O425" i="8" s="1"/>
  <c r="O451" i="8"/>
  <c r="O452" i="8"/>
  <c r="O476" i="8"/>
  <c r="O183" i="8"/>
  <c r="O184" i="8"/>
  <c r="O231" i="8"/>
  <c r="O232" i="8" s="1"/>
  <c r="O289" i="8"/>
  <c r="O290" i="8"/>
  <c r="O362" i="8"/>
  <c r="O363" i="8" s="1"/>
  <c r="O429" i="8"/>
  <c r="O430" i="8"/>
  <c r="O211" i="8"/>
  <c r="O212" i="8" s="1"/>
  <c r="O242" i="8"/>
  <c r="O243" i="8" s="1"/>
  <c r="O316" i="8"/>
  <c r="O317" i="8"/>
  <c r="O352" i="8"/>
  <c r="O353" i="8" s="1"/>
  <c r="D146" i="8"/>
  <c r="O490" i="8"/>
  <c r="F64" i="4"/>
  <c r="O29" i="8"/>
  <c r="F143" i="4"/>
  <c r="E146" i="8"/>
  <c r="J146" i="8"/>
  <c r="E495" i="8"/>
  <c r="E499" i="8"/>
  <c r="K491" i="8"/>
  <c r="K146" i="8"/>
  <c r="C146" i="8"/>
  <c r="C491" i="8"/>
  <c r="F146" i="8"/>
  <c r="O145" i="8"/>
  <c r="J103" i="4"/>
  <c r="J110" i="4"/>
  <c r="F110" i="4"/>
  <c r="J54" i="4"/>
  <c r="J64" i="4" s="1"/>
  <c r="O141" i="8"/>
  <c r="O496" i="8"/>
  <c r="D489" i="8"/>
  <c r="F39" i="4"/>
  <c r="J34" i="4"/>
  <c r="J39" i="4"/>
  <c r="I146" i="8"/>
  <c r="O162" i="8"/>
  <c r="O164" i="8" s="1"/>
  <c r="M163" i="8"/>
  <c r="O163" i="8"/>
  <c r="G152" i="34"/>
  <c r="G153" i="34" s="1"/>
  <c r="J49" i="4"/>
  <c r="O130" i="8"/>
  <c r="F497" i="8"/>
  <c r="F499" i="8"/>
  <c r="N146" i="8"/>
  <c r="F140" i="4"/>
  <c r="J495" i="8"/>
  <c r="J499" i="8" s="1"/>
  <c r="K495" i="8"/>
  <c r="K499" i="8"/>
  <c r="O115" i="8"/>
  <c r="O116" i="8" s="1"/>
  <c r="O173" i="8"/>
  <c r="O174" i="8"/>
  <c r="O188" i="8"/>
  <c r="O189" i="8" s="1"/>
  <c r="O194" i="8"/>
  <c r="O195" i="8"/>
  <c r="O216" i="8"/>
  <c r="O217" i="8" s="1"/>
  <c r="O226" i="8"/>
  <c r="O227" i="8"/>
  <c r="O236" i="8"/>
  <c r="O237" i="8" s="1"/>
  <c r="O259" i="8"/>
  <c r="O260" i="8" s="1"/>
  <c r="O264" i="8"/>
  <c r="O265" i="8"/>
  <c r="O269" i="8"/>
  <c r="O270" i="8" s="1"/>
  <c r="O279" i="8"/>
  <c r="O280" i="8"/>
  <c r="O306" i="8"/>
  <c r="O307" i="8" s="1"/>
  <c r="O311" i="8"/>
  <c r="O312" i="8"/>
  <c r="O321" i="8"/>
  <c r="O322" i="8" s="1"/>
  <c r="O331" i="8"/>
  <c r="O332" i="8"/>
  <c r="O336" i="8"/>
  <c r="O337" i="8" s="1"/>
  <c r="O357" i="8"/>
  <c r="O358" i="8"/>
  <c r="O372" i="8"/>
  <c r="O382" i="8"/>
  <c r="O383" i="8" s="1"/>
  <c r="O387" i="8"/>
  <c r="O409" i="8"/>
  <c r="O410" i="8" s="1"/>
  <c r="O419" i="8"/>
  <c r="O434" i="8"/>
  <c r="O435" i="8"/>
  <c r="O461" i="8"/>
  <c r="O462" i="8" s="1"/>
  <c r="O471" i="8"/>
  <c r="O472" i="8"/>
  <c r="L489" i="8"/>
  <c r="L493" i="8" s="1"/>
  <c r="O125" i="8"/>
  <c r="G489" i="8"/>
  <c r="M489" i="8"/>
  <c r="F489" i="8"/>
  <c r="F493" i="8" s="1"/>
  <c r="M497" i="8"/>
  <c r="J47" i="4"/>
  <c r="G151" i="34"/>
  <c r="J122" i="4"/>
  <c r="J132" i="4"/>
  <c r="F132" i="4"/>
  <c r="O144" i="8"/>
  <c r="F43" i="4"/>
  <c r="N491" i="8"/>
  <c r="O466" i="8"/>
  <c r="J489" i="8"/>
  <c r="N495" i="8"/>
  <c r="N499" i="8"/>
  <c r="G117" i="34"/>
  <c r="G119" i="34" s="1"/>
  <c r="G124" i="34" s="1"/>
  <c r="F28" i="32"/>
  <c r="R87" i="32" s="1"/>
  <c r="C489" i="8"/>
  <c r="J76" i="4"/>
  <c r="J92" i="4"/>
  <c r="J100" i="4" s="1"/>
  <c r="F100" i="4"/>
  <c r="C495" i="8"/>
  <c r="O92" i="8"/>
  <c r="J491" i="8"/>
  <c r="J493" i="8" s="1"/>
  <c r="F76" i="4"/>
  <c r="H146" i="8"/>
  <c r="I489" i="8"/>
  <c r="I493" i="8"/>
  <c r="O26" i="8"/>
  <c r="F142" i="4" s="1"/>
  <c r="N489" i="8"/>
  <c r="D495" i="8"/>
  <c r="D499" i="8" s="1"/>
  <c r="O492" i="8"/>
  <c r="O498" i="8"/>
  <c r="H489" i="8"/>
  <c r="H493" i="8"/>
  <c r="E489" i="8"/>
  <c r="E493" i="8" s="1"/>
  <c r="O65" i="8"/>
  <c r="F17" i="4"/>
  <c r="G146" i="8"/>
  <c r="G491" i="8"/>
  <c r="O120" i="8"/>
  <c r="O121" i="8"/>
  <c r="F117" i="4"/>
  <c r="I495" i="8"/>
  <c r="I499" i="8" s="1"/>
  <c r="L495" i="8"/>
  <c r="L499" i="8"/>
  <c r="O80" i="8"/>
  <c r="F18" i="4" s="1"/>
  <c r="J113" i="4"/>
  <c r="J117" i="4"/>
  <c r="K489" i="8"/>
  <c r="K493" i="8" s="1"/>
  <c r="M491" i="8"/>
  <c r="M495" i="8"/>
  <c r="M499" i="8"/>
  <c r="G495" i="8"/>
  <c r="G499" i="8" s="1"/>
  <c r="O497" i="8"/>
  <c r="F26" i="4"/>
  <c r="J26" i="4" s="1"/>
  <c r="G75" i="34" s="1"/>
  <c r="G77" i="34" s="1"/>
  <c r="G81" i="34" s="1"/>
  <c r="F27" i="32" s="1"/>
  <c r="J143" i="4"/>
  <c r="M493" i="8"/>
  <c r="O491" i="8"/>
  <c r="J140" i="4"/>
  <c r="N493" i="8"/>
  <c r="J43" i="4"/>
  <c r="G493" i="8"/>
  <c r="J17" i="4"/>
  <c r="C499" i="8"/>
  <c r="O495" i="8"/>
  <c r="O499" i="8"/>
  <c r="F24" i="47"/>
  <c r="F26" i="47" s="1"/>
  <c r="C493" i="8"/>
  <c r="F28" i="4"/>
  <c r="G29" i="34"/>
  <c r="G31" i="34" s="1"/>
  <c r="F19" i="32"/>
  <c r="R78" i="32" s="1"/>
  <c r="E17" i="75" l="1"/>
  <c r="I17" i="75" s="1"/>
  <c r="E49" i="53"/>
  <c r="E55" i="53" s="1"/>
  <c r="F55" i="53" s="1"/>
  <c r="M17" i="76"/>
  <c r="I21" i="76"/>
  <c r="M21" i="76"/>
  <c r="M44" i="76" s="1"/>
  <c r="G32" i="20" s="1"/>
  <c r="I37" i="76"/>
  <c r="M37" i="76"/>
  <c r="I44" i="76"/>
  <c r="E31" i="105"/>
  <c r="F70" i="102"/>
  <c r="D99" i="102"/>
  <c r="H99" i="102" s="1"/>
  <c r="J93" i="102"/>
  <c r="F73" i="102"/>
  <c r="F65" i="102"/>
  <c r="I18" i="73"/>
  <c r="L18" i="73" s="1"/>
  <c r="F69" i="102"/>
  <c r="F71" i="102"/>
  <c r="F63" i="102"/>
  <c r="D101" i="102"/>
  <c r="H101" i="102" s="1"/>
  <c r="F110" i="102"/>
  <c r="F112" i="102" s="1"/>
  <c r="F127" i="102"/>
  <c r="I75" i="102"/>
  <c r="E20" i="74" s="1"/>
  <c r="D64" i="102"/>
  <c r="F64" i="102" s="1"/>
  <c r="F67" i="102"/>
  <c r="F74" i="102"/>
  <c r="K90" i="102"/>
  <c r="K92" i="102" s="1"/>
  <c r="K93" i="102" s="1"/>
  <c r="K94" i="102" s="1"/>
  <c r="F30" i="58"/>
  <c r="G186" i="34"/>
  <c r="G190" i="34" s="1"/>
  <c r="G201" i="34" s="1"/>
  <c r="F37" i="32" s="1"/>
  <c r="P41" i="32"/>
  <c r="F30" i="47"/>
  <c r="J18" i="4"/>
  <c r="G36" i="34"/>
  <c r="G38" i="34" s="1"/>
  <c r="F20" i="32" s="1"/>
  <c r="R79" i="32" s="1"/>
  <c r="F20" i="4"/>
  <c r="F30" i="4" s="1"/>
  <c r="F29" i="32"/>
  <c r="R88" i="32" s="1"/>
  <c r="R86" i="32"/>
  <c r="H42" i="72"/>
  <c r="J20" i="4"/>
  <c r="O489" i="8"/>
  <c r="O493" i="8" s="1"/>
  <c r="D493" i="8"/>
  <c r="J28" i="4"/>
  <c r="F36" i="93"/>
  <c r="I21" i="93"/>
  <c r="I27" i="93"/>
  <c r="I25" i="93"/>
  <c r="I32" i="93"/>
  <c r="I22" i="93"/>
  <c r="I29" i="93"/>
  <c r="I31" i="93"/>
  <c r="I35" i="93"/>
  <c r="I33" i="93"/>
  <c r="G50" i="34"/>
  <c r="F18" i="32"/>
  <c r="I18" i="61"/>
  <c r="I20" i="61"/>
  <c r="I16" i="61"/>
  <c r="J142" i="4"/>
  <c r="G89" i="53"/>
  <c r="G111" i="53" s="1"/>
  <c r="G28" i="53" s="1"/>
  <c r="F28" i="53" s="1"/>
  <c r="F84" i="53"/>
  <c r="F89" i="53" s="1"/>
  <c r="F111" i="53" s="1"/>
  <c r="O146" i="8"/>
  <c r="O147" i="8" s="1"/>
  <c r="K82" i="23"/>
  <c r="F21" i="93"/>
  <c r="F27" i="93"/>
  <c r="J27" i="93" s="1"/>
  <c r="K27" i="93" s="1"/>
  <c r="F37" i="93"/>
  <c r="F32" i="93"/>
  <c r="J32" i="93" s="1"/>
  <c r="K32" i="93" s="1"/>
  <c r="F35" i="93"/>
  <c r="J35" i="93" s="1"/>
  <c r="K35" i="93" s="1"/>
  <c r="H52" i="32"/>
  <c r="H51" i="32"/>
  <c r="H54" i="32" s="1"/>
  <c r="S127" i="26"/>
  <c r="I127" i="26"/>
  <c r="K127" i="26"/>
  <c r="S114" i="26"/>
  <c r="S116" i="26" s="1"/>
  <c r="N52" i="32"/>
  <c r="N51" i="32" s="1"/>
  <c r="N54" i="32" s="1"/>
  <c r="N111" i="32"/>
  <c r="N110" i="32"/>
  <c r="N113" i="32" s="1"/>
  <c r="O25" i="23"/>
  <c r="D29" i="22"/>
  <c r="H29" i="22" s="1"/>
  <c r="L29" i="22" s="1"/>
  <c r="G87" i="23"/>
  <c r="K87" i="23" s="1"/>
  <c r="O87" i="23" s="1"/>
  <c r="K16" i="23"/>
  <c r="G18" i="23"/>
  <c r="S24" i="42"/>
  <c r="S22" i="42"/>
  <c r="I67" i="71"/>
  <c r="I78" i="71" s="1"/>
  <c r="E20" i="99" s="1"/>
  <c r="I86" i="69"/>
  <c r="E68" i="80"/>
  <c r="F22" i="93"/>
  <c r="P111" i="32"/>
  <c r="P110" i="32" s="1"/>
  <c r="P113" i="32" s="1"/>
  <c r="I88" i="80"/>
  <c r="H91" i="80"/>
  <c r="I91" i="80" s="1"/>
  <c r="L91" i="80"/>
  <c r="M68" i="80"/>
  <c r="K36" i="23"/>
  <c r="O36" i="23" s="1"/>
  <c r="G66" i="23"/>
  <c r="I14" i="61"/>
  <c r="I22" i="61" s="1"/>
  <c r="J31" i="93"/>
  <c r="K31" i="93" s="1"/>
  <c r="F96" i="32" s="1"/>
  <c r="I62" i="80"/>
  <c r="H36" i="93"/>
  <c r="E36" i="93"/>
  <c r="I36" i="93"/>
  <c r="I37" i="93"/>
  <c r="E37" i="93"/>
  <c r="J37" i="93" s="1"/>
  <c r="K37" i="93" s="1"/>
  <c r="G29" i="93"/>
  <c r="H29" i="93"/>
  <c r="F29" i="93"/>
  <c r="J29" i="93" s="1"/>
  <c r="K29" i="93" s="1"/>
  <c r="I70" i="69"/>
  <c r="I91" i="69" s="1"/>
  <c r="H28" i="93"/>
  <c r="G22" i="93"/>
  <c r="G23" i="93" s="1"/>
  <c r="F33" i="93"/>
  <c r="J33" i="93" s="1"/>
  <c r="K33" i="93" s="1"/>
  <c r="F25" i="93"/>
  <c r="G25" i="93"/>
  <c r="L90" i="32"/>
  <c r="E29" i="46"/>
  <c r="I27" i="46"/>
  <c r="H40" i="72"/>
  <c r="J90" i="32"/>
  <c r="J107" i="32" s="1"/>
  <c r="I28" i="93"/>
  <c r="J28" i="93" s="1"/>
  <c r="K28" i="93" s="1"/>
  <c r="H25" i="93"/>
  <c r="M91" i="69"/>
  <c r="D26" i="93"/>
  <c r="D30" i="93"/>
  <c r="D34" i="93"/>
  <c r="G109" i="53"/>
  <c r="Q70" i="69"/>
  <c r="Q91" i="69" s="1"/>
  <c r="G20" i="20" s="1"/>
  <c r="L42" i="80"/>
  <c r="C31" i="105"/>
  <c r="M168" i="8"/>
  <c r="O168" i="8" s="1"/>
  <c r="O169" i="8" s="1"/>
  <c r="O166" i="8"/>
  <c r="F45" i="4" s="1"/>
  <c r="K20" i="74"/>
  <c r="O20" i="74" s="1"/>
  <c r="F75" i="102"/>
  <c r="I22" i="64"/>
  <c r="P34" i="72"/>
  <c r="P42" i="72" s="1"/>
  <c r="G24" i="20" s="1"/>
  <c r="E19" i="99" s="1"/>
  <c r="E95" i="102"/>
  <c r="D103" i="102" l="1"/>
  <c r="D105" i="102" s="1"/>
  <c r="H103" i="102"/>
  <c r="I22" i="73"/>
  <c r="L22" i="73" s="1"/>
  <c r="I20" i="74"/>
  <c r="R96" i="32"/>
  <c r="E21" i="75" s="1"/>
  <c r="I21" i="75" s="1"/>
  <c r="I26" i="93"/>
  <c r="I38" i="93" s="1"/>
  <c r="I40" i="93" s="1"/>
  <c r="I41" i="93" s="1"/>
  <c r="F26" i="93"/>
  <c r="E26" i="93"/>
  <c r="G26" i="93"/>
  <c r="H26" i="93"/>
  <c r="H38" i="93" s="1"/>
  <c r="H40" i="93" s="1"/>
  <c r="H41" i="93" s="1"/>
  <c r="M91" i="80"/>
  <c r="K91" i="80"/>
  <c r="F22" i="32"/>
  <c r="R77" i="32"/>
  <c r="K22" i="64"/>
  <c r="I26" i="64"/>
  <c r="K26" i="64" s="1"/>
  <c r="M42" i="80"/>
  <c r="K42" i="80"/>
  <c r="H30" i="93"/>
  <c r="E30" i="93"/>
  <c r="G30" i="93"/>
  <c r="I30" i="93"/>
  <c r="F30" i="93"/>
  <c r="F38" i="93" s="1"/>
  <c r="F40" i="93" s="1"/>
  <c r="F41" i="93" s="1"/>
  <c r="J36" i="93"/>
  <c r="K36" i="93" s="1"/>
  <c r="F98" i="32" s="1"/>
  <c r="R98" i="32" s="1"/>
  <c r="E25" i="75" s="1"/>
  <c r="I25" i="75" s="1"/>
  <c r="G91" i="80"/>
  <c r="O16" i="23"/>
  <c r="O18" i="23" s="1"/>
  <c r="K18" i="23"/>
  <c r="O66" i="23"/>
  <c r="D23" i="22" s="1"/>
  <c r="H23" i="22" s="1"/>
  <c r="L23" i="22" s="1"/>
  <c r="J30" i="4"/>
  <c r="J45" i="4"/>
  <c r="J51" i="4" s="1"/>
  <c r="F51" i="4"/>
  <c r="J25" i="93"/>
  <c r="I22" i="42"/>
  <c r="O22" i="42"/>
  <c r="J110" i="32"/>
  <c r="J113" i="32"/>
  <c r="J111" i="32"/>
  <c r="I29" i="46"/>
  <c r="I32" i="46" s="1"/>
  <c r="I36" i="46" s="1"/>
  <c r="H99" i="32" s="1"/>
  <c r="H105" i="32" s="1"/>
  <c r="H107" i="32" s="1"/>
  <c r="E32" i="46"/>
  <c r="S25" i="42"/>
  <c r="S23" i="42"/>
  <c r="I24" i="42"/>
  <c r="K24" i="42" s="1"/>
  <c r="O24" i="42"/>
  <c r="Q24" i="42" s="1"/>
  <c r="U24" i="42" s="1"/>
  <c r="F23" i="93"/>
  <c r="J21" i="93"/>
  <c r="I23" i="93"/>
  <c r="I95" i="102"/>
  <c r="J95" i="102" s="1"/>
  <c r="E97" i="102"/>
  <c r="H34" i="93"/>
  <c r="E34" i="93"/>
  <c r="J34" i="93" s="1"/>
  <c r="K34" i="93" s="1"/>
  <c r="F97" i="32" s="1"/>
  <c r="R97" i="32" s="1"/>
  <c r="E23" i="75" s="1"/>
  <c r="I23" i="75" s="1"/>
  <c r="F34" i="93"/>
  <c r="G34" i="93"/>
  <c r="G38" i="93" s="1"/>
  <c r="G40" i="93" s="1"/>
  <c r="G41" i="93" s="1"/>
  <c r="I34" i="93"/>
  <c r="J22" i="93"/>
  <c r="G84" i="23"/>
  <c r="K66" i="23"/>
  <c r="D38" i="93"/>
  <c r="D40" i="93" s="1"/>
  <c r="D41" i="93" s="1"/>
  <c r="D43" i="93" s="1"/>
  <c r="P46" i="32"/>
  <c r="P48" i="32" s="1"/>
  <c r="R100" i="32"/>
  <c r="E20" i="2" s="1"/>
  <c r="I20" i="2" s="1"/>
  <c r="H105" i="102" l="1"/>
  <c r="D107" i="102"/>
  <c r="H111" i="32"/>
  <c r="H110" i="32"/>
  <c r="H113" i="32" s="1"/>
  <c r="R81" i="32"/>
  <c r="R90" i="32" s="1"/>
  <c r="F31" i="32"/>
  <c r="P52" i="32"/>
  <c r="P51" i="32" s="1"/>
  <c r="P54" i="32" s="1"/>
  <c r="K95" i="102"/>
  <c r="K96" i="102"/>
  <c r="J23" i="93"/>
  <c r="O23" i="42"/>
  <c r="Q23" i="42" s="1"/>
  <c r="I23" i="42"/>
  <c r="K23" i="42" s="1"/>
  <c r="K22" i="42"/>
  <c r="O84" i="23"/>
  <c r="D15" i="22"/>
  <c r="J30" i="93"/>
  <c r="K30" i="93" s="1"/>
  <c r="K16" i="61"/>
  <c r="K17" i="62"/>
  <c r="M17" i="62" s="1"/>
  <c r="S29" i="42"/>
  <c r="O25" i="42"/>
  <c r="Q25" i="42" s="1"/>
  <c r="I25" i="42"/>
  <c r="K25" i="42" s="1"/>
  <c r="K25" i="93"/>
  <c r="I97" i="102"/>
  <c r="J97" i="102" s="1"/>
  <c r="E99" i="102"/>
  <c r="Q22" i="42"/>
  <c r="F138" i="4"/>
  <c r="K84" i="23"/>
  <c r="J26" i="93"/>
  <c r="K26" i="93" s="1"/>
  <c r="F95" i="32" s="1"/>
  <c r="R95" i="32" s="1"/>
  <c r="E38" i="93"/>
  <c r="E40" i="93" s="1"/>
  <c r="H107" i="102" l="1"/>
  <c r="D109" i="102"/>
  <c r="E19" i="75"/>
  <c r="I19" i="75" s="1"/>
  <c r="J38" i="93"/>
  <c r="D33" i="22"/>
  <c r="H15" i="22"/>
  <c r="Q26" i="42"/>
  <c r="U22" i="42"/>
  <c r="U26" i="42" s="1"/>
  <c r="K38" i="93"/>
  <c r="F93" i="32"/>
  <c r="M19" i="62"/>
  <c r="M27" i="62" s="1"/>
  <c r="M16" i="61"/>
  <c r="M22" i="61" s="1"/>
  <c r="U23" i="42"/>
  <c r="F145" i="4"/>
  <c r="F147" i="4" s="1"/>
  <c r="J147" i="4" s="1"/>
  <c r="J138" i="4"/>
  <c r="J145" i="4" s="1"/>
  <c r="E101" i="102"/>
  <c r="I99" i="102"/>
  <c r="J99" i="102" s="1"/>
  <c r="K26" i="42"/>
  <c r="J40" i="93"/>
  <c r="E41" i="93"/>
  <c r="U25" i="42"/>
  <c r="I26" i="42"/>
  <c r="K98" i="102"/>
  <c r="K97" i="102"/>
  <c r="G155" i="34"/>
  <c r="G157" i="34" s="1"/>
  <c r="F34" i="32" s="1"/>
  <c r="F23" i="3"/>
  <c r="O26" i="42"/>
  <c r="I29" i="42"/>
  <c r="O29" i="42"/>
  <c r="S30" i="42"/>
  <c r="F25" i="3" l="1"/>
  <c r="H109" i="102"/>
  <c r="D111" i="102"/>
  <c r="Q29" i="42"/>
  <c r="I101" i="102"/>
  <c r="J101" i="102" s="1"/>
  <c r="E103" i="102"/>
  <c r="L15" i="22"/>
  <c r="L33" i="22" s="1"/>
  <c r="G14" i="20" s="1"/>
  <c r="H33" i="22"/>
  <c r="I30" i="42"/>
  <c r="K30" i="42" s="1"/>
  <c r="O30" i="42"/>
  <c r="Q30" i="42" s="1"/>
  <c r="U30" i="42" s="1"/>
  <c r="K99" i="102"/>
  <c r="K100" i="102"/>
  <c r="K40" i="93"/>
  <c r="K41" i="93" s="1"/>
  <c r="J41" i="93"/>
  <c r="J43" i="93" s="1"/>
  <c r="I33" i="2"/>
  <c r="I34" i="42"/>
  <c r="I43" i="42" s="1"/>
  <c r="K29" i="42"/>
  <c r="K34" i="42" s="1"/>
  <c r="K43" i="42" s="1"/>
  <c r="R93" i="32"/>
  <c r="H111" i="102" l="1"/>
  <c r="D113" i="102"/>
  <c r="H113" i="102" s="1"/>
  <c r="G22" i="20"/>
  <c r="E18" i="99"/>
  <c r="E22" i="99" s="1"/>
  <c r="H24" i="99" s="1"/>
  <c r="Q34" i="42"/>
  <c r="Q43" i="42" s="1"/>
  <c r="U29" i="42"/>
  <c r="U34" i="42" s="1"/>
  <c r="U43" i="42" s="1"/>
  <c r="L40" i="32" s="1"/>
  <c r="L46" i="32" s="1"/>
  <c r="L48" i="32" s="1"/>
  <c r="K101" i="102"/>
  <c r="K102" i="102"/>
  <c r="I103" i="102"/>
  <c r="J103" i="102" s="1"/>
  <c r="E105" i="102"/>
  <c r="G222" i="34"/>
  <c r="G226" i="34" s="1"/>
  <c r="G230" i="34" s="1"/>
  <c r="G234" i="34" s="1"/>
  <c r="F40" i="32" s="1"/>
  <c r="E15" i="2"/>
  <c r="I15" i="75"/>
  <c r="O34" i="42"/>
  <c r="O43" i="42" s="1"/>
  <c r="K43" i="93"/>
  <c r="F99" i="32"/>
  <c r="F105" i="32" s="1"/>
  <c r="F107" i="32" s="1"/>
  <c r="L52" i="32" l="1"/>
  <c r="L51" i="32" s="1"/>
  <c r="L54" i="32" s="1"/>
  <c r="F111" i="32"/>
  <c r="F110" i="32"/>
  <c r="F113" i="32"/>
  <c r="G45" i="18"/>
  <c r="K103" i="102"/>
  <c r="K104" i="102"/>
  <c r="E107" i="102"/>
  <c r="I105" i="102"/>
  <c r="J105" i="102" s="1"/>
  <c r="R99" i="32"/>
  <c r="F46" i="32"/>
  <c r="F48" i="32" s="1"/>
  <c r="F52" i="32" l="1"/>
  <c r="F51" i="32" s="1"/>
  <c r="E18" i="2"/>
  <c r="K106" i="102"/>
  <c r="K105" i="102"/>
  <c r="I107" i="102"/>
  <c r="J107" i="102" s="1"/>
  <c r="E109" i="102"/>
  <c r="F39" i="3" l="1"/>
  <c r="K107" i="102"/>
  <c r="K108" i="102"/>
  <c r="I109" i="102"/>
  <c r="J109" i="102" s="1"/>
  <c r="E111" i="102"/>
  <c r="F54" i="32"/>
  <c r="I18" i="2"/>
  <c r="F41" i="3" l="1"/>
  <c r="F45" i="3" s="1"/>
  <c r="I111" i="102"/>
  <c r="J111" i="102" s="1"/>
  <c r="E113" i="102"/>
  <c r="I113" i="102" s="1"/>
  <c r="J113" i="102" s="1"/>
  <c r="K110" i="102"/>
  <c r="K109" i="102"/>
  <c r="E27" i="75"/>
  <c r="E19" i="2"/>
  <c r="K111" i="102" l="1"/>
  <c r="K112" i="102"/>
  <c r="K113" i="102" s="1"/>
  <c r="I27" i="75"/>
  <c r="I29" i="75" s="1"/>
  <c r="E29" i="75"/>
  <c r="K127" i="102"/>
  <c r="G127" i="102" s="1"/>
  <c r="K115" i="102"/>
  <c r="I14" i="73" l="1"/>
  <c r="G26" i="20"/>
  <c r="G130" i="102"/>
  <c r="G129" i="102"/>
  <c r="K129" i="102" s="1"/>
  <c r="G131" i="102" l="1"/>
  <c r="I130" i="102"/>
  <c r="H130" i="102"/>
  <c r="L14" i="73"/>
  <c r="K130" i="102" l="1"/>
  <c r="G132" i="102"/>
  <c r="I131" i="102"/>
  <c r="H131" i="102"/>
  <c r="K131" i="102" l="1"/>
  <c r="G133" i="102"/>
  <c r="I132" i="102"/>
  <c r="H132" i="102"/>
  <c r="K132" i="102" l="1"/>
  <c r="G134" i="102"/>
  <c r="H133" i="102"/>
  <c r="I133" i="102"/>
  <c r="K133" i="102" l="1"/>
  <c r="G135" i="102"/>
  <c r="I134" i="102"/>
  <c r="H134" i="102"/>
  <c r="K134" i="102" l="1"/>
  <c r="G136" i="102"/>
  <c r="H135" i="102"/>
  <c r="I135" i="102"/>
  <c r="K135" i="102" l="1"/>
  <c r="G137" i="102"/>
  <c r="I136" i="102"/>
  <c r="H136" i="102"/>
  <c r="K136" i="102" l="1"/>
  <c r="G138" i="102"/>
  <c r="H137" i="102"/>
  <c r="I137" i="102"/>
  <c r="K137" i="102" l="1"/>
  <c r="G139" i="102"/>
  <c r="I138" i="102"/>
  <c r="H138" i="102"/>
  <c r="K138" i="102" l="1"/>
  <c r="G140" i="102"/>
  <c r="I139" i="102"/>
  <c r="H139" i="102"/>
  <c r="K139" i="102" l="1"/>
  <c r="G141" i="102"/>
  <c r="I140" i="102"/>
  <c r="H140" i="102"/>
  <c r="K140" i="102" l="1"/>
  <c r="H141" i="102"/>
  <c r="I141" i="102"/>
  <c r="K141" i="102" l="1"/>
  <c r="K18" i="74"/>
  <c r="E18" i="74" l="1"/>
  <c r="E26" i="99"/>
  <c r="E28" i="99" s="1"/>
  <c r="H30" i="99" s="1"/>
  <c r="H32" i="99" s="1"/>
  <c r="H34" i="99" s="1"/>
  <c r="H36" i="99" s="1"/>
  <c r="H40" i="99" s="1"/>
  <c r="L102" i="32" s="1"/>
  <c r="K22" i="74"/>
  <c r="O18" i="74"/>
  <c r="O22" i="74" s="1"/>
  <c r="R102" i="32" l="1"/>
  <c r="R105" i="32" s="1"/>
  <c r="R107" i="32" s="1"/>
  <c r="L105" i="32"/>
  <c r="L107" i="32" s="1"/>
  <c r="E22" i="74"/>
  <c r="I18" i="74"/>
  <c r="I22" i="74" s="1"/>
  <c r="G28" i="20" s="1"/>
  <c r="G36" i="20" s="1"/>
  <c r="G15" i="18" s="1"/>
  <c r="I20" i="73"/>
  <c r="E31" i="2" l="1"/>
  <c r="I31" i="2" s="1"/>
  <c r="I29" i="2" s="1"/>
  <c r="F16" i="53"/>
  <c r="G23" i="18"/>
  <c r="L20" i="73"/>
  <c r="L24" i="73" s="1"/>
  <c r="I24" i="73"/>
  <c r="L111" i="32"/>
  <c r="R111" i="32" s="1"/>
  <c r="L110" i="32" l="1"/>
  <c r="E21" i="2"/>
  <c r="I21" i="2" l="1"/>
  <c r="E23" i="2"/>
  <c r="E15" i="53" s="1"/>
  <c r="E17" i="53" s="1"/>
  <c r="R110" i="32"/>
  <c r="R113" i="32" s="1"/>
  <c r="L113" i="32"/>
  <c r="E30" i="53" l="1"/>
  <c r="E19" i="53"/>
  <c r="E21" i="53" s="1"/>
  <c r="E34" i="53"/>
  <c r="G15" i="53"/>
  <c r="E36" i="53" l="1"/>
  <c r="E38" i="53" s="1"/>
  <c r="E43" i="53" s="1"/>
  <c r="E45" i="53" s="1"/>
  <c r="F15" i="53"/>
  <c r="G17" i="53"/>
  <c r="E57" i="53" l="1"/>
  <c r="E59" i="53" s="1"/>
  <c r="E63" i="53" s="1"/>
  <c r="G30" i="53"/>
  <c r="F17" i="53"/>
  <c r="F30" i="53" l="1"/>
  <c r="G32" i="53"/>
  <c r="F32" i="53" l="1"/>
  <c r="G34" i="53"/>
  <c r="F34" i="53" l="1"/>
  <c r="G44" i="53"/>
  <c r="G36" i="53"/>
  <c r="F36" i="53" l="1"/>
  <c r="G38" i="53"/>
  <c r="G61" i="53"/>
  <c r="F44" i="53"/>
  <c r="F61" i="53" l="1"/>
  <c r="G43" i="53"/>
  <c r="F38" i="53"/>
  <c r="G57" i="53" l="1"/>
  <c r="F43" i="53"/>
  <c r="G45" i="53"/>
  <c r="F45" i="53" s="1"/>
  <c r="E26" i="2"/>
  <c r="G59" i="53" l="1"/>
  <c r="F57" i="53"/>
  <c r="F59" i="53" l="1"/>
  <c r="G63" i="53"/>
  <c r="F63" i="53" s="1"/>
  <c r="E25" i="2" l="1"/>
  <c r="G17" i="18"/>
  <c r="G19" i="18" l="1"/>
  <c r="G25" i="18"/>
  <c r="E27" i="2"/>
  <c r="E29" i="2" s="1"/>
  <c r="G29" i="18" l="1"/>
  <c r="G39" i="18"/>
  <c r="E33" i="2"/>
  <c r="G29" i="2"/>
  <c r="G15" i="2" s="1"/>
  <c r="G41" i="18" l="1"/>
  <c r="G26" i="2"/>
  <c r="I26" i="2" s="1"/>
  <c r="G25" i="2"/>
  <c r="G43" i="18"/>
  <c r="G47" i="18" s="1"/>
  <c r="G19" i="2"/>
  <c r="I19" i="2" s="1"/>
  <c r="I15" i="2"/>
  <c r="I23" i="2" l="1"/>
  <c r="G23" i="2"/>
  <c r="G27" i="2"/>
  <c r="I25" i="2"/>
  <c r="I27" i="2" s="1"/>
</calcChain>
</file>

<file path=xl/comments1.xml><?xml version="1.0" encoding="utf-8"?>
<comments xmlns="http://schemas.openxmlformats.org/spreadsheetml/2006/main">
  <authors>
    <author>NiSource</author>
  </authors>
  <commentList>
    <comment ref="G16" authorId="0" shapeId="0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Acct 105
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Acct 114
</t>
        </r>
      </text>
    </comment>
  </commentList>
</comments>
</file>

<file path=xl/comments2.xml><?xml version="1.0" encoding="utf-8"?>
<comments xmlns="http://schemas.openxmlformats.org/spreadsheetml/2006/main">
  <authors>
    <author>NiSource</author>
  </authors>
  <commentList>
    <comment ref="H63" authorId="0" shapeId="0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Excludes regulatory commission fees, activity 11154</t>
        </r>
      </text>
    </comment>
  </commentList>
</comments>
</file>

<file path=xl/comments3.xml><?xml version="1.0" encoding="utf-8"?>
<comments xmlns="http://schemas.openxmlformats.org/spreadsheetml/2006/main">
  <authors>
    <author>NiSource</author>
  </authors>
  <commentList>
    <comment ref="G188" authorId="0" shapeId="0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acct 904 - EAP 904</t>
        </r>
      </text>
    </comment>
    <comment ref="G195" authorId="0" shapeId="0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904 8520</t>
        </r>
      </text>
    </comment>
    <comment ref="G228" authorId="0" shapeId="0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928 8931</t>
        </r>
      </text>
    </comment>
  </commentList>
</comments>
</file>

<file path=xl/comments4.xml><?xml version="1.0" encoding="utf-8"?>
<comments xmlns="http://schemas.openxmlformats.org/spreadsheetml/2006/main">
  <authors>
    <author>NiSource</author>
    <author>Columbia Gas</author>
    <author>Marjorie Matthews</author>
  </authors>
  <commentList>
    <comment ref="M29" authorId="0" shapeId="0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FAS 106
</t>
        </r>
      </text>
    </comment>
    <comment ref="M30" authorId="0" shapeId="0">
      <text>
        <r>
          <rPr>
            <b/>
            <sz val="8"/>
            <color indexed="81"/>
            <rFont val="Tahoma"/>
            <family val="2"/>
          </rPr>
          <t>NiSource:</t>
        </r>
        <r>
          <rPr>
            <sz val="8"/>
            <color indexed="81"/>
            <rFont val="Tahoma"/>
            <family val="2"/>
          </rPr>
          <t xml:space="preserve">
FAS 106
</t>
        </r>
      </text>
    </comment>
    <comment ref="I37" authorId="1" shapeId="0">
      <text>
        <r>
          <rPr>
            <b/>
            <sz val="8"/>
            <color indexed="81"/>
            <rFont val="Tahoma"/>
            <family val="2"/>
          </rPr>
          <t>Columbia Gas:</t>
        </r>
        <r>
          <rPr>
            <sz val="8"/>
            <color indexed="81"/>
            <rFont val="Tahoma"/>
            <family val="2"/>
          </rPr>
          <t xml:space="preserve">
926-9071</t>
        </r>
      </text>
    </comment>
    <comment ref="M37" authorId="1" shapeId="0">
      <text>
        <r>
          <rPr>
            <b/>
            <sz val="8"/>
            <color indexed="81"/>
            <rFont val="Tahoma"/>
            <family val="2"/>
          </rPr>
          <t>Columbia Gas:</t>
        </r>
        <r>
          <rPr>
            <sz val="8"/>
            <color indexed="81"/>
            <rFont val="Tahoma"/>
            <family val="2"/>
          </rPr>
          <t xml:space="preserve">
From S. Gavito letter</t>
        </r>
      </text>
    </comment>
    <comment ref="I40" authorId="1" shapeId="0">
      <text>
        <r>
          <rPr>
            <b/>
            <sz val="8"/>
            <color indexed="81"/>
            <rFont val="Tahoma"/>
            <family val="2"/>
          </rPr>
          <t>Columbia Gas:</t>
        </r>
        <r>
          <rPr>
            <sz val="8"/>
            <color indexed="81"/>
            <rFont val="Tahoma"/>
            <family val="2"/>
          </rPr>
          <t xml:space="preserve">
926-9091</t>
        </r>
      </text>
    </comment>
    <comment ref="C53" authorId="2" shapeId="0">
      <text>
        <r>
          <rPr>
            <b/>
            <sz val="8"/>
            <color indexed="81"/>
            <rFont val="Tahoma"/>
            <family val="2"/>
          </rPr>
          <t>Marjorie Matthews:</t>
        </r>
        <r>
          <rPr>
            <sz val="8"/>
            <color indexed="81"/>
            <rFont val="Tahoma"/>
            <family val="2"/>
          </rPr>
          <t xml:space="preserve">
926-9051
</t>
        </r>
      </text>
    </comment>
    <comment ref="E53" authorId="2" shapeId="0">
      <text>
        <r>
          <rPr>
            <b/>
            <sz val="8"/>
            <color indexed="81"/>
            <rFont val="Tahoma"/>
            <family val="2"/>
          </rPr>
          <t>Marjorie Matthews:</t>
        </r>
        <r>
          <rPr>
            <sz val="8"/>
            <color indexed="81"/>
            <rFont val="Tahoma"/>
            <family val="2"/>
          </rPr>
          <t xml:space="preserve">
9041 - 9045 PER F/S
</t>
        </r>
      </text>
    </comment>
  </commentList>
</comments>
</file>

<file path=xl/comments5.xml><?xml version="1.0" encoding="utf-8"?>
<comments xmlns="http://schemas.openxmlformats.org/spreadsheetml/2006/main">
  <authors>
    <author>P.Fischer</author>
  </authors>
  <commentList>
    <comment ref="C33" authorId="0" shapeId="0">
      <text>
        <r>
          <rPr>
            <b/>
            <sz val="8"/>
            <color indexed="81"/>
            <rFont val="Tahoma"/>
            <family val="2"/>
          </rPr>
          <t>P.Fischer:</t>
        </r>
        <r>
          <rPr>
            <sz val="8"/>
            <color indexed="81"/>
            <rFont val="Tahoma"/>
            <family val="2"/>
          </rPr>
          <t xml:space="preserve">
Accrual v Return, Bonus Dep, foreign SITr &amp; Cons Tax Savings</t>
        </r>
      </text>
    </comment>
  </commentList>
</comments>
</file>

<file path=xl/sharedStrings.xml><?xml version="1.0" encoding="utf-8"?>
<sst xmlns="http://schemas.openxmlformats.org/spreadsheetml/2006/main" count="4650" uniqueCount="1858">
  <si>
    <t>Book Net Income before Income Tax &amp; Credits</t>
  </si>
  <si>
    <t>LN 1 - 2</t>
  </si>
  <si>
    <t>Statutory Adjustments to Taxable Income</t>
  </si>
  <si>
    <t>PG 2</t>
  </si>
  <si>
    <t>State Taxable Income</t>
  </si>
  <si>
    <t>LN 3+4</t>
  </si>
  <si>
    <t xml:space="preserve">State Income Tax </t>
  </si>
  <si>
    <t>LN 5 X Rate</t>
  </si>
  <si>
    <t>Other Adjustments</t>
  </si>
  <si>
    <t>Total State Income Tax</t>
  </si>
  <si>
    <t>Federal Taxable Income</t>
  </si>
  <si>
    <t>COLUMN (D) - INCLUDES ACCOUNTS 101 &amp; 106 (IN SERVICE).</t>
  </si>
  <si>
    <t>Gas Plant</t>
  </si>
  <si>
    <t>Accrual</t>
  </si>
  <si>
    <t>Account</t>
  </si>
  <si>
    <t>Expense</t>
  </si>
  <si>
    <t>ANNUALIZATION OF PROPERTY &amp; LIABILITY INSURANCE EXPENSE</t>
  </si>
  <si>
    <t>Annualized</t>
  </si>
  <si>
    <t>Test Year</t>
  </si>
  <si>
    <t>Total Premiums</t>
  </si>
  <si>
    <t>(3 = 1 - 2)</t>
  </si>
  <si>
    <t>In Service</t>
  </si>
  <si>
    <t>Depreciation</t>
  </si>
  <si>
    <t>Federal Income Tax</t>
  </si>
  <si>
    <t>Prior Adjustment to Federal Income Tax</t>
  </si>
  <si>
    <t>Other Adjustments to Federal Income Tax</t>
  </si>
  <si>
    <t>Current Federal Income Tax</t>
  </si>
  <si>
    <t>Current State Income Tax</t>
  </si>
  <si>
    <t>Total Current Income Tax</t>
  </si>
  <si>
    <t>Provision for Deferred Federal Income Tax</t>
  </si>
  <si>
    <t>Provision for Deferred State Income Tax</t>
  </si>
  <si>
    <t>Total Provision for Deferred Income Taxes</t>
  </si>
  <si>
    <t>Total Federal Income Taxes</t>
  </si>
  <si>
    <t>Amortization of Investment Tax Credit</t>
  </si>
  <si>
    <t>Net Federal Income Taxes</t>
  </si>
  <si>
    <t>Net State Income Taxes</t>
  </si>
  <si>
    <t>Total Income Tax Expense</t>
  </si>
  <si>
    <t>Unadjusted</t>
  </si>
  <si>
    <t>Other Reconciling Items-Flow Through</t>
  </si>
  <si>
    <t>Excess of Book Over Tax Depreciation</t>
  </si>
  <si>
    <t>Total Other Recon. Items-Flow Thru</t>
  </si>
  <si>
    <t>Other Reconciling Items-Deferred</t>
  </si>
  <si>
    <t>Excess of Tax Accelerated of Tax S/L</t>
  </si>
  <si>
    <t>Loss on Retirement - ACRS property</t>
  </si>
  <si>
    <t>Property Removal Costs</t>
  </si>
  <si>
    <t>Legal Liability-Leased Hdqtrs. Bldg.</t>
  </si>
  <si>
    <t>Contributions in Aid of Construction</t>
  </si>
  <si>
    <t>Capitalized Interest - Avoided Cost</t>
  </si>
  <si>
    <t>Deferred Gas Purchases</t>
  </si>
  <si>
    <t>Deferred Gas Purchases - Unbilled</t>
  </si>
  <si>
    <t>Section 461(h) - Supplier Refunds</t>
  </si>
  <si>
    <t xml:space="preserve">Property Insurance Account 924: </t>
  </si>
  <si>
    <t>Workers Compensation Account 925:</t>
  </si>
  <si>
    <t>LIFO Tax Adjustment</t>
  </si>
  <si>
    <t>OPEB</t>
  </si>
  <si>
    <t>Other</t>
  </si>
  <si>
    <t>Total Other Recon. Items-Deferred</t>
  </si>
  <si>
    <t>Total Other Reconciling Items</t>
  </si>
  <si>
    <t>DEVELOPMENT OF FEDERAL AND STATE INCOME TAXES</t>
  </si>
  <si>
    <t>SCHEDULE E-2</t>
  </si>
  <si>
    <t>Jurisdictional</t>
  </si>
  <si>
    <t>Code/</t>
  </si>
  <si>
    <t>Account  Title</t>
  </si>
  <si>
    <t>Utility</t>
  </si>
  <si>
    <t>Percent</t>
  </si>
  <si>
    <t>Jurisdiction</t>
  </si>
  <si>
    <t>Explanation</t>
  </si>
  <si>
    <t>LN 6+7</t>
  </si>
  <si>
    <t>LN 5 - 8</t>
  </si>
  <si>
    <t>LN 9 x Rate</t>
  </si>
  <si>
    <t>LN 10+11+12</t>
  </si>
  <si>
    <t>LN 13+14</t>
  </si>
  <si>
    <t>LN 16+17</t>
  </si>
  <si>
    <t>LN 19+20</t>
  </si>
  <si>
    <t>LN 18+21</t>
  </si>
  <si>
    <t>LN 13+18</t>
  </si>
  <si>
    <t>LN 14+21</t>
  </si>
  <si>
    <t>LN 25+26</t>
  </si>
  <si>
    <t>Columbia Gas of Kentucky participates in the NiSource Money Pool.  The cost of short-term debt used</t>
  </si>
  <si>
    <t>was the average of the last 3 months Money Pool rate.  (See calculation below)</t>
  </si>
  <si>
    <t>/3</t>
  </si>
  <si>
    <t>NOT APPLICABLE TO COLUMBIA GAS OF KENTUCKY, INC.</t>
  </si>
  <si>
    <t>100% JURISDICTIONAL FOR COLUMBIA GAS OF KENTUCKY, INC.</t>
  </si>
  <si>
    <t>SCHEDULE  F</t>
  </si>
  <si>
    <t>OTHER EXPENSES</t>
  </si>
  <si>
    <t>HISTORIC TEST PERIOD :</t>
  </si>
  <si>
    <t>SCHEDULE F IS NOT A REQUIREMENT OF AN HISTORIC TEST PERIOD FILING.</t>
  </si>
  <si>
    <t>SCHEDULE  G</t>
  </si>
  <si>
    <t>PAYROLL COST ANALYSIS</t>
  </si>
  <si>
    <t>SCHEDULE G IS NOT A REQUIREMENT OF AN HISTORIC TEST PERIOD FILING.</t>
  </si>
  <si>
    <t>SCHEDULE H</t>
  </si>
  <si>
    <t>CASE NO. :</t>
  </si>
  <si>
    <t>COMPUTATION OF GROSS REVENUE CONVERSION FACTOR</t>
  </si>
  <si>
    <t>SCHEDULE H-1</t>
  </si>
  <si>
    <t>PERCENTAGE OF</t>
  </si>
  <si>
    <t>INCREMENTAL</t>
  </si>
  <si>
    <t>GROSS REVENUE</t>
  </si>
  <si>
    <t>LESS: UNCOLLECTIBLE ACCOUNTS EXPENSE</t>
  </si>
  <si>
    <t>LESS: PSC FEES</t>
  </si>
  <si>
    <t>NET REVENUES</t>
  </si>
  <si>
    <t>INCOME BEFORE FEDERAL INCOME TAX</t>
  </si>
  <si>
    <t>7</t>
  </si>
  <si>
    <t>8</t>
  </si>
  <si>
    <t>OPERATING INCOME PERCENTAGE</t>
  </si>
  <si>
    <t>9</t>
  </si>
  <si>
    <t>10</t>
  </si>
  <si>
    <t>(100 % DIVIDED BY INCOME AFTER INCOME TAX)</t>
  </si>
  <si>
    <t xml:space="preserve">                            </t>
  </si>
  <si>
    <t>SCHEDULE I</t>
  </si>
  <si>
    <t>STATISTICAL DATA</t>
  </si>
  <si>
    <t>SCHEDULE I IS NOT A REQUIREMENT OF AN HISTORIC TEST PERIOD FILING.</t>
  </si>
  <si>
    <t>Adjustment to O&amp;M for KPSC Maintenance Expense</t>
  </si>
  <si>
    <t>H-1</t>
  </si>
  <si>
    <t>Ongoing Level</t>
  </si>
  <si>
    <t>Rate 1_/</t>
  </si>
  <si>
    <t>of property &amp; liability insurance expense at levels</t>
  </si>
  <si>
    <t>(8 = 6 - 3 )</t>
  </si>
  <si>
    <t>9048</t>
  </si>
  <si>
    <t>9049</t>
  </si>
  <si>
    <t>SFAS 106 Amortization</t>
  </si>
  <si>
    <t>SFAS 112 Amortization</t>
  </si>
  <si>
    <t>SCHEDULE J</t>
  </si>
  <si>
    <t>J-1</t>
  </si>
  <si>
    <t>COST OF CAPITAL SUMMARY</t>
  </si>
  <si>
    <t>J-1.1</t>
  </si>
  <si>
    <t>J-2</t>
  </si>
  <si>
    <t>EMBEDDED COST OF SHORT-TERM DEBT</t>
  </si>
  <si>
    <t>J-3</t>
  </si>
  <si>
    <t>EMBEDDED COST OF LONG-TERM DEBT</t>
  </si>
  <si>
    <t>J-4</t>
  </si>
  <si>
    <t>EMBEDDED COST OF PREFERRED STOCK</t>
  </si>
  <si>
    <t>SCHEDULE J-1</t>
  </si>
  <si>
    <t>WEIGHTED</t>
  </si>
  <si>
    <t>CLASS OF CAPITAL</t>
  </si>
  <si>
    <t>OF TOTAL</t>
  </si>
  <si>
    <t>COST RATE</t>
  </si>
  <si>
    <t>(E)</t>
  </si>
  <si>
    <t>(F=D*E)</t>
  </si>
  <si>
    <t>(%)</t>
  </si>
  <si>
    <t>SHORT-TERM DEBT</t>
  </si>
  <si>
    <t>LONG-TERM DEBT</t>
  </si>
  <si>
    <t>PREFERRED STOCK</t>
  </si>
  <si>
    <t>COMMON EQUITY</t>
  </si>
  <si>
    <t>TOTAL CAPITAL</t>
  </si>
  <si>
    <t>SCHEDULE J-1.1</t>
  </si>
  <si>
    <t>TOTAL DEBT</t>
  </si>
  <si>
    <t>OTHER CAPITAL</t>
  </si>
  <si>
    <t>SCHEDULE J-2</t>
  </si>
  <si>
    <t>EFFECTIVE</t>
  </si>
  <si>
    <t>COMPOSITE</t>
  </si>
  <si>
    <t>INTEREST</t>
  </si>
  <si>
    <t>ANNUAL</t>
  </si>
  <si>
    <t>ISSUE</t>
  </si>
  <si>
    <t>OUTSTANDING</t>
  </si>
  <si>
    <t>SCHEDULE J-3</t>
  </si>
  <si>
    <t>(E=D/B)</t>
  </si>
  <si>
    <t>INSTALLMENT PROMISSORY NOTES</t>
  </si>
  <si>
    <t>TOTAL LONG-TERM DEBT</t>
  </si>
  <si>
    <t>SCHEDULE J-4</t>
  </si>
  <si>
    <t>DIVIDEND</t>
  </si>
  <si>
    <t>PREMIUM</t>
  </si>
  <si>
    <t>pages 3 &amp; 21</t>
  </si>
  <si>
    <t xml:space="preserve">   Profit Sharing included in O&amp;M</t>
  </si>
  <si>
    <t>Total On-going</t>
  </si>
  <si>
    <t>Total Per Books</t>
  </si>
  <si>
    <t>Payroll Tax Adjustment</t>
  </si>
  <si>
    <t>WPD-2.10, Sheet 1, Line 11</t>
  </si>
  <si>
    <t>GAIN OR LOSS</t>
  </si>
  <si>
    <t>RATE, TYPE,</t>
  </si>
  <si>
    <t>OR</t>
  </si>
  <si>
    <t>ON REACQUIRED</t>
  </si>
  <si>
    <t xml:space="preserve">ANNUALIZED </t>
  </si>
  <si>
    <t>PAR VALUE</t>
  </si>
  <si>
    <t>ISSUED</t>
  </si>
  <si>
    <t>DISCOUNT</t>
  </si>
  <si>
    <t>STOCK</t>
  </si>
  <si>
    <t>PROCEEDS</t>
  </si>
  <si>
    <t>AT ISSUE</t>
  </si>
  <si>
    <t>DIVIDENDS</t>
  </si>
  <si>
    <t>(F=B+C-D+E)</t>
  </si>
  <si>
    <t>(G)</t>
  </si>
  <si>
    <t>(H=GXB)</t>
  </si>
  <si>
    <t>812 TOTAL GAS USED IN OPERATIONS</t>
  </si>
  <si>
    <t>\P</t>
  </si>
  <si>
    <t>{APP1}/PCOLQ~</t>
  </si>
  <si>
    <t>/LML1.0~R1.0~T1.0~B1.0~</t>
  </si>
  <si>
    <t>/PRSPAGE1~G</t>
  </si>
  <si>
    <t>/PRSPAGE2~G</t>
  </si>
  <si>
    <t>SCHEDULE  K</t>
  </si>
  <si>
    <t>FINANCIAL DATA</t>
  </si>
  <si>
    <t>SCHEDULES</t>
  </si>
  <si>
    <t>SCHEDULE K IS NOT A REQUIREMENT OF AN HISTORIC TEST PERIOD FILING.</t>
  </si>
  <si>
    <t>SCHEDULE  L</t>
  </si>
  <si>
    <t>Effective Property Tax Rate</t>
  </si>
  <si>
    <t>101- 106</t>
  </si>
  <si>
    <t>Gross Plant in Service</t>
  </si>
  <si>
    <t>164</t>
  </si>
  <si>
    <t>Taxable Amount</t>
  </si>
  <si>
    <t>Completed Construction Not Classified</t>
  </si>
  <si>
    <t>Accumulated Provision for Depreciation of Gas Plan in Service</t>
  </si>
  <si>
    <t>Net Gas Plant in Service</t>
  </si>
  <si>
    <t>Paid</t>
  </si>
  <si>
    <t>Effective</t>
  </si>
  <si>
    <t>Tax Rate</t>
  </si>
  <si>
    <t xml:space="preserve">Materials and Supplies </t>
  </si>
  <si>
    <t>Gas Stored Underground - Current</t>
  </si>
  <si>
    <t>Percent in WV at 12/31/2005 on which tax is paid</t>
  </si>
  <si>
    <t>Taxable stored gas</t>
  </si>
  <si>
    <t>108</t>
  </si>
  <si>
    <t>Annualized Property Tax Expense on Plant</t>
  </si>
  <si>
    <t xml:space="preserve">Firm Storage Service </t>
  </si>
  <si>
    <t>TAX RATE</t>
  </si>
  <si>
    <t>Annualized Property Tax Expense on Storage</t>
  </si>
  <si>
    <t>Gross Plant in Service (Schedule B-1)</t>
  </si>
  <si>
    <t>Workpaper Reference No(s).  WPB-5.1</t>
  </si>
  <si>
    <t xml:space="preserve">Materials &amp; Supplies </t>
  </si>
  <si>
    <t>Less:</t>
  </si>
  <si>
    <t>Actual</t>
  </si>
  <si>
    <t>Calculation of Effective Property Tax Rate based on most recent amended certified assessment issued 9/12/07</t>
  </si>
  <si>
    <t>RATES AND TARIFFS</t>
  </si>
  <si>
    <t>L</t>
  </si>
  <si>
    <t>TOTAL SERV CORP</t>
  </si>
  <si>
    <t>Hypothetical Debt</t>
  </si>
  <si>
    <t>NARRATIVE RATIONALE FOR TARIFF CHANGES</t>
  </si>
  <si>
    <t>L.1</t>
  </si>
  <si>
    <t>PROPOSED TARIFFS</t>
  </si>
  <si>
    <t>L.2</t>
  </si>
  <si>
    <t>CURRENT TARIFFS - REDLINED</t>
  </si>
  <si>
    <t>SCHEDULE L</t>
  </si>
  <si>
    <t>SEE TESTIMONY OF J. M. COOPER</t>
  </si>
  <si>
    <t>SCHEDULE B-3</t>
  </si>
  <si>
    <t>NOTE (1)  SEE ATTACHMENT PRM-5 PAGE 1 OF 1 FROM PAUL MOUL'S TESTIMONY</t>
  </si>
  <si>
    <t>NOTE (1)  SEE ATTACHMENT PRM-1 PAGE 1 OF 1 FROM PAUL MOUL'S TESTIMONY</t>
  </si>
  <si>
    <t>NOTES: (2) SEE ATTACHMENT PRM-6 PAGE 1 OF 1 FROM PAUL MOUL'S TESTIMONY</t>
  </si>
  <si>
    <t>&lt; -------------------------- RESERVE BALANCES -------------------------- &gt;</t>
  </si>
  <si>
    <t>ACCOUNT TITLES</t>
  </si>
  <si>
    <t>INVESTMENT</t>
  </si>
  <si>
    <t>(H)</t>
  </si>
  <si>
    <t>(I)</t>
  </si>
  <si>
    <t>100</t>
  </si>
  <si>
    <t>STRUCTURES &amp; IMPROVEMENTS</t>
  </si>
  <si>
    <t>RETIREMENT WORK IN PROGRESS - GAS</t>
  </si>
  <si>
    <t>ADJUSTMENTS TO ACCUMULATED DEPRECIATION &amp; AMORTIZATION</t>
  </si>
  <si>
    <t>SCHEDULE B-3.1</t>
  </si>
  <si>
    <t>DESCRIPTION AND PURPOSE</t>
  </si>
  <si>
    <t>OF ADJUSTMENT</t>
  </si>
  <si>
    <t>----- NONE -----</t>
  </si>
  <si>
    <t>DEPRECIATION ACCRUAL RATES &amp; ACCUMULATED BALANCES BY ACCOUNT</t>
  </si>
  <si>
    <t>SCHEDULE B-3.2</t>
  </si>
  <si>
    <t>TOTAL COMPANY ADJUSTED JURISDICTION</t>
  </si>
  <si>
    <t>CALC DEP/AMORT</t>
  </si>
  <si>
    <t>ACCRUAL</t>
  </si>
  <si>
    <t>% NET</t>
  </si>
  <si>
    <t>AVG. REMAINING</t>
  </si>
  <si>
    <t>CURVE</t>
  </si>
  <si>
    <t>RESERVE</t>
  </si>
  <si>
    <t>SALVAGE</t>
  </si>
  <si>
    <t>SERV. LIFE</t>
  </si>
  <si>
    <t>FORM</t>
  </si>
  <si>
    <t>(J)</t>
  </si>
  <si>
    <t>PURPOSE AND DESCRIPTION:  To reflect the annualization of</t>
  </si>
  <si>
    <t>Proposed</t>
  </si>
  <si>
    <t>Schedule B-4</t>
  </si>
  <si>
    <t>Schedule B-3.2</t>
  </si>
  <si>
    <t>AMORT.</t>
  </si>
  <si>
    <t>Square  *</t>
  </si>
  <si>
    <t>30-R3</t>
  </si>
  <si>
    <t>25-R2.5</t>
  </si>
  <si>
    <t>12-S3</t>
  </si>
  <si>
    <t>TOTAL PLANT IN SERVICE</t>
  </si>
  <si>
    <t xml:space="preserve">NOTE: </t>
  </si>
  <si>
    <t>(2 x 3 = 4)</t>
  </si>
  <si>
    <t>Depreciation/Amortization Expense - Annualized</t>
  </si>
  <si>
    <t>Depreciation/Amortization Expense - Per Books</t>
  </si>
  <si>
    <t>Schedule C-2</t>
  </si>
  <si>
    <t>CWIP Depreciation Expense - Annualized</t>
  </si>
  <si>
    <t>COLUMNS (H,I,&amp;J) - DATA FROM LATEST DEPRECIATION STUDY.</t>
  </si>
  <si>
    <t>ACCOUNT NUMBERS 303.00-303.30 - OUTSIDE SCOPE OF DEPRECIATION STUDY.</t>
  </si>
  <si>
    <t xml:space="preserve">*  </t>
  </si>
  <si>
    <t>INDICATES THE USE OF AN INTERIM SURVIVOR CURVE AND RETIREMENT DATE.</t>
  </si>
  <si>
    <t>SCHEDULE B-4</t>
  </si>
  <si>
    <t>ACCUMULATED COSTS</t>
  </si>
  <si>
    <t>Per Books Other Gas Department Revenue</t>
  </si>
  <si>
    <t>Adjustment - Other Gas Department Revenue</t>
  </si>
  <si>
    <t>SHEET 1 OF 6</t>
  </si>
  <si>
    <t>SHEET 2 OF 6</t>
  </si>
  <si>
    <t>SHEET 3 OF 6</t>
  </si>
  <si>
    <t>SHEET 4 OF 6</t>
  </si>
  <si>
    <t>SHEET 5 OF 6</t>
  </si>
  <si>
    <t>SHEET 6 OF 6</t>
  </si>
  <si>
    <t>Per Books EAP included in Account 904</t>
  </si>
  <si>
    <t>Adjustment EAP Account 904</t>
  </si>
  <si>
    <t>Adjustment Uncollectible Accounts</t>
  </si>
  <si>
    <t>TOTAL OPEB</t>
  </si>
  <si>
    <t>TOTAL (LINES 5, 10, 12, 14)</t>
  </si>
  <si>
    <t>INDIRECT</t>
  </si>
  <si>
    <t>CWIP</t>
  </si>
  <si>
    <t>PROJECT</t>
  </si>
  <si>
    <t xml:space="preserve">DESCRIPTION </t>
  </si>
  <si>
    <t>CONSTRUCTION</t>
  </si>
  <si>
    <t>COSTS</t>
  </si>
  <si>
    <t>JURISDIC-</t>
  </si>
  <si>
    <t>OF PROJECT</t>
  </si>
  <si>
    <t>IN SERVICE</t>
  </si>
  <si>
    <t>TIONAL</t>
  </si>
  <si>
    <t>(G=D-E+F)</t>
  </si>
  <si>
    <t>MISC INTANGIBLE PLANT</t>
  </si>
  <si>
    <t>100.00</t>
  </si>
  <si>
    <t>SUBTOTAL</t>
  </si>
  <si>
    <t>LAND RIGHTS - OTHER DIST</t>
  </si>
  <si>
    <t>RIGHTS-OF-WAY</t>
  </si>
  <si>
    <t>REGULATING STRUCTURES</t>
  </si>
  <si>
    <t>OTHER STRUCTURES</t>
  </si>
  <si>
    <t>M&amp;R EQUIP-GENERAL-REG</t>
  </si>
  <si>
    <t>OTHER EQ-RADIO</t>
  </si>
  <si>
    <t>OTHER EQ-TELEMETERING</t>
  </si>
  <si>
    <t>OFF FUR &amp; EQ UNSPECIF</t>
  </si>
  <si>
    <t>OFFICE EQUIP INFO SYST</t>
  </si>
  <si>
    <t>TOOLS &amp; OTHER EQUIPMENT</t>
  </si>
  <si>
    <t>MISC EQUIPMENT</t>
  </si>
  <si>
    <t>SCHEDULE B-5</t>
  </si>
  <si>
    <t>DESCRIPTION OF METHODOLOGY</t>
  </si>
  <si>
    <t>WORKING CAPITAL</t>
  </si>
  <si>
    <t>USED TO DETERMINE</t>
  </si>
  <si>
    <t>COMPONENT</t>
  </si>
  <si>
    <t>CASH WORKING CAPITAL</t>
  </si>
  <si>
    <t>1 / 8  O &amp; M METHOD</t>
  </si>
  <si>
    <t>100.00%</t>
  </si>
  <si>
    <t>FUEL STOCK</t>
  </si>
  <si>
    <t>13 MONTH AVERAGE BALANCE</t>
  </si>
  <si>
    <t>MATERIAL &amp; SUPPLIES</t>
  </si>
  <si>
    <t xml:space="preserve">GAS STORED UNDERGROUND </t>
  </si>
  <si>
    <t>PREPAYMENTS</t>
  </si>
  <si>
    <t>TOTAL WORKING CAPITAL REQUIREMENTS</t>
  </si>
  <si>
    <t>SCHEDULE B-5.1</t>
  </si>
  <si>
    <t>COLUMBIA  HAS NO PREFERRED STOCK OUTSTANDING AT THIS TIME.</t>
  </si>
  <si>
    <t>Workpaper Reference No(s).  _WPB-5.1_____________</t>
  </si>
  <si>
    <t>13 MONTH AVERAGE FOR PERIOD</t>
  </si>
  <si>
    <t>PERIOD BALANCE</t>
  </si>
  <si>
    <t xml:space="preserve">TOTAL </t>
  </si>
  <si>
    <t>GAS STORED UNDERGROUND</t>
  </si>
  <si>
    <t>TOTAL OTHER WORKING CAPITAL ALLOWANCES</t>
  </si>
  <si>
    <t>SCHEDULE B-5.2</t>
  </si>
  <si>
    <t>Workpaper Reference No(s).  _SCH.C-2.1____________</t>
  </si>
  <si>
    <t>1 /8 METHOD</t>
  </si>
  <si>
    <t>12.50%</t>
  </si>
  <si>
    <t xml:space="preserve">      DISTRIBUTION EXPENSE</t>
  </si>
  <si>
    <t xml:space="preserve">      CUSTOMER ACCOUNTING &amp; COLLECTING</t>
  </si>
  <si>
    <t xml:space="preserve">      CUSTOMER SERVICE &amp; INFORMATION</t>
  </si>
  <si>
    <t xml:space="preserve">      SALES EXPENSE</t>
  </si>
  <si>
    <t xml:space="preserve">      A &amp; G EXPENSE</t>
  </si>
  <si>
    <t>TOTAL O &amp; M EXPENSES</t>
  </si>
  <si>
    <t>SCHEDULE B-6</t>
  </si>
  <si>
    <t>Workpaper Reference No(s).  _WPB-6_______________</t>
  </si>
  <si>
    <t>Sub</t>
  </si>
  <si>
    <t>Workpaper</t>
  </si>
  <si>
    <t>Acct</t>
  </si>
  <si>
    <t>Reference</t>
  </si>
  <si>
    <t>Company</t>
  </si>
  <si>
    <t>Amount</t>
  </si>
  <si>
    <t>Account 252 - Customer Advances for Construction</t>
  </si>
  <si>
    <t>Account 190 - Deferred Income Taxes</t>
  </si>
  <si>
    <t>2851</t>
  </si>
  <si>
    <t>Contributions in Aid &amp; Cust. Advances - Fed</t>
  </si>
  <si>
    <t>4851</t>
  </si>
  <si>
    <t>Contributions in Aid &amp; Cust. Advances - St</t>
  </si>
  <si>
    <t>LIFO Inventory - Federal</t>
  </si>
  <si>
    <t>a/</t>
  </si>
  <si>
    <t>LIFO Inventory - State</t>
  </si>
  <si>
    <t xml:space="preserve">       Total Account 190</t>
  </si>
  <si>
    <t>Account 282 - Deferred Income Taxes-Depreciation</t>
  </si>
  <si>
    <t>2205</t>
  </si>
  <si>
    <t>Excess Accelerated Depreciation - Fed</t>
  </si>
  <si>
    <t>4205</t>
  </si>
  <si>
    <t>Excess Accelerated Depreciation - St</t>
  </si>
  <si>
    <t>2211</t>
  </si>
  <si>
    <t>Loss on Retirement of ACRS Property - Fed</t>
  </si>
  <si>
    <t>4211</t>
  </si>
  <si>
    <t>Loss on Retirement of ACRS Property - St</t>
  </si>
  <si>
    <t>2231</t>
  </si>
  <si>
    <t>Property Removal Costs - Fed</t>
  </si>
  <si>
    <t>4231</t>
  </si>
  <si>
    <t>Property Removal Costs - St</t>
  </si>
  <si>
    <t xml:space="preserve">       Total Account 282</t>
  </si>
  <si>
    <t>Account 283 - Deferred Income Taxes - Other</t>
  </si>
  <si>
    <t>2951</t>
  </si>
  <si>
    <t>Legal Liability-Lease on G.O. Bldg. - Fed</t>
  </si>
  <si>
    <t>4951</t>
  </si>
  <si>
    <t>Legal Liability-Lease on G.O. Bldg. - St</t>
  </si>
  <si>
    <t xml:space="preserve">       Total Account 283</t>
  </si>
  <si>
    <t xml:space="preserve">       Total Accumulated Deferred Taxes</t>
  </si>
  <si>
    <t xml:space="preserve">JURISDICTIONAL PERCENTAGE </t>
  </si>
  <si>
    <t>SCHEDULE B-7</t>
  </si>
  <si>
    <t>JURISDICTIONAL STATISTICS - RATE BASE</t>
  </si>
  <si>
    <t>Data:__X___Base Period______Forecasted Period</t>
  </si>
  <si>
    <t>SCHEDULE B-7.1</t>
  </si>
  <si>
    <t>Workpaper Reference No(s).  WPD-2.3</t>
  </si>
  <si>
    <t>Workpaper Reference No(s).  WPD-2.4</t>
  </si>
  <si>
    <t>Workpaper Reference No(s).  WPD-2.5</t>
  </si>
  <si>
    <t>Workpaper Reference No(s).  WPD-2.9</t>
  </si>
  <si>
    <t>Workpaper Reference No(s).  WPD-2.10</t>
  </si>
  <si>
    <t>DESCRIPTION BY MAJOR</t>
  </si>
  <si>
    <t>GROUPINGS OR ACCOUNT</t>
  </si>
  <si>
    <t>RATE AREA</t>
  </si>
  <si>
    <t>SCHEDULE B-7.2</t>
  </si>
  <si>
    <t>SCHEDULE B-8</t>
  </si>
  <si>
    <t>SCHEDULE D-2.13</t>
  </si>
  <si>
    <t>TOTAL CO</t>
  </si>
  <si>
    <t>MOST RECENT FIVE CALENDAR YEARS</t>
  </si>
  <si>
    <t xml:space="preserve"> NO.</t>
  </si>
  <si>
    <t>CHANGE</t>
  </si>
  <si>
    <t>A S S E T S</t>
  </si>
  <si>
    <t>FIXED ASSETS</t>
  </si>
  <si>
    <t>PROPERTY PLANT &amp; EQUIPMENT</t>
  </si>
  <si>
    <t>LESS ACCUM. PROVISION DEPR. &amp; DEP.</t>
  </si>
  <si>
    <t>NET FIXED ASSETS</t>
  </si>
  <si>
    <t>I N V E S T M E N T S</t>
  </si>
  <si>
    <t>CURRENT ASSETS</t>
  </si>
  <si>
    <t>To Schedule D Summary</t>
  </si>
  <si>
    <t xml:space="preserve">To Schedule D Summary </t>
  </si>
  <si>
    <t>CASH AND TEMP. CASH INVESTMENTS</t>
  </si>
  <si>
    <t>RECEIVABLES FROM CUSTOMERS</t>
  </si>
  <si>
    <t>RECEIVABLES FROM ASSOC. COMPANIES</t>
  </si>
  <si>
    <t>OTHER RECEIVABLES</t>
  </si>
  <si>
    <t>GAS INVENTORY</t>
  </si>
  <si>
    <t>OTHER INVENTORIES</t>
  </si>
  <si>
    <t xml:space="preserve">PREPAYMENTS </t>
  </si>
  <si>
    <t>REGULATORY ASSETS CURRENT</t>
  </si>
  <si>
    <t>OTHER CURRENT ASSETS</t>
  </si>
  <si>
    <t>TOTAL CURRENT ASSETS</t>
  </si>
  <si>
    <t>REGULATORY ASSETS LONG TERM</t>
  </si>
  <si>
    <t>DEFERRED CHARGES AND</t>
  </si>
  <si>
    <t>SPECIAL DEPOSITS AND FUNDS</t>
  </si>
  <si>
    <t>T O T A L  A S S E T S</t>
  </si>
  <si>
    <t>C A P I T A L I Z A T I O N</t>
  </si>
  <si>
    <t>COMMON STOCK EQUITY</t>
  </si>
  <si>
    <t>ADDITIONAL PAID IN CAPITAL</t>
  </si>
  <si>
    <t>RETAINED EARNINGS</t>
  </si>
  <si>
    <t>TOTAL COMMON STOCK EQUITY</t>
  </si>
  <si>
    <t>INSTALL. PROMISSORY NOTES &amp; LOANS</t>
  </si>
  <si>
    <t>TOTAL CAPITALIZATION</t>
  </si>
  <si>
    <t>C U R R E N T   L I A B I L I T I E S</t>
  </si>
  <si>
    <t>Contributions in Aid of Construction - Federal</t>
  </si>
  <si>
    <t>Contributions in Aid of Construction - State</t>
  </si>
  <si>
    <t>CURRENT MATURITIES OF L-T DEBT</t>
  </si>
  <si>
    <t>ACCOUNTS PAYABLE</t>
  </si>
  <si>
    <t>ACCOUNTS PAYABLE TO ASSOC. CO.'S</t>
  </si>
  <si>
    <t>38-S0</t>
  </si>
  <si>
    <t>27-S1</t>
  </si>
  <si>
    <t>39-R1.5</t>
  </si>
  <si>
    <t>37-R1.5</t>
  </si>
  <si>
    <t>37-S2</t>
  </si>
  <si>
    <t>35-S2</t>
  </si>
  <si>
    <t>32-R4</t>
  </si>
  <si>
    <t>32-O1</t>
  </si>
  <si>
    <t>30-R2</t>
  </si>
  <si>
    <t>25-S3</t>
  </si>
  <si>
    <t>15-S1.5</t>
  </si>
  <si>
    <t>ACCRUED TAXES</t>
  </si>
  <si>
    <t>ACCRUED INTEREST</t>
  </si>
  <si>
    <t>ESTIMATED RATE REFUNDS</t>
  </si>
  <si>
    <t>DEFERRED INCOME TAXES</t>
  </si>
  <si>
    <t>OTHER CURRENT LIABILITIES</t>
  </si>
  <si>
    <t>TOTAL CURRENT LIABILITIES</t>
  </si>
  <si>
    <t>OTHER LIABILITIES AND DEF. CREDITS</t>
  </si>
  <si>
    <t>INCOME TAXES AND NONCURRENT</t>
  </si>
  <si>
    <t>INVESTMENT TAX CREDITS</t>
  </si>
  <si>
    <t>OTHER REGULATORY LIAB.'S LONG TERM</t>
  </si>
  <si>
    <t>TOTAL OTHER LIABILITIES AND</t>
  </si>
  <si>
    <t xml:space="preserve">     DEFERRED CREDITS</t>
  </si>
  <si>
    <t>T O T A L  C A P I T A L I Z A T I 0 N</t>
  </si>
  <si>
    <t>1_/</t>
  </si>
  <si>
    <t xml:space="preserve">     A N D  L I A B I L I T I E S</t>
  </si>
  <si>
    <t>X:\ERATE\CKY\RATECASE\1994\SCHC\INDEX.WK1</t>
  </si>
  <si>
    <t>SCHEDULE  C</t>
  </si>
  <si>
    <t>OPERATING INCOME SUMMARY</t>
  </si>
  <si>
    <t>COMPANY :</t>
  </si>
  <si>
    <t>COLUMBIA GAS OF KENTUCKY, INC.</t>
  </si>
  <si>
    <t>BASE PERIOD :</t>
  </si>
  <si>
    <t>SCHEDULE</t>
  </si>
  <si>
    <t>DESCRIPTION</t>
  </si>
  <si>
    <t xml:space="preserve">C-1       </t>
  </si>
  <si>
    <t xml:space="preserve">C-2     </t>
  </si>
  <si>
    <t>ADJUSTED OPERATING INCOME STATEMENT</t>
  </si>
  <si>
    <t xml:space="preserve">C-2.1   </t>
  </si>
  <si>
    <t>OPERATING REVENUES AND EXPENSES BY ACCOUNTS - JURISDICTIONAL</t>
  </si>
  <si>
    <t xml:space="preserve">C-2.2    </t>
  </si>
  <si>
    <t>COMPARISON OF TOTAL COMPANY ACCOUNT BALANCES</t>
  </si>
  <si>
    <t>COLUMBIA GAS OF KENTUCKY</t>
  </si>
  <si>
    <t>SCHEDULE C-1</t>
  </si>
  <si>
    <t>Type of Filing:___X____Original________Updated</t>
  </si>
  <si>
    <t>SHEET 1 OF 1</t>
  </si>
  <si>
    <t>FORECASTED</t>
  </si>
  <si>
    <t>LINE</t>
  </si>
  <si>
    <t>RETURN AT</t>
  </si>
  <si>
    <t>PROPOSED</t>
  </si>
  <si>
    <t>NO.</t>
  </si>
  <si>
    <t>CURRENT RATES</t>
  </si>
  <si>
    <t>INCREASE</t>
  </si>
  <si>
    <t>PROPOSED RATES</t>
  </si>
  <si>
    <t>$</t>
  </si>
  <si>
    <t>1</t>
  </si>
  <si>
    <t>OPERATING REVENUES</t>
  </si>
  <si>
    <t>2</t>
  </si>
  <si>
    <t>OPERATING EXPENSES</t>
  </si>
  <si>
    <t>3</t>
  </si>
  <si>
    <t>4</t>
  </si>
  <si>
    <t xml:space="preserve">  OTHER OPERATING EXPENSES</t>
  </si>
  <si>
    <t>5</t>
  </si>
  <si>
    <t xml:space="preserve">  DEPRECIATION EXPENSE</t>
  </si>
  <si>
    <t>6</t>
  </si>
  <si>
    <t xml:space="preserve">  TAXES OTHER THAN INCOME</t>
  </si>
  <si>
    <t xml:space="preserve">  STATE INCOME TAXES</t>
  </si>
  <si>
    <t xml:space="preserve">  FEDERAL INCOME TAXES</t>
  </si>
  <si>
    <t>OPERATING INCOME</t>
  </si>
  <si>
    <t>RATE BASE</t>
  </si>
  <si>
    <t>RATE OF RETURN</t>
  </si>
  <si>
    <t>OPERATING REVENUE</t>
  </si>
  <si>
    <t>TAXES</t>
  </si>
  <si>
    <t>NET OPERATING INCOME</t>
  </si>
  <si>
    <t xml:space="preserve">OPERATING REVENUE AND EXPENSES BY ACCOUNTS - JURISDICTION </t>
  </si>
  <si>
    <t>SCHEDULE C-2.1</t>
  </si>
  <si>
    <t>UNADJUSTED</t>
  </si>
  <si>
    <t>JURISDICTIONAL</t>
  </si>
  <si>
    <t>ACCOUNT</t>
  </si>
  <si>
    <t>TOTAL</t>
  </si>
  <si>
    <t>ALLOCATION</t>
  </si>
  <si>
    <t>METHOD/</t>
  </si>
  <si>
    <t>NO. (S)</t>
  </si>
  <si>
    <t>UTILITY</t>
  </si>
  <si>
    <t>PERCENTAGE</t>
  </si>
  <si>
    <t>JURISDICTION</t>
  </si>
  <si>
    <t>(1)</t>
  </si>
  <si>
    <t>(2)</t>
  </si>
  <si>
    <t>(3)</t>
  </si>
  <si>
    <t>(4)</t>
  </si>
  <si>
    <t>%</t>
  </si>
  <si>
    <t>O P E R A T I N G  R E V E N U E</t>
  </si>
  <si>
    <t xml:space="preserve">  SALES OF GAS</t>
  </si>
  <si>
    <t>480</t>
  </si>
  <si>
    <t xml:space="preserve">    RESIDENTIAL</t>
  </si>
  <si>
    <t>100%</t>
  </si>
  <si>
    <t>481.1</t>
  </si>
  <si>
    <t xml:space="preserve">    COMMERCIAL</t>
  </si>
  <si>
    <t>481.2</t>
  </si>
  <si>
    <t xml:space="preserve">    INDUSTRIAL</t>
  </si>
  <si>
    <t>481.9</t>
  </si>
  <si>
    <t xml:space="preserve">    OTHER</t>
  </si>
  <si>
    <t xml:space="preserve">  TOTAL SALES OF GAS</t>
  </si>
  <si>
    <t xml:space="preserve"> </t>
  </si>
  <si>
    <t xml:space="preserve">  OTHER OPERATING INCOME</t>
  </si>
  <si>
    <t>487</t>
  </si>
  <si>
    <t xml:space="preserve">    FORFEITED DISCOUNTS</t>
  </si>
  <si>
    <t>488</t>
  </si>
  <si>
    <t xml:space="preserve">    MISC. SERVICE REVENUES</t>
  </si>
  <si>
    <t>489</t>
  </si>
  <si>
    <t xml:space="preserve">    REVENUE FROM TRANSPORTATION OF GAS OF OTHERS</t>
  </si>
  <si>
    <t xml:space="preserve">  TOTAL OTHER OPERATING INCOME</t>
  </si>
  <si>
    <t>LN 23+24</t>
  </si>
  <si>
    <t>Deferred Federal Income Tax</t>
  </si>
  <si>
    <t>Deferred State Income Tax</t>
  </si>
  <si>
    <t>T O T A L  O P E R A T I N G  R E V E N U E</t>
  </si>
  <si>
    <t>O P E R A T I N G  E X P E N S E S</t>
  </si>
  <si>
    <t>LIQUEFIED PETROLEUM GAS PRODUCTION EXPENSE</t>
  </si>
  <si>
    <t>717</t>
  </si>
  <si>
    <t xml:space="preserve">      LIQUEFIED PETROLEUM GAS EXPENSE</t>
  </si>
  <si>
    <t>723</t>
  </si>
  <si>
    <t xml:space="preserve">      FUEL FOR LIQUEFIED PETROLEUM GAS PROCESS</t>
  </si>
  <si>
    <t>728</t>
  </si>
  <si>
    <t xml:space="preserve">      LIQUEFIED PETROLEUM GAS </t>
  </si>
  <si>
    <t>741</t>
  </si>
  <si>
    <t>of benefits expense for the test year December 31, 2008 and known and</t>
  </si>
  <si>
    <t>measurable increases for 2009.</t>
  </si>
  <si>
    <t xml:space="preserve">      STRUCTURES &amp; IMPROVEMENTS</t>
  </si>
  <si>
    <t>742</t>
  </si>
  <si>
    <t xml:space="preserve">C-2 </t>
  </si>
  <si>
    <t xml:space="preserve">      PRODUCTION EQUIPMENT</t>
  </si>
  <si>
    <t>TOTAL LIQUEFIED PETROLEUM GAS PRODUCTION EXPENSE</t>
  </si>
  <si>
    <t xml:space="preserve">  OPERATION AND MAINTENANCE EXPENSE ACCOUNTS</t>
  </si>
  <si>
    <t xml:space="preserve">    OTHER GAS SUPPLY EXPENSES - OPERATION</t>
  </si>
  <si>
    <t>801-803</t>
  </si>
  <si>
    <t xml:space="preserve">      NATURAL GAS FIELD &amp; TRANSMISSION LINE PURCHASES</t>
  </si>
  <si>
    <t>Revenue</t>
  </si>
  <si>
    <t>Liquefied Pet. Exp.</t>
  </si>
  <si>
    <t>Total Adjustment</t>
  </si>
  <si>
    <t>Other Gas Supply Exp</t>
  </si>
  <si>
    <t>Other O&amp;M Exp</t>
  </si>
  <si>
    <t>804</t>
  </si>
  <si>
    <t>LIFO</t>
  </si>
  <si>
    <t>MCF</t>
  </si>
  <si>
    <t>Rate</t>
  </si>
  <si>
    <t>Dollars</t>
  </si>
  <si>
    <t>Month</t>
  </si>
  <si>
    <t>Injection</t>
  </si>
  <si>
    <t>Withdraw</t>
  </si>
  <si>
    <t>YTD Adj</t>
  </si>
  <si>
    <t>YTD rate adjustment</t>
  </si>
  <si>
    <t>Thirteen Month Average Account 164 / 242</t>
  </si>
  <si>
    <t>Average - 13 months ending December 2008</t>
  </si>
  <si>
    <t>SHEET 5 OF 5</t>
  </si>
  <si>
    <t xml:space="preserve">      NATURAL GAS CITY GATE PURCHASES</t>
  </si>
  <si>
    <t>805</t>
  </si>
  <si>
    <t xml:space="preserve">      OTHER GAS PURCHASES</t>
  </si>
  <si>
    <t>806</t>
  </si>
  <si>
    <t xml:space="preserve">      EXCHANGE GAS</t>
  </si>
  <si>
    <t>807</t>
  </si>
  <si>
    <t xml:space="preserve">      PURCHASED GAS EXPENSE</t>
  </si>
  <si>
    <t>808</t>
  </si>
  <si>
    <t xml:space="preserve">      GAS WITHDRAWN FROM STORAGE</t>
  </si>
  <si>
    <t>812</t>
  </si>
  <si>
    <t xml:space="preserve">      GAS USED FOR OTHER UTILITY OPERATIONS</t>
  </si>
  <si>
    <t>TOTAL OTHER GAS SUPPLY EXPENSES - OPERATION</t>
  </si>
  <si>
    <t>Insurance Transfers</t>
  </si>
  <si>
    <t xml:space="preserve">  DISTRIBUTION EXPENSES - OPERATION</t>
  </si>
  <si>
    <t>870</t>
  </si>
  <si>
    <t xml:space="preserve">    Non-Affiliate</t>
  </si>
  <si>
    <t xml:space="preserve">    Affiliate</t>
  </si>
  <si>
    <t xml:space="preserve">   Capitalization Adjustment</t>
  </si>
  <si>
    <t xml:space="preserve">    SUPERVISION AND ENGINEERING</t>
  </si>
  <si>
    <t>871</t>
  </si>
  <si>
    <t xml:space="preserve">    DISTRIBUTION LOAD DISPATCHING</t>
  </si>
  <si>
    <t>874</t>
  </si>
  <si>
    <t>Unamortized Balance from Case No. 2007-00008</t>
  </si>
  <si>
    <t xml:space="preserve">    MAINS AND SERVICES EXPENSES</t>
  </si>
  <si>
    <t>875</t>
  </si>
  <si>
    <t xml:space="preserve">   Incentive Compensation included in O&amp;M </t>
  </si>
  <si>
    <t>Total Adjustment (Ln. 4 less Ln. 6)</t>
  </si>
  <si>
    <t xml:space="preserve">    MEASURING AND REGULATION STA. EXPENSE - GEN.</t>
  </si>
  <si>
    <t>876</t>
  </si>
  <si>
    <t>877</t>
  </si>
  <si>
    <t xml:space="preserve">    MEASURING AND REGULATION STA. EXP. - CITY GATE</t>
  </si>
  <si>
    <t>878</t>
  </si>
  <si>
    <t>LIQUEFIED PETROLEUM GAS EQUIPMENT</t>
  </si>
  <si>
    <t>INDY M&amp;R EQUIPMENT</t>
  </si>
  <si>
    <t>COMMON STOCK, AT PAR VALUE</t>
  </si>
  <si>
    <t>Property Tax</t>
  </si>
  <si>
    <t>Off System Sales</t>
  </si>
  <si>
    <t xml:space="preserve">    METERS AND HOUSE REGULATOR EXPENSE</t>
  </si>
  <si>
    <t>879</t>
  </si>
  <si>
    <t xml:space="preserve">    CUSTOMER INSTALLATIONS EXPENSE</t>
  </si>
  <si>
    <t>880</t>
  </si>
  <si>
    <t xml:space="preserve">    OTHER EXPENSE</t>
  </si>
  <si>
    <t>881</t>
  </si>
  <si>
    <t xml:space="preserve">    TELECOMMUNICATION EXPENSE - ENGINEERING</t>
  </si>
  <si>
    <t xml:space="preserve">  TOTAL DISTRIBUTION EXPENSES - OPERATION</t>
  </si>
  <si>
    <t xml:space="preserve">  DISTRIBUTION EXPENSES - MAINTENANCE</t>
  </si>
  <si>
    <t>885</t>
  </si>
  <si>
    <t>886</t>
  </si>
  <si>
    <t>887</t>
  </si>
  <si>
    <t xml:space="preserve">    MAINS</t>
  </si>
  <si>
    <t>889</t>
  </si>
  <si>
    <t>890</t>
  </si>
  <si>
    <t xml:space="preserve">    MEASURING AND REGULATION STA. EXPENSE - IND.</t>
  </si>
  <si>
    <t>891</t>
  </si>
  <si>
    <t>892</t>
  </si>
  <si>
    <t xml:space="preserve">    SERVICES</t>
  </si>
  <si>
    <t>893</t>
  </si>
  <si>
    <t xml:space="preserve">    METERS AND HOUSE REGULATORS</t>
  </si>
  <si>
    <t>894</t>
  </si>
  <si>
    <t xml:space="preserve">    OTHER EQUIPMENT</t>
  </si>
  <si>
    <t xml:space="preserve">  TOTAL DISTRIBUTION EXPENSES - MAINTENANCE</t>
  </si>
  <si>
    <t xml:space="preserve">  CUSTOMER ACCOUNTS EXPENSES - OPERATION</t>
  </si>
  <si>
    <t>901</t>
  </si>
  <si>
    <t xml:space="preserve">    SUPERVISION</t>
  </si>
  <si>
    <t>902</t>
  </si>
  <si>
    <t xml:space="preserve">    METER READING EXPENSES</t>
  </si>
  <si>
    <t>903</t>
  </si>
  <si>
    <t xml:space="preserve">    CUSTOMER RECORDS &amp; COLLECTIONS - UTILITY SERVICES</t>
  </si>
  <si>
    <t>904</t>
  </si>
  <si>
    <t xml:space="preserve">    UNCOLLECTIBLE ACCOUNTS</t>
  </si>
  <si>
    <t>905</t>
  </si>
  <si>
    <t xml:space="preserve">    MISCELLANEOUS CUSTOMER ACCOUNT EXPENSES</t>
  </si>
  <si>
    <t xml:space="preserve">  TOTAL CUSTOMER ACCOUNTS EXPENSE</t>
  </si>
  <si>
    <t xml:space="preserve">  CUSTOMER SERVICE &amp; INFORMATION - OPERATION</t>
  </si>
  <si>
    <t>907</t>
  </si>
  <si>
    <t>908</t>
  </si>
  <si>
    <t xml:space="preserve">    CUSTOMER ASSISTANCE EXPENSES</t>
  </si>
  <si>
    <t>909</t>
  </si>
  <si>
    <t xml:space="preserve">    INFORMATIONAL AND INSTR. ADVERT. EXPENSES</t>
  </si>
  <si>
    <t>910</t>
  </si>
  <si>
    <t xml:space="preserve">    MISCELLANEOUS CUSTOMER ACCOUNT EXPENSE</t>
  </si>
  <si>
    <t xml:space="preserve">  TOTAL CUSTOMER ACCOUNTS EXPENSES - OPERATION</t>
  </si>
  <si>
    <t xml:space="preserve">  SALES EXPENSES</t>
  </si>
  <si>
    <t>911</t>
  </si>
  <si>
    <t>912</t>
  </si>
  <si>
    <t xml:space="preserve">    DEMONSTRATING AND SELLING EXPENSES</t>
  </si>
  <si>
    <t>913</t>
  </si>
  <si>
    <t xml:space="preserve">    ADVERTISING EXPENSE</t>
  </si>
  <si>
    <t>916</t>
  </si>
  <si>
    <t xml:space="preserve">    MISCELLANEOUS SALES EXPENSE</t>
  </si>
  <si>
    <t xml:space="preserve">  TOTAL SALES EXPENSES</t>
  </si>
  <si>
    <t xml:space="preserve">  ADMINISTRATIVE AND GENERAL EXPENSES - OPERATION</t>
  </si>
  <si>
    <t>920</t>
  </si>
  <si>
    <t xml:space="preserve">    ADMINISTRATIVE AND GENERAL SALARIES</t>
  </si>
  <si>
    <t>921</t>
  </si>
  <si>
    <t xml:space="preserve">    OFFICE SUPPLIES AND EXPENSES</t>
  </si>
  <si>
    <t>922</t>
  </si>
  <si>
    <t xml:space="preserve">    ADMINISTRATIVE EXPENSE TRANSFERRED</t>
  </si>
  <si>
    <t>923</t>
  </si>
  <si>
    <t xml:space="preserve">    OUTSIDE SERVICES EMPLOYED</t>
  </si>
  <si>
    <t>924</t>
  </si>
  <si>
    <t xml:space="preserve">    PROPERTY INSURANCE PREMIUMS</t>
  </si>
  <si>
    <t>925</t>
  </si>
  <si>
    <t xml:space="preserve">    INJURIES AND DAMAGES</t>
  </si>
  <si>
    <t>926</t>
  </si>
  <si>
    <t xml:space="preserve">    EMPLOYEE PENSIONS AND BENEFITS</t>
  </si>
  <si>
    <t>927</t>
  </si>
  <si>
    <t xml:space="preserve">    UTILITY AND FUEL</t>
  </si>
  <si>
    <t>928</t>
  </si>
  <si>
    <t xml:space="preserve">    REGULATORY COMMISSION EXPENSE</t>
  </si>
  <si>
    <t>929</t>
  </si>
  <si>
    <t xml:space="preserve">    DUPLICATE CHARGES</t>
  </si>
  <si>
    <t>930</t>
  </si>
  <si>
    <t>931</t>
  </si>
  <si>
    <t xml:space="preserve">    RENTS</t>
  </si>
  <si>
    <t xml:space="preserve">  TOTAL ADMINISTRATIVE AND GENERAL EXP. - OPERATION</t>
  </si>
  <si>
    <t xml:space="preserve">  ADMINISTRATIVE AND GENERAL EXPENSES - MAINTENANCE</t>
  </si>
  <si>
    <t>935</t>
  </si>
  <si>
    <t xml:space="preserve">    MAINTENANCE OF GENERAL PLANT</t>
  </si>
  <si>
    <t xml:space="preserve">  TOTAL ADMINISTRATIVE AND GEN. EXP. - MAINTENANCE</t>
  </si>
  <si>
    <t>TOTAL OPERATION AND MAINTENANCE EXPENSE ACCOUNTS</t>
  </si>
  <si>
    <t>403-404</t>
  </si>
  <si>
    <t xml:space="preserve">  DEPRECIATION AND AMORTIZATION</t>
  </si>
  <si>
    <t>408</t>
  </si>
  <si>
    <t xml:space="preserve">  TAXES OTHER THAN INCOME TAXES</t>
  </si>
  <si>
    <t>T O T A L   O P E R A T I N G   E X P E N S E S</t>
  </si>
  <si>
    <t>N E T   O P E R A T I N G   I N C O M E</t>
  </si>
  <si>
    <t>COMPARISON OF TOTAL COMPANY ACCOUNT ACTIVITY</t>
  </si>
  <si>
    <t xml:space="preserve">ACCOUNT NO. </t>
  </si>
  <si>
    <t>&amp; TITLE</t>
  </si>
  <si>
    <t>NOV</t>
  </si>
  <si>
    <t>FEB</t>
  </si>
  <si>
    <t>MAR</t>
  </si>
  <si>
    <t>APR</t>
  </si>
  <si>
    <t>MAY</t>
  </si>
  <si>
    <t>JUN</t>
  </si>
  <si>
    <t>JUL</t>
  </si>
  <si>
    <t>AUG</t>
  </si>
  <si>
    <t>403 DEPRECIATION EXPENSE</t>
  </si>
  <si>
    <t>BASE PERIOD</t>
  </si>
  <si>
    <t>PRIOR PERIOD</t>
  </si>
  <si>
    <t xml:space="preserve">   DIFFERENCE</t>
  </si>
  <si>
    <t>PERCENT CHANGE:</t>
  </si>
  <si>
    <t>404 AMORTIZATION EXPENSE</t>
  </si>
  <si>
    <t>408 TAXES OTHER THAN INCOME TAXES</t>
  </si>
  <si>
    <t>409,410, 411 FEDERAL INCOME TAXES</t>
  </si>
  <si>
    <t>409,410,411 STATE INCOME TAXES</t>
  </si>
  <si>
    <t>BONUS ACCRUAL - INCENTIVE COMPENSATION</t>
  </si>
  <si>
    <t>PURPOSE AND DESCRIPTION: To reflect the annualization</t>
  </si>
  <si>
    <t xml:space="preserve">    GENERAL MISCELLANEOUS GENERAL</t>
  </si>
  <si>
    <t>419 INTEREST AND DIVIDEND INCOME</t>
  </si>
  <si>
    <t>421 MISCELLANEOUS NONOPERATING INCOME-GAIN ON THE DISPOSAL OF PROPERTY</t>
  </si>
  <si>
    <t>SCHEDULE C-2.2</t>
  </si>
  <si>
    <t>ANN. ACC.</t>
  </si>
  <si>
    <t>RATES</t>
  </si>
  <si>
    <t>Schedule D-2.6, Sheet 2</t>
  </si>
  <si>
    <t>426 OTHER MISCELLANEOUS DEDUCTIONS</t>
  </si>
  <si>
    <t>430 INTEREST EXPENSE-PARENT COMPANY DEBT</t>
  </si>
  <si>
    <t xml:space="preserve">374.50 </t>
  </si>
  <si>
    <t>Rights of Way</t>
  </si>
  <si>
    <t xml:space="preserve">TOTAL PLANT IN SERVICE  </t>
  </si>
  <si>
    <t xml:space="preserve">Other Premiums </t>
  </si>
  <si>
    <t>431 INTEREST EXPENSE OTHER-CONTINGENT TAXES, RATE REFUNDS, CUSTOMER DEPOSITS</t>
  </si>
  <si>
    <t>432 AFUDC</t>
  </si>
  <si>
    <t>480 RESIDENTIAL REVENUE</t>
  </si>
  <si>
    <t>481.1 COMMERCIAL REVENUE</t>
  </si>
  <si>
    <t>481.2 INDUSTRIAL REVENUE</t>
  </si>
  <si>
    <t>483 PUBLIC UTILITIES</t>
  </si>
  <si>
    <t>487 FORFEITED DISCOUNTS</t>
  </si>
  <si>
    <t>488 MISCELLANEOUS SERVICE REVENUE</t>
  </si>
  <si>
    <t>489 TRANSPORTATION REVENUE - COMMERCIAL</t>
  </si>
  <si>
    <t>489 TRANSPORTATION REVENUE - INDUSTRIAL</t>
  </si>
  <si>
    <t>495 OTHER GAS REVENUE</t>
  </si>
  <si>
    <t>717 LIQUEFIED PETROLEUM GAS EXPENSES</t>
  </si>
  <si>
    <t>Building - Marble Cliff</t>
  </si>
  <si>
    <t>723 FUEL FOR LIQUEFIED PETROLEUM GAS PROCESS</t>
  </si>
  <si>
    <t xml:space="preserve">728 LIQUEFIED PETROLEUM GAS </t>
  </si>
  <si>
    <t>741 STRUCTURES &amp; IMPROVEMENTS</t>
  </si>
  <si>
    <t>742 PRODUCTION EQUIPMENT</t>
  </si>
  <si>
    <t>801-803 NATURAL GAS FIELD &amp; TRANSMISSION LINE PURCHASES</t>
  </si>
  <si>
    <t>804 NATURAL GAS CITY GATE PURCHASES</t>
  </si>
  <si>
    <t>805 OTHER GAS PURCHASES</t>
  </si>
  <si>
    <t>806 EXCHANGE GAS</t>
  </si>
  <si>
    <t>807 PURCHASED GAS EXPENSE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</si>
  <si>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</si>
  <si>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808 GAS WITHDRAWN FROM STORAGE</t>
  </si>
  <si>
    <t>870 SUPERVISION AND ENGINEERING</t>
  </si>
  <si>
    <t>ACTUAL LONG-TERM DEBT</t>
  </si>
  <si>
    <t>ADDITIONAL DEBT</t>
  </si>
  <si>
    <t>871 DISTRIBUTION LOAD DISPATCHING</t>
  </si>
  <si>
    <t>December 31, 2008 at proposed depreciation rates.</t>
  </si>
  <si>
    <t>presenting this case amortized over a two year period.</t>
  </si>
  <si>
    <t>874 MAINS AND SERVICES EXPENSES</t>
  </si>
  <si>
    <t>875 MEASURING AND REGULATION STA. EXPENSE - GEN.</t>
  </si>
  <si>
    <t>876 MEASURING AND REGULATION STA. EXPENSE - IND.</t>
  </si>
  <si>
    <t>878 METERS AND HOUSE REGULATOR EXPENSE</t>
  </si>
  <si>
    <t>879 CUSTOMER INSTALLATIONS EXPENSE</t>
  </si>
  <si>
    <t>880 OTHER EXPENSE</t>
  </si>
  <si>
    <t>881 TELECOMMUNICATION EXPENSE - ENGINEERING</t>
  </si>
  <si>
    <t>885 SUPERVISION AND ENGINEERING</t>
  </si>
  <si>
    <t>887 MAINS</t>
  </si>
  <si>
    <t>889 MEASURING AND REGULATION STA. EXPENSE - GEN.</t>
  </si>
  <si>
    <t>890 MEASURING AND REGULATION STA. EXPENSE - IND.</t>
  </si>
  <si>
    <t>892 SERVICES</t>
  </si>
  <si>
    <t>893 METERS AND HOUSE REGULATORS</t>
  </si>
  <si>
    <t>894 OTHER EQUIPMENT</t>
  </si>
  <si>
    <t>901 SUPERVISION</t>
  </si>
  <si>
    <t>902 METER READING EXPENSES</t>
  </si>
  <si>
    <t>903 CUSTOMER RECORDS &amp; COLLECTIONS - UTILITY SERVICES</t>
  </si>
  <si>
    <t>904 UNCOLLECTIBLE ACCOUNTS</t>
  </si>
  <si>
    <t>905 MISCELLANEOUS CUSTOMER ACCOUNT EXPENSES</t>
  </si>
  <si>
    <t>907 SUPERVISION</t>
  </si>
  <si>
    <t>908 CUSTOMER ASSISTANCE EXPENSES</t>
  </si>
  <si>
    <t>909 INFORMATIONAL AND INSTR. ADVERT. EXPENSES</t>
  </si>
  <si>
    <t>910 MISCELLANEOUS CUSTOMER ACCOUNT EXPENSE</t>
  </si>
  <si>
    <t>912 DEMONSTRATING AND SELLING EXPENSES</t>
  </si>
  <si>
    <t>913 ADVERTISING EXPENSE</t>
  </si>
  <si>
    <t>916 MISCELLANEOUS SALES EXPENSE</t>
  </si>
  <si>
    <t>920 ADMINISTRATIVE AND GENERAL SALARIES</t>
  </si>
  <si>
    <t>921 OFFICE SUPPLIES AND EXPENSES</t>
  </si>
  <si>
    <t>922 ADMINISTRATIVE EXPENSE TRANSFERRED</t>
  </si>
  <si>
    <t>923 OUTSIDE SERVICES EMPLOYED</t>
  </si>
  <si>
    <t>924 PROPERTY INSURANCE PREMIUMS</t>
  </si>
  <si>
    <t>925 INJURIES AND DAMAGES</t>
  </si>
  <si>
    <t>926 EMPLOYEE PENSIONS AND BENEFITS</t>
  </si>
  <si>
    <t>927 FRANCHISE REQUIREMENTS</t>
  </si>
  <si>
    <t>928 REGULATORY COMMISSION EXPENSE</t>
  </si>
  <si>
    <t xml:space="preserve">    SALES FOR RESALE</t>
  </si>
  <si>
    <t xml:space="preserve">TRANS EQUIP-TRAILERS  &gt; $1,000 </t>
  </si>
  <si>
    <t>929 DUPLICATE CHARGES</t>
  </si>
  <si>
    <t>931 RENTS</t>
  </si>
  <si>
    <t>935  MAINTENANCE OF GENERAL PLANT</t>
  </si>
  <si>
    <t>403, 404, 406 detail not in financial statement-Provided by Mike Casey through Millennium / account 406 = no activity</t>
  </si>
  <si>
    <t>813 EXCHANGE FEES</t>
  </si>
  <si>
    <t>ADJUSTED</t>
  </si>
  <si>
    <t xml:space="preserve">  GAS SUPPLY EXPENSES</t>
  </si>
  <si>
    <t xml:space="preserve">    OTHER GAS REVENUES (MISC./OFF SYSTEM SALES)</t>
  </si>
  <si>
    <t>OPERATING INCOME BEFORE INCOME TAXES</t>
  </si>
  <si>
    <t>TOTAL INCOME TAXES</t>
  </si>
  <si>
    <t>Data:__X___Historic Period______Forecasted Period</t>
  </si>
  <si>
    <t>Workpaper Reference No(s).  ____________________</t>
  </si>
  <si>
    <t>ACCOUNT TITLE</t>
  </si>
  <si>
    <t>ADJUSTMENTS</t>
  </si>
  <si>
    <t>HISTORIC TEST PERIOD:</t>
  </si>
  <si>
    <t>489 TRANSPORTATION REVENUE - RESIDENTIAL</t>
  </si>
  <si>
    <t>OVERALL FINANCIAL SUMMARY</t>
  </si>
  <si>
    <t>SCHEDULE A</t>
  </si>
  <si>
    <t>Type of Filing:___X_____Original________Updated</t>
  </si>
  <si>
    <t>Workpaper Reference No(s).____________________</t>
  </si>
  <si>
    <t>HISTORIC</t>
  </si>
  <si>
    <t>SUPPORTING</t>
  </si>
  <si>
    <t>REVENUE</t>
  </si>
  <si>
    <t>REFERENCE</t>
  </si>
  <si>
    <t>REQUIREMENT</t>
  </si>
  <si>
    <t>B-1</t>
  </si>
  <si>
    <t>C-1</t>
  </si>
  <si>
    <t>EARNED RATE OF RETURN (2 / 1)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</si>
  <si>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</si>
  <si>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</si>
  <si>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</si>
  <si>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</si>
  <si>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</si>
  <si>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</si>
  <si>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</si>
  <si>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</si>
  <si>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</si>
  <si>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PURPOSE AND DESCRIPTION:  To adjust NiSource Corporate</t>
  </si>
  <si>
    <t>Total Other</t>
  </si>
  <si>
    <t>NISOURCE</t>
  </si>
  <si>
    <t>REVENUE REQUIREMENTS</t>
  </si>
  <si>
    <t>A</t>
  </si>
  <si>
    <t>SCHEDULE  A</t>
  </si>
  <si>
    <t>JURISDICTIONAL RATE BASE SUMMARY</t>
  </si>
  <si>
    <t>SCHEDULE B-1</t>
  </si>
  <si>
    <t>BASE</t>
  </si>
  <si>
    <t>RATE BASE COMPONENT</t>
  </si>
  <si>
    <t>PERIOD</t>
  </si>
  <si>
    <t>PLANT IN SERVICE</t>
  </si>
  <si>
    <t>B-2</t>
  </si>
  <si>
    <t>PROPERTY HELD FOR FUTURE USE</t>
  </si>
  <si>
    <t>B-2.6</t>
  </si>
  <si>
    <t>B-2.4</t>
  </si>
  <si>
    <t>ACCUMULATED DEPRECIATION AND AMORTIZATION</t>
  </si>
  <si>
    <t>BOOKS 1_/</t>
  </si>
  <si>
    <t>1_/  See Workpaper WPD-2.4 Sheet 1 of 2.</t>
  </si>
  <si>
    <t>2_/  See Workpaper WPD-2.4 Sheet 2 of 2.</t>
  </si>
  <si>
    <t>COSTS 2_/</t>
  </si>
  <si>
    <t>B-3</t>
  </si>
  <si>
    <t>NET PLANT IN SERVICE (1 THRU 4)</t>
  </si>
  <si>
    <t>CONSTRUCTION WORK IN PROGRESS</t>
  </si>
  <si>
    <t>B-4</t>
  </si>
  <si>
    <t>CASH WORKING CAPITAL ALLOWANCE</t>
  </si>
  <si>
    <t>B-5.2</t>
  </si>
  <si>
    <t>OTHER WORKING CAPITAL ALLOWANCES</t>
  </si>
  <si>
    <t>B-5.1</t>
  </si>
  <si>
    <t>CUSTOMER ADVANCES FOR CONSTRUCTION</t>
  </si>
  <si>
    <t>B-6</t>
  </si>
  <si>
    <t>Accumulated Provision for Depreciation of Gas Plan in Service (Schedule B-3.2 excl. Amort.)</t>
  </si>
  <si>
    <t>DEFERRED INC. TAXES AND INVESTMENT TAX CREDITS</t>
  </si>
  <si>
    <t>OTHER ITEMS</t>
  </si>
  <si>
    <t>POSTAGE</t>
  </si>
  <si>
    <t>Consultants</t>
  </si>
  <si>
    <t>Legal</t>
  </si>
  <si>
    <t>Postage</t>
  </si>
  <si>
    <t>Two Year Amortization</t>
  </si>
  <si>
    <t>property tax at December 31, 2008</t>
  </si>
  <si>
    <t>January 2009 Direct Billed at existing rates</t>
  </si>
  <si>
    <t>January 2009 Direct Billed at May 11, 2009 rates</t>
  </si>
  <si>
    <t>Amount Increase</t>
  </si>
  <si>
    <t>Percent Increase</t>
  </si>
  <si>
    <t>Per Books Postage Expense (CE 2060)</t>
  </si>
  <si>
    <t>Annual Increase</t>
  </si>
  <si>
    <t>WITNESS:  J. SPANOS</t>
  </si>
  <si>
    <t>47-S0.5</t>
  </si>
  <si>
    <t>75-S4</t>
  </si>
  <si>
    <t>70-R2.5</t>
  </si>
  <si>
    <t>68-R1.5</t>
  </si>
  <si>
    <t>68-R1.6</t>
  </si>
  <si>
    <t>MAINS - COATED STEEL</t>
  </si>
  <si>
    <t>MAINS - PLASTIC</t>
  </si>
  <si>
    <t>Labor Adjustment - Distribution Expenses</t>
  </si>
  <si>
    <t>WPD-2.2, Sheet 2, Line 26</t>
  </si>
  <si>
    <t xml:space="preserve">WPD-2.2, Sheet 3, Line 16 </t>
  </si>
  <si>
    <t>WPD-2.2, Sheet 3, Line 30</t>
  </si>
  <si>
    <t>WPD-2.2, Sheet 4, Line 9</t>
  </si>
  <si>
    <t>WPD-2.2, Sheet 4, Line 34</t>
  </si>
  <si>
    <t>Labor Adjustment Total</t>
  </si>
  <si>
    <t>Labor Adjustment - Other Gas Supply Expenses</t>
  </si>
  <si>
    <t>Labor Adjustment - Customer Accounts Expenses</t>
  </si>
  <si>
    <t>Labor Adjustment - Customer Service &amp; Information Expenses</t>
  </si>
  <si>
    <t>Labor Adjustment - Sales Expenses</t>
  </si>
  <si>
    <t>Labor Adjustment - Administrative &amp; General Expenses</t>
  </si>
  <si>
    <t>WPD-2.2, Sheet 1, Line 26</t>
  </si>
  <si>
    <t>Non-Taxable Income/Non-Deductible Expenses</t>
  </si>
  <si>
    <t>AFUDC Equity</t>
  </si>
  <si>
    <t>RATE BASE (5 THRU 11)</t>
  </si>
  <si>
    <t>SCHEDULE  B</t>
  </si>
  <si>
    <t>CASE NO :</t>
  </si>
  <si>
    <t xml:space="preserve">B-1       </t>
  </si>
  <si>
    <t xml:space="preserve">B-2     </t>
  </si>
  <si>
    <t>PLANT IN SERVICE BY MAJOR PROPERTY GROUPINGS</t>
  </si>
  <si>
    <t>Total Annualized Gas Cost Revenue</t>
  </si>
  <si>
    <t xml:space="preserve">B-2.1   </t>
  </si>
  <si>
    <t>PLANT IN SERVICE BY ACCOUNTS AND SUBACCOUNTS</t>
  </si>
  <si>
    <t>IBM Transition to NiSource</t>
  </si>
  <si>
    <t>Misc. Severance Costs</t>
  </si>
  <si>
    <t>Non-recoverable items (ie. Advertising, Charitable Contributions, etc.)</t>
  </si>
  <si>
    <t xml:space="preserve">B-2.2    </t>
  </si>
  <si>
    <t>PROPOSED ADJUSTMENTS TO PLANT IN SERVICE</t>
  </si>
  <si>
    <t xml:space="preserve">B-2.3     </t>
  </si>
  <si>
    <t>GROSS ADDITIONS, RETIREMENTS AND TRANSFERS</t>
  </si>
  <si>
    <t xml:space="preserve">B-2.4     </t>
  </si>
  <si>
    <t>PROPERTY MERGED OR ACQUIRED</t>
  </si>
  <si>
    <t xml:space="preserve">B-2.5   </t>
  </si>
  <si>
    <t>LEASED PROPERTY</t>
  </si>
  <si>
    <t>PROPERTY HELD FOR FUTURE USE - INCLUDED IN RATE BASE</t>
  </si>
  <si>
    <t>B-2.7</t>
  </si>
  <si>
    <t>PROPERTY EXCLUDED FROM RATE BASE</t>
  </si>
  <si>
    <t xml:space="preserve">B-3      </t>
  </si>
  <si>
    <t>ACCUMULATED DEPRECIATION &amp; AMORTIZATION</t>
  </si>
  <si>
    <t xml:space="preserve">B-3.1    </t>
  </si>
  <si>
    <t xml:space="preserve">ADJUSTMENTS TO ACCUMULATED DEPRECIATION &amp; AMORTIZATION </t>
  </si>
  <si>
    <t xml:space="preserve">B-3.2   </t>
  </si>
  <si>
    <t>DEPRECIATION ACCRUAL RATES AND ACCUMULATED BALANCES BY ACCOUNT</t>
  </si>
  <si>
    <t xml:space="preserve">B-4     </t>
  </si>
  <si>
    <t xml:space="preserve">B-5      </t>
  </si>
  <si>
    <t>ALLOWANCE FOR WORKING CAPITAL</t>
  </si>
  <si>
    <t xml:space="preserve">B-5.1    </t>
  </si>
  <si>
    <t>WORKING CAPITAL COMPONENTS - 13 MONTH AVERAGE BALANCES</t>
  </si>
  <si>
    <t xml:space="preserve">B-5.2    </t>
  </si>
  <si>
    <t>WORKING CAPITAL COMPONENTS - 1 / 8 O&amp;M EXPENSES</t>
  </si>
  <si>
    <t>DEFERRED CREDITS AND ACCUMULATED DEFERRED INCOME TAXES</t>
  </si>
  <si>
    <t xml:space="preserve">B-7       </t>
  </si>
  <si>
    <t>JURISDICTIONAL PERCENTAGE</t>
  </si>
  <si>
    <t xml:space="preserve">B-7.1   </t>
  </si>
  <si>
    <t xml:space="preserve">JURISDICTIONAL STATISTICS - RATE BASE </t>
  </si>
  <si>
    <t xml:space="preserve">B-7.2   </t>
  </si>
  <si>
    <t>EXPLANATION OF CHANGES IN JURISDICTIONAL PROCEDURES</t>
  </si>
  <si>
    <t xml:space="preserve">B-8      </t>
  </si>
  <si>
    <t>COMPARATIVE BALANCE SHEETS</t>
  </si>
  <si>
    <t>SCHEDULE B-2</t>
  </si>
  <si>
    <t>MAJOR PROPERTY GROUPINGS</t>
  </si>
  <si>
    <t>COMPANY</t>
  </si>
  <si>
    <t>PERCENT</t>
  </si>
  <si>
    <t>INTANGIBLES</t>
  </si>
  <si>
    <t>PRODUCTION</t>
  </si>
  <si>
    <t>STORAGE AND PROCESSING</t>
  </si>
  <si>
    <t>TRANSMISSION</t>
  </si>
  <si>
    <t>DISTRIBUTION</t>
  </si>
  <si>
    <t>GENERAL</t>
  </si>
  <si>
    <t>COMMON</t>
  </si>
  <si>
    <t>COMPLETED CONSTRUCTION NOT CLASSIFIED</t>
  </si>
  <si>
    <t>OTHER</t>
  </si>
  <si>
    <t>COLUMBIA GAS OF KENTUCKY,INC.</t>
  </si>
  <si>
    <t xml:space="preserve">PLANT IN SERVICE BY ACCOUNTS AND SUBACCOUNTS </t>
  </si>
  <si>
    <t>INCLUDES ACCOUNTS 101 &amp; 106</t>
  </si>
  <si>
    <t>SCHEDULE B-2.1</t>
  </si>
  <si>
    <t>SHEET 1 OF 2</t>
  </si>
  <si>
    <t>BONUS</t>
  </si>
  <si>
    <t>INCENTIVE</t>
  </si>
  <si>
    <t>COMPENSATION</t>
  </si>
  <si>
    <t>MAINS - CAST IRON</t>
  </si>
  <si>
    <t>MAINS - BARE STEEL</t>
  </si>
  <si>
    <t>INSURANCE</t>
  </si>
  <si>
    <t>D-2.12</t>
  </si>
  <si>
    <t>D-2.13</t>
  </si>
  <si>
    <t>Travel Expense</t>
  </si>
  <si>
    <t xml:space="preserve">SHEET </t>
  </si>
  <si>
    <t>WITNESS:  P.  FISCHER</t>
  </si>
  <si>
    <t>DECEMBER 31, 2008 - DECEMBER 31, 2003 - 2007</t>
  </si>
  <si>
    <t>DEC. 31, 2008</t>
  </si>
  <si>
    <t>JAN 08</t>
  </si>
  <si>
    <t xml:space="preserve">SEP </t>
  </si>
  <si>
    <t xml:space="preserve">OCT </t>
  </si>
  <si>
    <t>DEC 08</t>
  </si>
  <si>
    <t>WITNESS:  P.  R. MOUL</t>
  </si>
  <si>
    <t>WITNESS:  J.  M. COOPER</t>
  </si>
  <si>
    <t>WPB-5.1</t>
  </si>
  <si>
    <t>WORKING CAPITAL COMPONENTS</t>
  </si>
  <si>
    <t>SHEET 1 OF 4</t>
  </si>
  <si>
    <t>REFERENCE: F/S, B-5.1</t>
  </si>
  <si>
    <t>ACCOUNT 186</t>
  </si>
  <si>
    <t>MISCELLANEOUS DEFERRED DEBITS</t>
  </si>
  <si>
    <t>SUB-ACCOUNT 12357</t>
  </si>
  <si>
    <t>MUTUAL MATERIAL</t>
  </si>
  <si>
    <t>Beginning</t>
  </si>
  <si>
    <t>Ending</t>
  </si>
  <si>
    <t>13 Month</t>
  </si>
  <si>
    <t>Balance</t>
  </si>
  <si>
    <t>Activity</t>
  </si>
  <si>
    <t>Average</t>
  </si>
  <si>
    <t>October</t>
  </si>
  <si>
    <t>November</t>
  </si>
  <si>
    <t>February</t>
  </si>
  <si>
    <t>March</t>
  </si>
  <si>
    <t>April</t>
  </si>
  <si>
    <t>May</t>
  </si>
  <si>
    <t>June</t>
  </si>
  <si>
    <t>July</t>
  </si>
  <si>
    <t xml:space="preserve">August </t>
  </si>
  <si>
    <t>SHEET 2 OF 4</t>
  </si>
  <si>
    <t>ACCOUNT 154</t>
  </si>
  <si>
    <t>SUB-ACCOUNT 12980</t>
  </si>
  <si>
    <t>PLANT MATERIALS AND OPERATING SUPPLIES</t>
  </si>
  <si>
    <t>SHEET 3 OF 4</t>
  </si>
  <si>
    <t>ACCOUNT 164 / 242</t>
  </si>
  <si>
    <t>GAS STORED UNDERGROUND - CURRENT</t>
  </si>
  <si>
    <t>SHEET 4 OF 4</t>
  </si>
  <si>
    <t>ACCOUNT 165</t>
  </si>
  <si>
    <t>Balance 1_/</t>
  </si>
  <si>
    <t>1_/  Prepaid PSC Fees have been removed from calculation.</t>
  </si>
  <si>
    <t>September</t>
  </si>
  <si>
    <t>WPB-6</t>
  </si>
  <si>
    <t>REFERENCE: F/S, B-6</t>
  </si>
  <si>
    <t>Account 283</t>
  </si>
  <si>
    <t>Account 101</t>
  </si>
  <si>
    <t>Account 252</t>
  </si>
  <si>
    <t>Deferred Income Taxes - Other</t>
  </si>
  <si>
    <t>Sub-Acct. 10020</t>
  </si>
  <si>
    <t>Sub-Acct. 15560</t>
  </si>
  <si>
    <t>Sub-Acct. 2951</t>
  </si>
  <si>
    <t>Sub-Acct. 4951</t>
  </si>
  <si>
    <t>Contributions</t>
  </si>
  <si>
    <t>Customer</t>
  </si>
  <si>
    <t xml:space="preserve">Legal Liab. - </t>
  </si>
  <si>
    <t>In Aid Of</t>
  </si>
  <si>
    <t>Advances For</t>
  </si>
  <si>
    <t>Lease On G.O.</t>
  </si>
  <si>
    <t>See Filing Requirement #6-n, Latest Depreciation Study</t>
  </si>
  <si>
    <t>Construction</t>
  </si>
  <si>
    <t>Bldg. - Federal</t>
  </si>
  <si>
    <t>Bldg. - State</t>
  </si>
  <si>
    <t>13-Month</t>
  </si>
  <si>
    <t>Average Balance</t>
  </si>
  <si>
    <t>Sub-Acct. 2851</t>
  </si>
  <si>
    <t>Sub-Acct. 4851</t>
  </si>
  <si>
    <t>Sub-Acct. 1938</t>
  </si>
  <si>
    <t>Sub-Acct. 3938</t>
  </si>
  <si>
    <t>Sub-Acct. 2922</t>
  </si>
  <si>
    <t>Sub-Acct. 4922</t>
  </si>
  <si>
    <t>In Aid &amp;</t>
  </si>
  <si>
    <t>% OF</t>
  </si>
  <si>
    <t>TOTAL PER</t>
  </si>
  <si>
    <t>LABOR &amp;</t>
  </si>
  <si>
    <t>ANNUALIZED</t>
  </si>
  <si>
    <t>PENSION</t>
  </si>
  <si>
    <t>CONTRACTUAL</t>
  </si>
  <si>
    <t>IBM INCREASE</t>
  </si>
  <si>
    <t>TO 2009</t>
  </si>
  <si>
    <t>LEVELS</t>
  </si>
  <si>
    <t>(6)</t>
  </si>
  <si>
    <t>AND</t>
  </si>
  <si>
    <t>NON-RECOVERABLE</t>
  </si>
  <si>
    <t>(10=3+5 THRU 9)</t>
  </si>
  <si>
    <t>(11=10-3)</t>
  </si>
  <si>
    <t xml:space="preserve"> LIFO Inventory</t>
  </si>
  <si>
    <t>Cust. Advances</t>
  </si>
  <si>
    <t>Evaluation</t>
  </si>
  <si>
    <t>- Federal</t>
  </si>
  <si>
    <t>- State</t>
  </si>
  <si>
    <t>Account 282 - Deferred Income Taxes - Depreciation</t>
  </si>
  <si>
    <t>Sub-Acct. 2205</t>
  </si>
  <si>
    <t>Sub-Acct. 4205</t>
  </si>
  <si>
    <t>Sub-Acct. 2211</t>
  </si>
  <si>
    <t>Sub-Acct. 4211</t>
  </si>
  <si>
    <t>Sub-Acct. 2231</t>
  </si>
  <si>
    <t>Sub-Acct. 4231</t>
  </si>
  <si>
    <t>Sub-Acct. 2232</t>
  </si>
  <si>
    <t>Sub-Acct. 4232</t>
  </si>
  <si>
    <t>Excess</t>
  </si>
  <si>
    <t>Loss On</t>
  </si>
  <si>
    <t>Property</t>
  </si>
  <si>
    <t>Accelerated</t>
  </si>
  <si>
    <t>Retirement Of</t>
  </si>
  <si>
    <t>Removal</t>
  </si>
  <si>
    <t>ACRS Property</t>
  </si>
  <si>
    <t>Costs</t>
  </si>
  <si>
    <t>Miscellaneous: Supplies, Courier, etc.</t>
  </si>
  <si>
    <t>Total Rate Case Expense</t>
  </si>
  <si>
    <t>PERCENT OF</t>
  </si>
  <si>
    <t>PER BOOKS</t>
  </si>
  <si>
    <t>PER</t>
  </si>
  <si>
    <t>GROSS</t>
  </si>
  <si>
    <t>TRANSFERS</t>
  </si>
  <si>
    <t>PENSIONS AND RETIREMENT INCOME</t>
  </si>
  <si>
    <t>9061</t>
  </si>
  <si>
    <t>RETIREMENT INCOME PLAN</t>
  </si>
  <si>
    <t>EMPLOYEES' INSURANCE PLANS</t>
  </si>
  <si>
    <t>9043</t>
  </si>
  <si>
    <t>GROUP LIFE INSURANCE</t>
  </si>
  <si>
    <t>9044</t>
  </si>
  <si>
    <t>LONG TERM DISABILITY</t>
  </si>
  <si>
    <t>9042</t>
  </si>
  <si>
    <t xml:space="preserve">DENTAL ASSISTANCE </t>
  </si>
  <si>
    <t>TOTAL EMPLOYEES' INSURANCE PLANS</t>
  </si>
  <si>
    <t>THRIFT PLAN</t>
  </si>
  <si>
    <t>9081</t>
  </si>
  <si>
    <t>Property Tax Expense - Annualized</t>
  </si>
  <si>
    <t>Property Tax Expense - Per Books</t>
  </si>
  <si>
    <t>Property Tax Adjustment</t>
  </si>
  <si>
    <t>SCHEDULE D-2.11</t>
  </si>
  <si>
    <t>ANNUALIZED PROPERTY TAX EXPENSE</t>
  </si>
  <si>
    <t>COMP MEDICAL INSURANCE AND EAP</t>
  </si>
  <si>
    <t>ACCT.</t>
  </si>
  <si>
    <t>ACCOUNT /</t>
  </si>
  <si>
    <t>911 SUPERVISION SALES EXPENSE</t>
  </si>
  <si>
    <t>409, 410, 411</t>
  </si>
  <si>
    <t>SUBACCOUNT TITLES</t>
  </si>
  <si>
    <t>TOTAL COMPANY</t>
  </si>
  <si>
    <t>INTANGIBLE PLANT</t>
  </si>
  <si>
    <t>ORGANIZATION</t>
  </si>
  <si>
    <t>MISCELLANEOUS INTANGIBLE PLANT</t>
  </si>
  <si>
    <t>MISC INTANGIBLE PLANT-DIS SOFTWARE</t>
  </si>
  <si>
    <t>MISC INTANGIBLE PLANT-FARA SOFTWARE</t>
  </si>
  <si>
    <t>MISC INTANGIBLE PLANT-OTHER SOFTWARE</t>
  </si>
  <si>
    <t>TOTAL INTANGIBLE PLANT</t>
  </si>
  <si>
    <t>PRODUCTION PLANT - LPG</t>
  </si>
  <si>
    <t>LAND</t>
  </si>
  <si>
    <t>TOTAL PRODUCTION PLANT - LPG</t>
  </si>
  <si>
    <t>DISTRIBUTION PLANT</t>
  </si>
  <si>
    <t>LAND-CITY GATE &amp; MAIN LINE IND. M &amp; R</t>
  </si>
  <si>
    <t>LAND-OTHER DISTRIBUTION SYSTEMS</t>
  </si>
  <si>
    <t>LAND RIGHTS-OTHER DISTR SYSTEMS</t>
  </si>
  <si>
    <t>RIGHTS OF WAY</t>
  </si>
  <si>
    <t>STRUC &amp; IMPROV-CITY GATE M &amp; R</t>
  </si>
  <si>
    <t>STRUC &amp; IMPROV-GENERAL M &amp; R</t>
  </si>
  <si>
    <t xml:space="preserve">STRUC &amp; IMPROV-REGULATING </t>
  </si>
  <si>
    <t>STRUC &amp; IMPROV-DISTR. IND. M &amp; R</t>
  </si>
  <si>
    <t>STRUC &amp; IMPROV-OTHER DISTR. SYSTEMS</t>
  </si>
  <si>
    <t>STRUC &amp; IMPROV-OTHER DISTR SYS-ILP</t>
  </si>
  <si>
    <t>STRUC &amp; IMPROV-COMMUNICATIONS</t>
  </si>
  <si>
    <t>MAINS</t>
  </si>
  <si>
    <t>OTHER EQ-COMMUNICATION</t>
  </si>
  <si>
    <t>balances at proposed depreciation rates.</t>
  </si>
  <si>
    <t>M &amp; R STATION EQUIP-GENERAL</t>
  </si>
  <si>
    <t>PURPOSE AND DESCRIPTION:  To eliminate promotional advertising and other</t>
  </si>
  <si>
    <t>non-recoverable expenses from the test year.</t>
  </si>
  <si>
    <t>NON-RECOVERABLE EXPENSES</t>
  </si>
  <si>
    <t>M &amp; R STA EQUIP-GENERAL-REGULATING</t>
  </si>
  <si>
    <t>M &amp; R STA EQUIP-GEN-LOCAL GAS PURCH</t>
  </si>
  <si>
    <t>M &amp; R STA EQUIP-CITY GATE CHECK STA</t>
  </si>
  <si>
    <t>SERVICES</t>
  </si>
  <si>
    <t>SHEET 2 OF 2</t>
  </si>
  <si>
    <t>METERS</t>
  </si>
  <si>
    <t>a/  13 month Average Balance at December 31, 2008</t>
  </si>
  <si>
    <t>Copy from cell A-2 and past in Cost of Service Schedule M Input Tab cell A-2.</t>
  </si>
  <si>
    <t>METER INSTALLATIONS</t>
  </si>
  <si>
    <t>test year.  These percentages were applied to the estimated 2009 amounts from HR.</t>
  </si>
  <si>
    <t>CKY Portion of Incentive Compensation of 2.78% represents CKY's portion of total NCSC labor during the</t>
  </si>
  <si>
    <t>Detailed Annual Service Fees by Tower</t>
  </si>
  <si>
    <t>HOUSE REGULATORS</t>
  </si>
  <si>
    <t>HOUSE REGULATOR INSTALLATIONS</t>
  </si>
  <si>
    <t>INDUSTRIAL M &amp; R STATION EQUIPMENT</t>
  </si>
  <si>
    <t>OTHER EQUIP-ODORIZATION</t>
  </si>
  <si>
    <t>OTHER EQUIP-TELEPHONE</t>
  </si>
  <si>
    <t>OTHER EQUIPMENT-RADIO</t>
  </si>
  <si>
    <t>OTHER EQUIP-OTHER COMMUNICATION</t>
  </si>
  <si>
    <t>OTHER EQUIP-TELEMETERING</t>
  </si>
  <si>
    <t>OTHER EQUIP-CUST INFO SERVICE</t>
  </si>
  <si>
    <t>TOTAL DISTRIBUTION PLANT</t>
  </si>
  <si>
    <t>GENERAL PLANT</t>
  </si>
  <si>
    <t>OFFICE FURN &amp; EQUIP-UNSPECIFIED</t>
  </si>
  <si>
    <t xml:space="preserve">OFFICE FURN &amp; EQUIP-DATA HANDLING </t>
  </si>
  <si>
    <t xml:space="preserve">Workpaper Reference No(s): </t>
  </si>
  <si>
    <t>OFFICE FURN &amp; EQUIP-INFO SYSTEMS</t>
  </si>
  <si>
    <t>TRANS EQUIP-TRAILERS $1,000 or LESS</t>
  </si>
  <si>
    <t>STORES EQUIPMENT</t>
  </si>
  <si>
    <t>has been adjusted to reflect the current level as shown on Schedule H and to</t>
  </si>
  <si>
    <t>annualize the EAP surcharge.</t>
  </si>
  <si>
    <t>Annualized EAP recovery included in Account 904</t>
  </si>
  <si>
    <t>M-2.2,</t>
  </si>
  <si>
    <t>PURPOSE AND DESCRIPTION:  To reflect the</t>
  </si>
  <si>
    <t>annualization of depreciation expense on CWIP</t>
  </si>
  <si>
    <t xml:space="preserve">TOOLS,SHOP, &amp; GAR EQ-GARAGE &amp; SERV </t>
  </si>
  <si>
    <t>TOOLS,SHOP, &amp; GAR EQ-CNG STATIONARY</t>
  </si>
  <si>
    <t>TOOLS,SHOP, &amp; GAR EQ-SHOP EQUIP</t>
  </si>
  <si>
    <t xml:space="preserve">TOOLS,SHOP, &amp; GAR EQ-TOOLS &amp; OTHER </t>
  </si>
  <si>
    <t>LABORATORY</t>
  </si>
  <si>
    <t>POWER OPERATED EQUIP-GENERAL TOOLS</t>
  </si>
  <si>
    <t>MISCELLANEOUS EQUIPMENT</t>
  </si>
  <si>
    <t>TOTAL GENERAL PLANT</t>
  </si>
  <si>
    <t>TOTAL PLANT IN SERVICE *</t>
  </si>
  <si>
    <t>* TOTAL AMOUNT OF ACCOUNT 106 DOLLARS INCLUDED</t>
  </si>
  <si>
    <t>SCHEDULE B-2.1a</t>
  </si>
  <si>
    <t>101-1000</t>
  </si>
  <si>
    <t>101-2000</t>
  </si>
  <si>
    <t>101-4000</t>
  </si>
  <si>
    <t>106</t>
  </si>
  <si>
    <t>TRANS EQUIP-TRAILERS OVER $1,000</t>
  </si>
  <si>
    <t xml:space="preserve">PROPOSED ADJUSTMENTS TO PLANT IN SERVICE </t>
  </si>
  <si>
    <t>SCHEDULE B-2.2</t>
  </si>
  <si>
    <t>DESCRIPTION AND</t>
  </si>
  <si>
    <t>WORKPAPER</t>
  </si>
  <si>
    <t xml:space="preserve">PURPOSE OF </t>
  </si>
  <si>
    <t>TITLE</t>
  </si>
  <si>
    <t>ADJUSTMENT</t>
  </si>
  <si>
    <t>REFERENCE NO.</t>
  </si>
  <si>
    <t>THERE ARE NO PROPOSED ADJUSTMENTS TO PLANT IN SERVICE IN THIS FILING.</t>
  </si>
  <si>
    <t>SCHEDULE B-2.3</t>
  </si>
  <si>
    <t>SHEET 1 OF 3</t>
  </si>
  <si>
    <t>TRANSFERS/RECLASSIFICATIONS</t>
  </si>
  <si>
    <t>BEGINNING</t>
  </si>
  <si>
    <t>EXPLANATION</t>
  </si>
  <si>
    <t>OTHER ACCOUNTS</t>
  </si>
  <si>
    <t>ENDING</t>
  </si>
  <si>
    <t>BALANCE</t>
  </si>
  <si>
    <t>ADDITIONS</t>
  </si>
  <si>
    <t>RETIREMENTS</t>
  </si>
  <si>
    <t>AMOUNT</t>
  </si>
  <si>
    <t>OF TRANSFERS *</t>
  </si>
  <si>
    <t>INVOLVED</t>
  </si>
  <si>
    <t>ACCOUNT 101-1000 GAS PLANT IN SERVICE - GENERAL</t>
  </si>
  <si>
    <t>Organization</t>
  </si>
  <si>
    <t>Misc. Intangible Plant</t>
  </si>
  <si>
    <t>Misc. Intangible Plant-DIS Software</t>
  </si>
  <si>
    <t>Misc. Intangible Plant-FARA Software</t>
  </si>
  <si>
    <t>Misc. Intangible Plant-Other Software</t>
  </si>
  <si>
    <t>Land</t>
  </si>
  <si>
    <t>Land-City Gate &amp; Main Line Ind.</t>
  </si>
  <si>
    <t>Land-Other Distribution System</t>
  </si>
  <si>
    <t>Land Rights-Other Distr. System</t>
  </si>
  <si>
    <t>Rights-of-Way</t>
  </si>
  <si>
    <t>Struc.&amp;Improv.-City Gate &amp; Ind.</t>
  </si>
  <si>
    <t>Struc.&amp;Improv.-General M&amp;R</t>
  </si>
  <si>
    <t>Struc.&amp;Improv.-Regulating</t>
  </si>
  <si>
    <t>Struc.&amp;Improv.-Distr. Ind. M&amp;R</t>
  </si>
  <si>
    <t>Struc.&amp;Improv.-Other Dist. System</t>
  </si>
  <si>
    <t xml:space="preserve">Also reflects the elimination of gas costs related to unbilled and </t>
  </si>
  <si>
    <t>non-traditional sales.</t>
  </si>
  <si>
    <t>Struc.&amp;Improv. Other Dist. System Impr.</t>
  </si>
  <si>
    <t>Annualized Residential Revenue - Sales</t>
  </si>
  <si>
    <t>Annualized Residential Revenue - Transportation</t>
  </si>
  <si>
    <t>Annualized Residential GTS - Choice</t>
  </si>
  <si>
    <t>Total Annualized Residential Revenue</t>
  </si>
  <si>
    <t>STATE INCOME TAX</t>
  </si>
  <si>
    <t>FEDERAL INCOME TAX</t>
  </si>
  <si>
    <t>CONSTRUCTION WORK IN PROGRESS ( IN SERVICE )</t>
  </si>
  <si>
    <t>PURPOSE AND DESCRIPTION:  To reflect the elimination of non-traditional sales</t>
  </si>
  <si>
    <t>Adjusted Other Gas Department</t>
  </si>
  <si>
    <t>measurable increases subsequent to the test year.</t>
  </si>
  <si>
    <t>34-S1.5</t>
  </si>
  <si>
    <t>20-SQ</t>
  </si>
  <si>
    <t>15-SQ</t>
  </si>
  <si>
    <t>5-SQ</t>
  </si>
  <si>
    <t>25-SQ</t>
  </si>
  <si>
    <t>from Other Gas Department Revenue.</t>
  </si>
  <si>
    <t>at the annualized level of gas service revenue at current rates.</t>
  </si>
  <si>
    <t>incentive compensation.</t>
  </si>
  <si>
    <t>in effect at the end of the test year.</t>
  </si>
  <si>
    <t>of payroll taxes related to the annualization of labor expense.</t>
  </si>
  <si>
    <t>Struc.&amp;Improv.-Communications</t>
  </si>
  <si>
    <t>Mains</t>
  </si>
  <si>
    <t>M&amp;R Station Equip. - General</t>
  </si>
  <si>
    <t>M&amp;R. Station Equip.-General-Regulating</t>
  </si>
  <si>
    <t>M&amp;R. Station Equip.-General-Local Gas Purch</t>
  </si>
  <si>
    <t>M&amp;R Equip.-City Gate Check Station</t>
  </si>
  <si>
    <t>Services</t>
  </si>
  <si>
    <t>Meters</t>
  </si>
  <si>
    <t>Meter Installations</t>
  </si>
  <si>
    <t>House Regulators</t>
  </si>
  <si>
    <t>House Regulator Installations</t>
  </si>
  <si>
    <t>SHEET 2 OF 3</t>
  </si>
  <si>
    <t>Industrial M &amp; R Station Equip.</t>
  </si>
  <si>
    <t>Other Equipment-Odorization</t>
  </si>
  <si>
    <t>Other Equipment-Telephone</t>
  </si>
  <si>
    <t>Other Equipment-Radio</t>
  </si>
  <si>
    <t>Other Equipment-Other Communication</t>
  </si>
  <si>
    <t>Other Equipment-Telemetering</t>
  </si>
  <si>
    <t>Other Equipment-Customer Information Service</t>
  </si>
  <si>
    <t>Office Furniture and Equipment-Unspecified</t>
  </si>
  <si>
    <t>Office Furniture and Equipment-Data Handling</t>
  </si>
  <si>
    <t>Office Furniture and Equipment-Information</t>
  </si>
  <si>
    <t>Transportation Equipment-Trailers Over $1,000</t>
  </si>
  <si>
    <t>Transportation Equipment-Trailers $1,000 / Less</t>
  </si>
  <si>
    <t>Stores Equipment</t>
  </si>
  <si>
    <t xml:space="preserve">Tools, Shop, and Garage Equipment-Garage </t>
  </si>
  <si>
    <t xml:space="preserve">Garage Equipment-CNG-Stationary </t>
  </si>
  <si>
    <t>Tools, Shop and Garage Equipment-Shop Equip.</t>
  </si>
  <si>
    <t xml:space="preserve">Tools, Shop and Garage Equipment-Tools </t>
  </si>
  <si>
    <t>Laboratory Equipment</t>
  </si>
  <si>
    <t>Power Operated Equipment-General Tools</t>
  </si>
  <si>
    <t>Miscellaneous Equipment</t>
  </si>
  <si>
    <t>Less: General Service Uncollectible Accounts Expense per Books</t>
  </si>
  <si>
    <t xml:space="preserve">depreciation expense on plant in service balances at </t>
  </si>
  <si>
    <t>BASE-PERIOD CAPITAL STRUCTURE</t>
  </si>
  <si>
    <t>BASE PERIOD CAPITAL STRUCTURE</t>
  </si>
  <si>
    <t>TOTAL GAS PLANT IN SERVICE 101-1000</t>
  </si>
  <si>
    <t>SHEET 3 OF 3</t>
  </si>
  <si>
    <t xml:space="preserve">CONTRIBUTIONS IN AID OF CONSTRUCTION </t>
  </si>
  <si>
    <t>ACCOUNT 101-2000</t>
  </si>
  <si>
    <t>Struc.&amp;Improv.-Other Structures</t>
  </si>
  <si>
    <t>M&amp;R. Station Equip.-General</t>
  </si>
  <si>
    <t>Industrial M&amp;R Station Equip.</t>
  </si>
  <si>
    <t>TOTAL CONTRIBUTIONS 101-2000</t>
  </si>
  <si>
    <t>ACCOUNT 101-4000 NON-TAXABLE RELOCATION</t>
  </si>
  <si>
    <t>REIMBURSEMENTS</t>
  </si>
  <si>
    <t>TOTAL CONTRIBUTIONS 101-4000</t>
  </si>
  <si>
    <t>TOTAL GENERAL LEDGER 101</t>
  </si>
  <si>
    <t>*</t>
  </si>
  <si>
    <t>TRANSFERS ARE A NORMAL COURSE OF EVENTS IN ALL ACCOUNTS AND</t>
  </si>
  <si>
    <t>Sub-Acct. 1947</t>
  </si>
  <si>
    <t>Capitalized</t>
  </si>
  <si>
    <t>Inventory -</t>
  </si>
  <si>
    <t>UNICAP</t>
  </si>
  <si>
    <t>Sub-Acct. 3947</t>
  </si>
  <si>
    <t>Capitalized Inventory - Federal</t>
  </si>
  <si>
    <t>Capitalized Inventory - State</t>
  </si>
  <si>
    <t>Sub-Acct. 2234</t>
  </si>
  <si>
    <t>Builder</t>
  </si>
  <si>
    <t>POSTAGE INCREASE</t>
  </si>
  <si>
    <t>PURPOSE AND DESCRIPTION:  To reflect current postage rates</t>
  </si>
  <si>
    <t>Incentives</t>
  </si>
  <si>
    <t>Sub-Acct. 4234</t>
  </si>
  <si>
    <t>RRA '93</t>
  </si>
  <si>
    <t>Sub-Acct. 2953</t>
  </si>
  <si>
    <t>Rate Base</t>
  </si>
  <si>
    <t>1% Offset</t>
  </si>
  <si>
    <t>1% Increment</t>
  </si>
  <si>
    <t>Sub-Acct. 4227</t>
  </si>
  <si>
    <t>State</t>
  </si>
  <si>
    <t>Non-Conforming</t>
  </si>
  <si>
    <t>Builder Incentives - Federal</t>
  </si>
  <si>
    <t>Builder Incentives - State</t>
  </si>
  <si>
    <t>RRA '93 1% Offset</t>
  </si>
  <si>
    <t>RRA '93 Rate Base Increment</t>
  </si>
  <si>
    <t>Non-Conforming State Depreciation</t>
  </si>
  <si>
    <t>REPRESENT CHANGES IN FUNCTION OF EQUIPMENT OR A CHOICE IN</t>
  </si>
  <si>
    <t>PREVIOUS YEAR CLOSINGS.</t>
  </si>
  <si>
    <t>SCHEDULE B-2.4</t>
  </si>
  <si>
    <t>COMMISSION</t>
  </si>
  <si>
    <t>ACQUISITION</t>
  </si>
  <si>
    <t>COST</t>
  </si>
  <si>
    <t>APPROVAL DATE</t>
  </si>
  <si>
    <t>DATE OF</t>
  </si>
  <si>
    <t>OF</t>
  </si>
  <si>
    <t>OF PROPERTY</t>
  </si>
  <si>
    <t>BASIS</t>
  </si>
  <si>
    <t>(DOCKET NO.)</t>
  </si>
  <si>
    <t>TREATMENT</t>
  </si>
  <si>
    <t>NONE</t>
  </si>
  <si>
    <t>SCHEDULE B-2.5</t>
  </si>
  <si>
    <t>DOLLAR</t>
  </si>
  <si>
    <t>IDENTIFICATION</t>
  </si>
  <si>
    <t>VALUE OF</t>
  </si>
  <si>
    <t>OR REFERENCE</t>
  </si>
  <si>
    <t>DESCRIPTION OF TYPE</t>
  </si>
  <si>
    <t>NAME OF</t>
  </si>
  <si>
    <t>FREQUENCY</t>
  </si>
  <si>
    <t>AMOUNT OF</t>
  </si>
  <si>
    <t>PROPERTY</t>
  </si>
  <si>
    <t>EXPLAIN METHOD OF</t>
  </si>
  <si>
    <t>NUMBER</t>
  </si>
  <si>
    <t>AND USE OF PROPERTY</t>
  </si>
  <si>
    <t>LESSEE</t>
  </si>
  <si>
    <t>OF PAYMENT</t>
  </si>
  <si>
    <t>LEASE PAYMENT</t>
  </si>
  <si>
    <t>CAPITALIZATION</t>
  </si>
  <si>
    <t>PROPERTY HELD FOR FUTURE USE INCLUDED IN RATE BASE</t>
  </si>
  <si>
    <t>SCHEDULE B-2.6</t>
  </si>
  <si>
    <t>NET</t>
  </si>
  <si>
    <t>REVENUE REALIZED</t>
  </si>
  <si>
    <t>AND LOCATION</t>
  </si>
  <si>
    <t>ORIGINAL</t>
  </si>
  <si>
    <t>ACCUMULATED</t>
  </si>
  <si>
    <t>DATE</t>
  </si>
  <si>
    <t>DEPRECIATION</t>
  </si>
  <si>
    <t xml:space="preserve">NONE </t>
  </si>
  <si>
    <t>(FOR REASONS OTHER THAN JURISDICTIONAL ALLOCATION)</t>
  </si>
  <si>
    <t>SCHEDULE B-2.7</t>
  </si>
  <si>
    <t>ACCOUNT TITLE OR</t>
  </si>
  <si>
    <t>REVENUE AND EXPENSE</t>
  </si>
  <si>
    <t>Percent in WV on which tax is paid (Line 28)</t>
  </si>
  <si>
    <t>107</t>
  </si>
  <si>
    <t>CWIP in Service (Schedule B-1)</t>
  </si>
  <si>
    <t>REASONS</t>
  </si>
  <si>
    <t xml:space="preserve">DESCRIPTION OF </t>
  </si>
  <si>
    <t xml:space="preserve">Workpaper Reference No(s). </t>
  </si>
  <si>
    <t>IN-SERVICE</t>
  </si>
  <si>
    <t>FOR</t>
  </si>
  <si>
    <t>EXCLUDED PROPERTY</t>
  </si>
  <si>
    <t>EXCLUSION</t>
  </si>
  <si>
    <t>X:\ERATE\CKY\RATECASE\1994\SCHD\INDEX.WK1</t>
  </si>
  <si>
    <t>SCHEDULE  D</t>
  </si>
  <si>
    <t>INVESTMENT IN SUBSIDIARY</t>
  </si>
  <si>
    <t>SUMMARY OF ADJUSTMENTS TO OPERATING INCOME</t>
  </si>
  <si>
    <t>HISTORIC PERIOD :</t>
  </si>
  <si>
    <t xml:space="preserve">D-1       </t>
  </si>
  <si>
    <t>SUMMARY OF ADJUSTMENTS TO OPERATING INCOME ACCOUNTS</t>
  </si>
  <si>
    <t>D-2.1 - D-2.11</t>
  </si>
  <si>
    <t>DETAILED ADJUSTMENT</t>
  </si>
  <si>
    <t xml:space="preserve">D-3   </t>
  </si>
  <si>
    <t>SUMMARY OF JURISDICTIONAL FACTORS - OPERATING INCOME</t>
  </si>
  <si>
    <t xml:space="preserve">D-4    </t>
  </si>
  <si>
    <t>JURISDICTIONAL STATISTICS - OPERATING INCOME</t>
  </si>
  <si>
    <t>D-5</t>
  </si>
  <si>
    <t xml:space="preserve">EXPLANATION OF CHANGE IN JURISDICTIONAL PROCEDURES </t>
  </si>
  <si>
    <t>SUMMARY OF UTILITY JURISDICTIONAL ADJUSTMENTS TO</t>
  </si>
  <si>
    <t>OPERATING INCOME BY MAJOR ACCOUNTS</t>
  </si>
  <si>
    <t>SCHEDULE D-1</t>
  </si>
  <si>
    <t>SHEET  1 OF 2</t>
  </si>
  <si>
    <t>TITLE OF ADJUSTMENT</t>
  </si>
  <si>
    <t>ANNUALIZE</t>
  </si>
  <si>
    <t>RATE</t>
  </si>
  <si>
    <t>ADJ.</t>
  </si>
  <si>
    <t>CORPORATE</t>
  </si>
  <si>
    <t>CASE</t>
  </si>
  <si>
    <t>TEST YEAR</t>
  </si>
  <si>
    <t>BENEFITS</t>
  </si>
  <si>
    <t>&amp; GAS COST</t>
  </si>
  <si>
    <t>EXPENSE</t>
  </si>
  <si>
    <t>LABOR</t>
  </si>
  <si>
    <t>D-2.1</t>
  </si>
  <si>
    <t>D-2.2</t>
  </si>
  <si>
    <t>D-2.3</t>
  </si>
  <si>
    <t>D-2.4</t>
  </si>
  <si>
    <t>D-2.5</t>
  </si>
  <si>
    <t>D-2.6</t>
  </si>
  <si>
    <t>D-2.7</t>
  </si>
  <si>
    <t>($)</t>
  </si>
  <si>
    <t>SALE OF GAS</t>
  </si>
  <si>
    <t>480 RESIDENTIAL</t>
  </si>
  <si>
    <t>481.1 COMMERCIAL</t>
  </si>
  <si>
    <t>481.2 INDUSTRIAL</t>
  </si>
  <si>
    <t>481.9 OTHER</t>
  </si>
  <si>
    <t xml:space="preserve">  TOTAL SALE OF GAS</t>
  </si>
  <si>
    <t>OTHER OPERATING INCOME</t>
  </si>
  <si>
    <t>488 MISC. SERVICE REVENUES</t>
  </si>
  <si>
    <t>Amortization of Excess ADIT-State</t>
  </si>
  <si>
    <t>Amortization of Excess ADIT-Federal</t>
  </si>
  <si>
    <t>Political Action Expense/Penalties</t>
  </si>
  <si>
    <t>Special Employee Plans</t>
  </si>
  <si>
    <t>Less Per Book Amortization Expense</t>
  </si>
  <si>
    <t>Customer Assistance Plan</t>
  </si>
  <si>
    <t>Retirement Income Plan</t>
  </si>
  <si>
    <t>489 REVENUE FROM TRANSPORTING GAS TO OTHERS</t>
  </si>
  <si>
    <t>495 OTHER GAS DEPARTMENT REVENUE</t>
  </si>
  <si>
    <t xml:space="preserve">  TOTAL OPERATING REVENUE</t>
  </si>
  <si>
    <t>GAS SUPPLY EXPENSE</t>
  </si>
  <si>
    <t>LIQUEFIED PETROLEUM GAS PRODUCTION EXP.</t>
  </si>
  <si>
    <t>DISTRIBUTION O&amp;M EXPENSE</t>
  </si>
  <si>
    <t>CUSTOMER ACCOUNTING &amp; COLLECTION EXP.</t>
  </si>
  <si>
    <t>CUSTOMER SERVICE &amp; INFORMATION EXP.</t>
  </si>
  <si>
    <t>SALES EXPENSE</t>
  </si>
  <si>
    <t>ADMINISTRATIVE &amp; GENERAL EXPENSE</t>
  </si>
  <si>
    <t>DEPRECIATION EXPENSE</t>
  </si>
  <si>
    <t xml:space="preserve">TAXES OTHER THAN INCOME </t>
  </si>
  <si>
    <t>PAYROLL</t>
  </si>
  <si>
    <t>OPERATING EXPENSES BEFORE INCOME TAXES</t>
  </si>
  <si>
    <t>INCOME TAXES</t>
  </si>
  <si>
    <t>FEDERAL INCOME</t>
  </si>
  <si>
    <t>STATE INCOME</t>
  </si>
  <si>
    <t>FEDERAL INCOME TAX IMPACT</t>
  </si>
  <si>
    <t>STATE INCOME TAX IMPACT</t>
  </si>
  <si>
    <t>SHEET  2 OF 2</t>
  </si>
  <si>
    <t>TAX</t>
  </si>
  <si>
    <t>ADJUST.</t>
  </si>
  <si>
    <t>D-2.8</t>
  </si>
  <si>
    <t>D-2.9</t>
  </si>
  <si>
    <t>D-2.10</t>
  </si>
  <si>
    <t>D-2.11</t>
  </si>
  <si>
    <t xml:space="preserve">UTILITY JURISDICTIONAL ADJUSTMENT </t>
  </si>
  <si>
    <t>ANNUALIZATION OF SALES SERVICE REVENUE</t>
  </si>
  <si>
    <t>Data:___X____Historic Period_______Forecasted Period</t>
  </si>
  <si>
    <t>SCHEDULE D-2.1</t>
  </si>
  <si>
    <t>Workpaper Reference No(s).</t>
  </si>
  <si>
    <t>PURPOSE AND DESCRIPTION</t>
  </si>
  <si>
    <t>PURPOSE AND DESCRIPTION:  To reflect the annualization of sales service</t>
  </si>
  <si>
    <t>revenue based on normalized sales volumes and test year-end customers. In</t>
  </si>
  <si>
    <t>addition, unbilled revenues are eliminated.</t>
  </si>
  <si>
    <t>Schedules</t>
  </si>
  <si>
    <t>Annualized Residential Revenue</t>
  </si>
  <si>
    <t>M-2.2</t>
  </si>
  <si>
    <t>Per Books Residential Revenue</t>
  </si>
  <si>
    <t>C-2.1</t>
  </si>
  <si>
    <t>Adjustment - Residential Revenue</t>
  </si>
  <si>
    <t>Annualized Commercial Revenue</t>
  </si>
  <si>
    <t>Per Books Commercial Revenue</t>
  </si>
  <si>
    <t>Adjustment - Commercial Revenue</t>
  </si>
  <si>
    <t>Annualized Industrial Revenue</t>
  </si>
  <si>
    <t>Per Books Industrial Revenue</t>
  </si>
  <si>
    <t>Adjustment - Industrial Revenue</t>
  </si>
  <si>
    <t>Annualized Public Utility Revenue</t>
  </si>
  <si>
    <t>Per Books Public Utility Revenue</t>
  </si>
  <si>
    <t>Adjustment - Public Utility Revenue</t>
  </si>
  <si>
    <t>Jurisdictional allocation percentage</t>
  </si>
  <si>
    <t>Jurisdictional amount</t>
  </si>
  <si>
    <t>ANNUALIZATION OF TRANSPORTATION SERVICE REVENUE</t>
  </si>
  <si>
    <t xml:space="preserve">PURPOSE AND DESCRIPTION:  To reflect the annualization of transportation </t>
  </si>
  <si>
    <t>Annualized Transportation Revenue</t>
  </si>
  <si>
    <t>Per Books Transportation Revenue</t>
  </si>
  <si>
    <t>Adjustment - Transportation Revenue</t>
  </si>
  <si>
    <t>ANNUALIZATION OF GAS COST RECOVERY REVENUE</t>
  </si>
  <si>
    <t>PURPOSE AND DESCRIPTION:  To reflect the annualization of gas cost</t>
  </si>
  <si>
    <t>recovery revenue based on the most current supplier rates in effect.</t>
  </si>
  <si>
    <t>Annualized Gas Cost Revenue</t>
  </si>
  <si>
    <t>SHEET 1 OF 5</t>
  </si>
  <si>
    <t>SHEET 2 OF 5</t>
  </si>
  <si>
    <t>SHEET 3 OF 5</t>
  </si>
  <si>
    <t>SHEET 4 OF 5</t>
  </si>
  <si>
    <t>OTHER GAS DEPARTMENT REVENUE</t>
  </si>
  <si>
    <t>Acct. 487 Forefited Discounts</t>
  </si>
  <si>
    <t>Acct. 488 Miscellaneous Service Revenue</t>
  </si>
  <si>
    <t>Acct. 495 Non-Traditional Sales</t>
  </si>
  <si>
    <t>Acct. 495 Prior Yr. Rate Refund - Net.</t>
  </si>
  <si>
    <t>Acct. 495 Other Gas Revenues - Other</t>
  </si>
  <si>
    <t>EAP Revenue</t>
  </si>
  <si>
    <t>Purchased Gas Expense</t>
  </si>
  <si>
    <t>Gas Used for Other Utility Operations</t>
  </si>
  <si>
    <t>Gas Cost Expense per books</t>
  </si>
  <si>
    <t>Adjustment - Gas Cost Expense</t>
  </si>
  <si>
    <t>ANNUALIZATION OF UNCOLLECTIBLE ACCOUNTS EXPENSE</t>
  </si>
  <si>
    <t>Workpaper Reference No(s). WPD-2.1</t>
  </si>
  <si>
    <t>PURPOSE AND DESCRIPTION:  Uncollectible Accounts expense</t>
  </si>
  <si>
    <t>TEST</t>
  </si>
  <si>
    <t>YEAR</t>
  </si>
  <si>
    <t>(3 =1 - 2)</t>
  </si>
  <si>
    <t>(5 = 4 x 7 )</t>
  </si>
  <si>
    <t>(6 = 4 -5)</t>
  </si>
  <si>
    <t>(7)</t>
  </si>
  <si>
    <t>9041&amp;9045</t>
  </si>
  <si>
    <t>OPEB COST</t>
  </si>
  <si>
    <t xml:space="preserve">SERVICES </t>
  </si>
  <si>
    <t>9046</t>
  </si>
  <si>
    <t xml:space="preserve">ONGOING OPEB - MEDICAL </t>
  </si>
  <si>
    <t>9047</t>
  </si>
  <si>
    <t>ONGOING OPEB - GROUP LIFE</t>
  </si>
  <si>
    <t xml:space="preserve">TRANSFERS </t>
  </si>
  <si>
    <t xml:space="preserve">(2 = 1 x7) </t>
  </si>
  <si>
    <t>PURPOSE AND DESCRIPTION: To reflect an ongoing level of</t>
  </si>
  <si>
    <t>Per Books:</t>
  </si>
  <si>
    <t>Accrual Rate</t>
  </si>
  <si>
    <t>Adjustment to O&amp;M for Uncollectible Accounts Expense</t>
  </si>
  <si>
    <t>Less: Expense per Books</t>
  </si>
  <si>
    <t>Adjustment</t>
  </si>
  <si>
    <t>Jurisdictional Allocation Percentage</t>
  </si>
  <si>
    <t>Jurisdictional Amount</t>
  </si>
  <si>
    <t>ANNUALIZATION OF KPSC MAINTENANCE EXPENSE</t>
  </si>
  <si>
    <t>PURPOSE AND DESCRIPTION:  To reflect the KPSC maintenance expense</t>
  </si>
  <si>
    <t>Annualized Revenue</t>
  </si>
  <si>
    <t>SCHEDULE D-2.2</t>
  </si>
  <si>
    <t>Total</t>
  </si>
  <si>
    <t>AMORTIZATION OF RATE CASE EXPENSE</t>
  </si>
  <si>
    <t>SCHEDULE D-2.3</t>
  </si>
  <si>
    <t>PURPOSE AND DESCRIPTION:  To reflect the estimated cost of</t>
  </si>
  <si>
    <t>ANNUALIZATION OF INCREASE IN WAGES</t>
  </si>
  <si>
    <t>SCHEDULE D-2.4</t>
  </si>
  <si>
    <t>PURPOSE AND DESCRIPTION:  To reflect the annualization</t>
  </si>
  <si>
    <t>of wage increases granted during the test year and known and</t>
  </si>
  <si>
    <t>ANNUALIZATION OF INCREASE IN BENEFITS EXPENSE</t>
  </si>
  <si>
    <t>SCHEDULE D-2.5</t>
  </si>
  <si>
    <t>SCHEDULE D-2.6</t>
  </si>
  <si>
    <t>SHEET 1 of  2</t>
  </si>
  <si>
    <t>SHEET 2 of 2</t>
  </si>
  <si>
    <t>930 MISCELLANEOUS GENERAL</t>
  </si>
  <si>
    <t>OUTSTANDING 1</t>
  </si>
  <si>
    <t>SERVICE COSTS</t>
  </si>
  <si>
    <t>Workpaper Reference No(s). WPD-2.2</t>
  </si>
  <si>
    <t>NISOURCE CORPORATE SERVICE COSTS</t>
  </si>
  <si>
    <t>NOTES: (1) INCLUDES CURRENT PORTION OF LONG-TERM DEBT.</t>
  </si>
  <si>
    <t>PLANT ACQUISITION ADJUSTMENTS</t>
  </si>
  <si>
    <t>JURISDICTIONAL REQUIREMENT</t>
  </si>
  <si>
    <t>OTHER LIABILITIES &amp; DEF. CREDITS</t>
  </si>
  <si>
    <t xml:space="preserve">    STRUCTURES AND IMPROVEMENTS</t>
  </si>
  <si>
    <t>406 AMORTIZATION-GAS PLANT ACQUISITION ADJUSTMENTS</t>
  </si>
  <si>
    <t>886 STRUCTURES AND IMPROVEMENTS</t>
  </si>
  <si>
    <t>recorded in the test year</t>
  </si>
  <si>
    <t>Natural Gas Choice Marketer Settlement - Legal Expenses</t>
  </si>
  <si>
    <t>Booked in March 2008</t>
  </si>
  <si>
    <t>SCHEDULE D-2.12</t>
  </si>
  <si>
    <t>PURPOSE AND DESCRIPTION:  To eliminate one-time non-recurring expenses</t>
  </si>
  <si>
    <t>Normal expense</t>
  </si>
  <si>
    <t>Adjustment to eliminate non-recurring expense</t>
  </si>
  <si>
    <t>NON-RECURRING EXPENSE ADJUSTMENTS</t>
  </si>
  <si>
    <t>NON-RECURRING</t>
  </si>
  <si>
    <t>ELIMINATE</t>
  </si>
  <si>
    <t>excluding non-recurring and out-of-period charges.</t>
  </si>
  <si>
    <t xml:space="preserve">Service Costs with known and measurable adjustments while </t>
  </si>
  <si>
    <t>BOOKS</t>
  </si>
  <si>
    <t>TOTAL CAPITALIZED</t>
  </si>
  <si>
    <t>@ 3%</t>
  </si>
  <si>
    <t>(5)</t>
  </si>
  <si>
    <t>(8)</t>
  </si>
  <si>
    <t>(9)</t>
  </si>
  <si>
    <t>@ 100%</t>
  </si>
  <si>
    <t>TOTAL DIST. O&amp;M EXP</t>
  </si>
  <si>
    <t>TOTAL A&amp;G O&amp;M EXP</t>
  </si>
  <si>
    <t>D-2.8 SHT. 2</t>
  </si>
  <si>
    <t>807 - OTH GAS SUP</t>
  </si>
  <si>
    <t>870 - DIST. O&amp;M</t>
  </si>
  <si>
    <t>874 - DIST. O&amp;M</t>
  </si>
  <si>
    <t>880 - DIST. O&amp;M</t>
  </si>
  <si>
    <t>885 - DIST. O&amp;M</t>
  </si>
  <si>
    <t>887 - DIST. O&amp;M</t>
  </si>
  <si>
    <t>903 - CUST. ACCT.</t>
  </si>
  <si>
    <t>908 - CUST. SERV.</t>
  </si>
  <si>
    <t>909 - CUST. SERV.</t>
  </si>
  <si>
    <t>910 - CUST. SERV.</t>
  </si>
  <si>
    <t>CKY</t>
  </si>
  <si>
    <t>Total NiSource</t>
  </si>
  <si>
    <t>Adjusted Test Year</t>
  </si>
  <si>
    <t>Allocation</t>
  </si>
  <si>
    <t>Calendar Yr</t>
  </si>
  <si>
    <t>CKY Portion</t>
  </si>
  <si>
    <t>Ended 12/31/08</t>
  </si>
  <si>
    <t>2009 *</t>
  </si>
  <si>
    <t>of 2009</t>
  </si>
  <si>
    <t>Pro-Forma Adj</t>
  </si>
  <si>
    <t>D</t>
  </si>
  <si>
    <t>E=A/D</t>
  </si>
  <si>
    <t>F</t>
  </si>
  <si>
    <t>G=FxE</t>
  </si>
  <si>
    <t>H=G-A</t>
  </si>
  <si>
    <t>IT</t>
  </si>
  <si>
    <t>Incentive Compensation</t>
  </si>
  <si>
    <t>NCSC Total</t>
  </si>
  <si>
    <t>CKY % of</t>
  </si>
  <si>
    <t xml:space="preserve"> NCSC</t>
  </si>
  <si>
    <t>Accrued</t>
  </si>
  <si>
    <t>Total*</t>
  </si>
  <si>
    <t>of Accrued Bonus</t>
  </si>
  <si>
    <t>Test Year Adjustment</t>
  </si>
  <si>
    <t>Test Year Incentive Compensation Expense</t>
  </si>
  <si>
    <t xml:space="preserve">Test Year Profit Sharing Plan Expense </t>
  </si>
  <si>
    <t>Total Test Year Incentive Compensation Expense</t>
  </si>
  <si>
    <t>Pro-forma Adjustment</t>
  </si>
  <si>
    <t>2009 Incentive Compensation Estimate **</t>
  </si>
  <si>
    <t>2009 Profit Sharing Plan Estimate ***</t>
  </si>
  <si>
    <t>Total 2009 Incentive Compensation Estimate</t>
  </si>
  <si>
    <t>Net Test Year Adjustment</t>
  </si>
  <si>
    <t>Line 6 - Line 3</t>
  </si>
  <si>
    <t>**</t>
  </si>
  <si>
    <t>Amount obtained from Human Resources department based on Trigger Level Payout.</t>
  </si>
  <si>
    <t>***</t>
  </si>
  <si>
    <t>Amount obtained from Controllers Letters issued by Consolidation Accounting Department.</t>
  </si>
  <si>
    <t>Total NCSC</t>
  </si>
  <si>
    <t>Labor/Benefits</t>
  </si>
  <si>
    <t>Labor/Benefits **</t>
  </si>
  <si>
    <t>Labor</t>
  </si>
  <si>
    <t>Actual February 2009 Labor Expense*</t>
  </si>
  <si>
    <t>Approved 2009 Merit Increase</t>
  </si>
  <si>
    <t>Annualized (12 months)</t>
  </si>
  <si>
    <t>Net Labor Increase</t>
  </si>
  <si>
    <t>Benefits</t>
  </si>
  <si>
    <t>Actual February 2009 Benefits Expense*</t>
  </si>
  <si>
    <t>Benefit percentage</t>
  </si>
  <si>
    <t xml:space="preserve">Pension </t>
  </si>
  <si>
    <t>of Pension Adj</t>
  </si>
  <si>
    <t>Test Year Pension Expense</t>
  </si>
  <si>
    <t>2009 Pension Estimate **</t>
  </si>
  <si>
    <t xml:space="preserve">Pro-forma Adjustment </t>
  </si>
  <si>
    <t>Line 2 - Line 1</t>
  </si>
  <si>
    <t>* February 2009 is used as the basis for the calculation as it is representative of labor and benefits expense in future periods.</t>
  </si>
  <si>
    <t>** CKY Labor &amp; Benefits Allocation is 2.78% which is determined by taking the CKY portion of the total NCSC labor</t>
  </si>
  <si>
    <t xml:space="preserve">    during the test year.</t>
  </si>
  <si>
    <t>Merit (Line 1 x Line 2)</t>
  </si>
  <si>
    <t>Net Labor Increase (Line 3 x Line 4)</t>
  </si>
  <si>
    <t>Percentage (Line 7 / Line 8)</t>
  </si>
  <si>
    <t>Net Benefits Increase (Line 10 x Line 11)</t>
  </si>
  <si>
    <t>Total NCSC labor and benefits increase (Line 5 + Line 12)</t>
  </si>
  <si>
    <t>*  CKY Portion of Pension Expense of 2.78% represents CKY's portion of the total NCSC Labor during the Test Year.</t>
  </si>
  <si>
    <t>**  Amount obtained from Controllers Letters issued by Consolidation Accounting Department.</t>
  </si>
  <si>
    <t xml:space="preserve">* Amounts obtained from IBM Settlement Agreement, Amendment 9.  In addition, an escalation factor of 2.5% was applied </t>
  </si>
  <si>
    <t xml:space="preserve">  </t>
  </si>
  <si>
    <t xml:space="preserve">  which is representative of the Escalation Clause Adjustment budgeted in 2009.  The 2008 ECA was 4.06%.</t>
  </si>
  <si>
    <t>911 - SALES EXP.</t>
  </si>
  <si>
    <t>912 - SALES EXP.</t>
  </si>
  <si>
    <t>913 - SALES EXP.</t>
  </si>
  <si>
    <t>923 - A&amp;G EXP</t>
  </si>
  <si>
    <t>Forfeited Discount Adjustment</t>
  </si>
  <si>
    <t>ELEMENT.</t>
  </si>
  <si>
    <t>SCHEDULE D-2.7</t>
  </si>
  <si>
    <t xml:space="preserve">      EXCHANGE FEES</t>
  </si>
  <si>
    <t>SCHEDULE D-2.8</t>
  </si>
  <si>
    <t>SCHEDULE D-2.9</t>
  </si>
  <si>
    <t>ANNUALIZE DEPRECIATION EXPENSE</t>
  </si>
  <si>
    <t>SCHEDULE D-2.10</t>
  </si>
  <si>
    <t>SHEET 1 of 11</t>
  </si>
  <si>
    <t>SHEET 2 of 11</t>
  </si>
  <si>
    <t>SHEET 3 of 11</t>
  </si>
  <si>
    <t>SHEET 4 of 11</t>
  </si>
  <si>
    <t>SHEET 5 of 11</t>
  </si>
  <si>
    <t>SHEET 6 of 11</t>
  </si>
  <si>
    <t>SHEET 7 of 11</t>
  </si>
  <si>
    <t>SHEET 8 of 11</t>
  </si>
  <si>
    <t>SHEET 9 of 11</t>
  </si>
  <si>
    <t>SHEET 10 of 11</t>
  </si>
  <si>
    <t>SHEET 11 of 11</t>
  </si>
  <si>
    <t xml:space="preserve">Workpaper Reference No(s).  </t>
  </si>
  <si>
    <t>Depreciation Adjustment</t>
  </si>
  <si>
    <t>Net Adjustment</t>
  </si>
  <si>
    <t>ANNUALIZATION OF PAYROLL TAX</t>
  </si>
  <si>
    <t>SCHEDULE D-3</t>
  </si>
  <si>
    <t>WMS</t>
  </si>
  <si>
    <t>Misc. Non-Recurring Vendors/Job Orders</t>
  </si>
  <si>
    <t>DESCRIPTION OF FACTORS</t>
  </si>
  <si>
    <t>FACTOR</t>
  </si>
  <si>
    <t>AND/OR METHOD OF ALLOCATION</t>
  </si>
  <si>
    <t>ALL DATA 100.00% JURISDICTIONAL.</t>
  </si>
  <si>
    <t>SCHEDULE D-4</t>
  </si>
  <si>
    <t>TO TOTAL</t>
  </si>
  <si>
    <t>STATISTIC</t>
  </si>
  <si>
    <t>DESCRIPTION OF</t>
  </si>
  <si>
    <t>FOR TOTAL</t>
  </si>
  <si>
    <t xml:space="preserve">FOR </t>
  </si>
  <si>
    <t>JURISDICTIONAL FACTORS</t>
  </si>
  <si>
    <t>RATIO</t>
  </si>
  <si>
    <t>(A)</t>
  </si>
  <si>
    <t>(B)</t>
  </si>
  <si>
    <t>(C)</t>
  </si>
  <si>
    <t>(D)</t>
  </si>
  <si>
    <t>(E=C+D)</t>
  </si>
  <si>
    <t>(F)</t>
  </si>
  <si>
    <t>(G=F+E)</t>
  </si>
  <si>
    <t>EXPLANATION OF CHANGES IN JURISDICTIONAL PROCEDURES - OPERATING INCOME</t>
  </si>
  <si>
    <t>SCHEDULE D-5</t>
  </si>
  <si>
    <t>PROCEDURES APPROVED</t>
  </si>
  <si>
    <t>ACCOUNT NO.</t>
  </si>
  <si>
    <t>IN PRIOR CASE</t>
  </si>
  <si>
    <t>RATIONALE FOR CHANGE</t>
  </si>
  <si>
    <t>NO CHANGE SINCE THE LAST CASE.</t>
  </si>
  <si>
    <t>SCHEDULE  E</t>
  </si>
  <si>
    <t>E-1</t>
  </si>
  <si>
    <t>COMPUTATION OF JURISDICTIONAL FEDERAL AND STATE INCOME TAX</t>
  </si>
  <si>
    <t xml:space="preserve">E-2     </t>
  </si>
  <si>
    <t>DEVELOPMENT OF JURISDICTIONAL FEDERAL AND STATE INCOME TAXES</t>
  </si>
  <si>
    <t>COMPUTATION OF FEDERAL AND STATE INCOME TAX</t>
  </si>
  <si>
    <t>SCHEDULE E-1</t>
  </si>
  <si>
    <t>At  Current  Rates</t>
  </si>
  <si>
    <t>Line</t>
  </si>
  <si>
    <t>Per Books</t>
  </si>
  <si>
    <t>Proforma</t>
  </si>
  <si>
    <t>No.</t>
  </si>
  <si>
    <t>Description</t>
  </si>
  <si>
    <t>Adjustments</t>
  </si>
  <si>
    <t>Adjusted</t>
  </si>
  <si>
    <t>Operating Income Before Income Taxes</t>
  </si>
  <si>
    <t>Interest Charges</t>
  </si>
  <si>
    <t>CASE NO. 2017-xxxxx</t>
  </si>
  <si>
    <t>TWELVE MONTHS ENDED DECEMBER 31, 2017</t>
  </si>
  <si>
    <t>AS OF DECEMBER 31, 2017</t>
  </si>
  <si>
    <t>FOR THE TWELVE MONTHS ENDED DECEMBER 31, 2017</t>
  </si>
  <si>
    <t>FOR THE HISTORIC PERIOD DECEMBER 31, 2017</t>
  </si>
  <si>
    <t>FROM DECEMBER 31, 2016 TO DECEMBER 31, 2017</t>
  </si>
  <si>
    <t>FROM JANUARY 1, 2017 TO DECEMBER 31, 2017</t>
  </si>
  <si>
    <t>HISTORIC PERIOD ENDING DECEMBER 31, 2017</t>
  </si>
  <si>
    <t>13 MONTH AVG. - BASE PERIOD 12-31-16 TO 12-31-17</t>
  </si>
  <si>
    <t>FOR THE HISTORIC PERIOD 12 MONTHS ENDED DECEMBER 31, 2017</t>
  </si>
  <si>
    <t>TWELVE MONTHS DECEMBER 31, 2017</t>
  </si>
  <si>
    <t>Case No. 2017-xxxxx</t>
  </si>
  <si>
    <t>FOR THE HISTORIC PERIOD 12 MONTHS ENDED DECEMBER 31, 2017 AND PRIOR PERIOD DECEMBER 31, 2016</t>
  </si>
  <si>
    <t>WITNESS:  C. Y. LAI</t>
  </si>
  <si>
    <t>at 12/31/17</t>
  </si>
  <si>
    <t>by using IS-FERC statement</t>
  </si>
  <si>
    <t>Needs to update to reflect 2017 actual</t>
  </si>
  <si>
    <t>REVENUE REDUCTION DUE TO CHANGE IN FED. TAX RATE</t>
  </si>
  <si>
    <t>Changed to 2016 Rate Case</t>
  </si>
  <si>
    <t>GROSS REVENUE CONVERSION FACTOR WITH NEW FED. TAX RATE</t>
  </si>
  <si>
    <t>REVENUE DEFICIENCY (6 x 9)</t>
  </si>
  <si>
    <t>December 2016</t>
  </si>
  <si>
    <t>January 2017</t>
  </si>
  <si>
    <t>December 2017</t>
  </si>
  <si>
    <t>12/31/16 THROUGH 12/31/17</t>
  </si>
  <si>
    <t>Account 807 - data reflects Jan - Nov 2017, need to include Dec 2017 when available</t>
  </si>
  <si>
    <t>Will need to update to reflect 2017 actual data</t>
  </si>
  <si>
    <t>Data reflects actuals through December 2017</t>
  </si>
  <si>
    <t>Updated it to 9.50% ROE on AMRP</t>
  </si>
  <si>
    <t>One Year Amortization of Excess ADIT</t>
  </si>
  <si>
    <t>New Federal Income Tax at 21%</t>
  </si>
  <si>
    <t>Net Federal Income Tax</t>
  </si>
  <si>
    <t>New Rate</t>
  </si>
  <si>
    <t>Decrease in Tax Rate - Total</t>
  </si>
  <si>
    <t>Effective Tax Rate Calculation</t>
  </si>
  <si>
    <t>Operating Revenues</t>
  </si>
  <si>
    <t>Operating Expense</t>
  </si>
  <si>
    <t xml:space="preserve">  Gas Supply Expense</t>
  </si>
  <si>
    <t xml:space="preserve">  Operations and Maintenance Expense</t>
  </si>
  <si>
    <t xml:space="preserve">  Depreciation Expense</t>
  </si>
  <si>
    <t>Taxes</t>
  </si>
  <si>
    <t xml:space="preserve">  Federal Income</t>
  </si>
  <si>
    <t xml:space="preserve">  State Income</t>
  </si>
  <si>
    <t>Total Operating Expenses</t>
  </si>
  <si>
    <t>Net Operating Income (Line 1 - 10)</t>
  </si>
  <si>
    <t>Income Eligible for Tax Calculation (Line 11 + 8 + 9 - 12)</t>
  </si>
  <si>
    <t>Decrease in Income Tax Expense (Line 17 - 13)</t>
  </si>
  <si>
    <t>Statutory State Tax</t>
  </si>
  <si>
    <t>Statutory Federal Tax</t>
  </si>
  <si>
    <t>Uncollectible Accounts Expense</t>
  </si>
  <si>
    <t>PSC Fees</t>
  </si>
  <si>
    <t>Page 1 of 1</t>
  </si>
  <si>
    <t>Witness: C. Y. Lai</t>
  </si>
  <si>
    <t>Columbia Gas of Kentucky, Inc.</t>
  </si>
  <si>
    <t>Operating Income Summary</t>
  </si>
  <si>
    <t>For the Twelve Months Ended December 31, 2017</t>
  </si>
  <si>
    <t>Line No.</t>
  </si>
  <si>
    <t>Details</t>
  </si>
  <si>
    <t>Amount ($)</t>
  </si>
  <si>
    <t>Revenue Requirement Reduction</t>
  </si>
  <si>
    <t>Total Operating Revenues</t>
  </si>
  <si>
    <t>Gross Conversion Factor (Line 33)</t>
  </si>
  <si>
    <t>2016 Rate Case</t>
  </si>
  <si>
    <t>New Factor</t>
  </si>
  <si>
    <t>Statutory Total Tax (Line 22 * (1 - 21) + 21)</t>
  </si>
  <si>
    <t>State Income Tax (Line 21 * 28)</t>
  </si>
  <si>
    <t>Income Before Federal Income Tax (Line 28 - 29)</t>
  </si>
  <si>
    <t>Federal Income Tax (Line 22 * 30)</t>
  </si>
  <si>
    <t>Operating Income Percentage (Line 30 - 31)</t>
  </si>
  <si>
    <t>Gross Revenue Conversion Factor ( 1 / Line 32)</t>
  </si>
  <si>
    <t>Total Income Taxes (Line 8 + 9)</t>
  </si>
  <si>
    <t>Effective Tax Rate (Line 13 / 14)</t>
  </si>
  <si>
    <t>Revenue Reduction Calculation due to Tax Cuts and Jobs Act of 2017</t>
  </si>
  <si>
    <t>Impact of Tax Cuts and Jobs Act of 2017</t>
  </si>
  <si>
    <t>Effective Tax Rate (Line 15 + 24)</t>
  </si>
  <si>
    <t>Calculated Income Tax Expense (Line 14 * 16)</t>
  </si>
  <si>
    <t>Net Revenues (Line 25 - 26 - 27)</t>
  </si>
  <si>
    <t xml:space="preserve">  Property and Others</t>
  </si>
  <si>
    <t>PSC Case No. 2018-00041</t>
  </si>
  <si>
    <t>Attachment CYL - 1 Revised</t>
  </si>
  <si>
    <t>AG DR Set 1-5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</si>
</sst>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0%"/>
    <numFmt numFmtId="166" formatCode="mm/dd/yy_)"/>
    <numFmt numFmtId="167" formatCode="hh:mm:ss_)"/>
    <numFmt numFmtId="168" formatCode="0.00_)"/>
    <numFmt numFmtId="169" formatCode="0.000_)"/>
    <numFmt numFmtId="170" formatCode="#,##0.0_);\(#,##0.0\)"/>
    <numFmt numFmtId="171" formatCode="_(* #,##0_);_(* \(#,##0\);_(* &quot;-&quot;??_);_(@_)"/>
    <numFmt numFmtId="172" formatCode="0.0000_)"/>
    <numFmt numFmtId="173" formatCode="0.000000_)"/>
    <numFmt numFmtId="174" formatCode="0.0000%"/>
    <numFmt numFmtId="175" formatCode="0.00000%"/>
    <numFmt numFmtId="176" formatCode="0.000000%"/>
    <numFmt numFmtId="177" formatCode="&quot;$&quot;#,##0.0000_);\(&quot;$&quot;#,##0.0000\)"/>
    <numFmt numFmtId="178" formatCode="dd\-mmm\-yy_)"/>
    <numFmt numFmtId="179" formatCode="0.00_);\(0.00\)"/>
    <numFmt numFmtId="180" formatCode="0_);\(0\)"/>
    <numFmt numFmtId="181" formatCode="#,##0.00000_);\(#,##0.00000\)"/>
    <numFmt numFmtId="182" formatCode="[$-409]mmm\-yy;@"/>
    <numFmt numFmtId="183" formatCode="#,##0;[Red]#,##0"/>
    <numFmt numFmtId="184" formatCode="0.0000"/>
    <numFmt numFmtId="185" formatCode="m/d;@"/>
    <numFmt numFmtId="186" formatCode="&quot;$&quot;#,##0.00"/>
    <numFmt numFmtId="187" formatCode="0.0%"/>
    <numFmt numFmtId="188" formatCode="0.000000"/>
    <numFmt numFmtId="189" formatCode="#,##0.0000000_);\(#,##0.0000000\)"/>
  </numFmts>
  <fonts count="89" x14ac:knownFonts="1">
    <font>
      <sz val="8"/>
      <name val="Helv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u/>
      <sz val="8"/>
      <name val="Helv"/>
    </font>
    <font>
      <sz val="8"/>
      <name val="Helv"/>
    </font>
    <font>
      <sz val="8"/>
      <name val="Helv"/>
    </font>
    <font>
      <sz val="8"/>
      <name val="Helv"/>
    </font>
    <font>
      <sz val="7"/>
      <name val="Helv"/>
    </font>
    <font>
      <sz val="10"/>
      <name val="Helv"/>
    </font>
    <font>
      <sz val="5"/>
      <name val="Helv"/>
    </font>
    <font>
      <u/>
      <sz val="7"/>
      <name val="Helv"/>
    </font>
    <font>
      <sz val="9"/>
      <name val="Helv"/>
    </font>
    <font>
      <sz val="6"/>
      <name val="Helv"/>
    </font>
    <font>
      <sz val="8"/>
      <name val="Helv"/>
    </font>
    <font>
      <u/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u val="double"/>
      <sz val="10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/>
      <sz val="9"/>
      <name val="Arial"/>
      <family val="2"/>
    </font>
    <font>
      <sz val="9"/>
      <color indexed="9"/>
      <name val="Arial"/>
      <family val="2"/>
    </font>
    <font>
      <sz val="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u/>
      <sz val="8"/>
      <color indexed="12"/>
      <name val="Helv"/>
    </font>
    <font>
      <sz val="8"/>
      <color indexed="9"/>
      <name val="Helv"/>
    </font>
    <font>
      <sz val="9"/>
      <color indexed="12"/>
      <name val="Arial"/>
      <family val="2"/>
    </font>
    <font>
      <b/>
      <sz val="10"/>
      <name val="Helv"/>
    </font>
    <font>
      <b/>
      <sz val="10"/>
      <color indexed="12"/>
      <name val="Arial"/>
      <family val="2"/>
    </font>
    <font>
      <b/>
      <u val="double"/>
      <sz val="10"/>
      <name val="Arial"/>
      <family val="2"/>
    </font>
    <font>
      <sz val="8"/>
      <color indexed="12"/>
      <name val="Helv"/>
    </font>
    <font>
      <sz val="10"/>
      <color indexed="12"/>
      <name val="Helv"/>
    </font>
    <font>
      <sz val="8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i/>
      <sz val="8"/>
      <color indexed="12"/>
      <name val="Arial"/>
      <family val="2"/>
    </font>
    <font>
      <sz val="12"/>
      <name val="Times New Roman"/>
      <family val="1"/>
    </font>
    <font>
      <sz val="10"/>
      <color indexed="8"/>
      <name val="MS Sans Serif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</font>
    <font>
      <b/>
      <sz val="10"/>
      <name val="MS Sans Serif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1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186" fontId="20" fillId="0" borderId="0" applyFill="0"/>
    <xf numFmtId="186" fontId="20" fillId="0" borderId="0">
      <alignment horizontal="center"/>
    </xf>
    <xf numFmtId="0" fontId="20" fillId="0" borderId="0" applyFill="0">
      <alignment horizontal="center"/>
    </xf>
    <xf numFmtId="186" fontId="57" fillId="0" borderId="2" applyFill="0"/>
    <xf numFmtId="0" fontId="1" fillId="0" borderId="0" applyFont="0" applyAlignment="0"/>
    <xf numFmtId="0" fontId="58" fillId="0" borderId="0" applyFill="0">
      <alignment vertical="top"/>
    </xf>
    <xf numFmtId="0" fontId="57" fillId="0" borderId="0" applyFill="0">
      <alignment horizontal="left" vertical="top"/>
    </xf>
    <xf numFmtId="186" fontId="59" fillId="0" borderId="3" applyFill="0"/>
    <xf numFmtId="0" fontId="1" fillId="0" borderId="0" applyNumberFormat="0" applyFont="0" applyAlignment="0"/>
    <xf numFmtId="0" fontId="58" fillId="0" borderId="0" applyFill="0">
      <alignment wrapText="1"/>
    </xf>
    <xf numFmtId="0" fontId="57" fillId="0" borderId="0" applyFill="0">
      <alignment horizontal="left" vertical="top" wrapText="1"/>
    </xf>
    <xf numFmtId="186" fontId="60" fillId="0" borderId="0" applyFill="0"/>
    <xf numFmtId="0" fontId="61" fillId="0" borderId="0" applyNumberFormat="0" applyFont="0" applyAlignment="0">
      <alignment horizontal="center"/>
    </xf>
    <xf numFmtId="0" fontId="62" fillId="0" borderId="0" applyFill="0">
      <alignment vertical="top" wrapText="1"/>
    </xf>
    <xf numFmtId="0" fontId="59" fillId="0" borderId="0" applyFill="0">
      <alignment horizontal="left" vertical="top" wrapText="1"/>
    </xf>
    <xf numFmtId="186" fontId="1" fillId="0" borderId="0" applyFill="0"/>
    <xf numFmtId="0" fontId="61" fillId="0" borderId="0" applyNumberFormat="0" applyFont="0" applyAlignment="0">
      <alignment horizontal="center"/>
    </xf>
    <xf numFmtId="0" fontId="63" fillId="0" borderId="0" applyFill="0">
      <alignment vertical="center" wrapText="1"/>
    </xf>
    <xf numFmtId="0" fontId="64" fillId="0" borderId="0">
      <alignment horizontal="left" vertical="center" wrapText="1"/>
    </xf>
    <xf numFmtId="186" fontId="18" fillId="0" borderId="0" applyFill="0"/>
    <xf numFmtId="0" fontId="61" fillId="0" borderId="0" applyNumberFormat="0" applyFont="0" applyAlignment="0">
      <alignment horizontal="center"/>
    </xf>
    <xf numFmtId="0" fontId="27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86" fontId="65" fillId="0" borderId="0" applyFill="0"/>
    <xf numFmtId="0" fontId="61" fillId="0" borderId="0" applyNumberFormat="0" applyFont="0" applyAlignment="0">
      <alignment horizontal="center"/>
    </xf>
    <xf numFmtId="0" fontId="66" fillId="0" borderId="0" applyFill="0">
      <alignment horizontal="center" vertical="center" wrapText="1"/>
    </xf>
    <xf numFmtId="0" fontId="67" fillId="0" borderId="0" applyFill="0">
      <alignment horizontal="center" vertical="center" wrapText="1"/>
    </xf>
    <xf numFmtId="186" fontId="68" fillId="0" borderId="0" applyFill="0"/>
    <xf numFmtId="0" fontId="61" fillId="0" borderId="0" applyNumberFormat="0" applyFont="0" applyAlignment="0">
      <alignment horizontal="center"/>
    </xf>
    <xf numFmtId="0" fontId="69" fillId="0" borderId="0">
      <alignment horizontal="center" wrapText="1"/>
    </xf>
    <xf numFmtId="0" fontId="65" fillId="0" borderId="0" applyFill="0">
      <alignment horizontal="center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37" fontId="8" fillId="0" borderId="0"/>
    <xf numFmtId="0" fontId="8" fillId="0" borderId="0"/>
    <xf numFmtId="0" fontId="13" fillId="0" borderId="0"/>
    <xf numFmtId="37" fontId="9" fillId="0" borderId="0" applyFill="0" applyBorder="0"/>
    <xf numFmtId="37" fontId="9" fillId="0" borderId="0" applyFill="0" applyBorder="0"/>
    <xf numFmtId="37" fontId="9" fillId="0" borderId="0" applyFill="0" applyBorder="0"/>
    <xf numFmtId="37" fontId="9" fillId="0" borderId="0" applyFill="0" applyBorder="0"/>
    <xf numFmtId="37" fontId="9" fillId="0" borderId="0"/>
    <xf numFmtId="37" fontId="9" fillId="0" borderId="0"/>
    <xf numFmtId="37" fontId="9" fillId="0" borderId="0"/>
    <xf numFmtId="37" fontId="9" fillId="0" borderId="0" applyFill="0" applyBorder="0"/>
    <xf numFmtId="37" fontId="9" fillId="0" borderId="0" applyFill="0" applyBorder="0"/>
    <xf numFmtId="37" fontId="9" fillId="0" borderId="0" applyFill="0" applyBorder="0"/>
    <xf numFmtId="37" fontId="3" fillId="0" borderId="0" applyFill="0" applyBorder="0"/>
    <xf numFmtId="0" fontId="9" fillId="0" borderId="0"/>
    <xf numFmtId="37" fontId="9" fillId="0" borderId="0" applyNumberFormat="0" applyFill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37" fontId="9" fillId="0" borderId="0"/>
    <xf numFmtId="0" fontId="3" fillId="0" borderId="0" applyFill="0" applyBorder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0" fontId="70" fillId="0" borderId="0" applyNumberFormat="0" applyFont="0" applyFill="0" applyBorder="0" applyAlignment="0" applyProtection="0">
      <alignment horizontal="left"/>
    </xf>
    <xf numFmtId="15" fontId="70" fillId="0" borderId="0" applyFont="0" applyFill="0" applyBorder="0" applyAlignment="0" applyProtection="0"/>
    <xf numFmtId="4" fontId="70" fillId="0" borderId="0" applyFont="0" applyFill="0" applyBorder="0" applyAlignment="0" applyProtection="0"/>
    <xf numFmtId="0" fontId="71" fillId="0" borderId="4">
      <alignment horizontal="center"/>
    </xf>
    <xf numFmtId="3" fontId="70" fillId="0" borderId="0" applyFont="0" applyFill="0" applyBorder="0" applyAlignment="0" applyProtection="0"/>
    <xf numFmtId="0" fontId="70" fillId="2" borderId="0" applyNumberFormat="0" applyFont="0" applyBorder="0" applyAlignment="0" applyProtection="0"/>
    <xf numFmtId="39" fontId="20" fillId="3" borderId="0" applyFill="0"/>
    <xf numFmtId="0" fontId="72" fillId="0" borderId="0">
      <alignment horizontal="left" indent="7"/>
    </xf>
    <xf numFmtId="0" fontId="20" fillId="0" borderId="0" applyFill="0">
      <alignment horizontal="left" indent="7"/>
    </xf>
    <xf numFmtId="7" fontId="73" fillId="0" borderId="1" applyFill="0">
      <alignment horizontal="right"/>
    </xf>
    <xf numFmtId="0" fontId="59" fillId="0" borderId="0" applyNumberFormat="0">
      <alignment horizontal="right"/>
    </xf>
    <xf numFmtId="0" fontId="74" fillId="0" borderId="1" applyFont="0" applyFill="0"/>
    <xf numFmtId="0" fontId="59" fillId="0" borderId="1" applyFill="0"/>
    <xf numFmtId="39" fontId="73" fillId="0" borderId="0" applyFill="0"/>
    <xf numFmtId="0" fontId="1" fillId="0" borderId="0" applyNumberFormat="0" applyFont="0" applyBorder="0" applyAlignment="0"/>
    <xf numFmtId="0" fontId="62" fillId="0" borderId="0" applyFill="0">
      <alignment horizontal="left" indent="1"/>
    </xf>
    <xf numFmtId="0" fontId="59" fillId="0" borderId="0" applyFill="0">
      <alignment horizontal="left" indent="1"/>
    </xf>
    <xf numFmtId="39" fontId="18" fillId="0" borderId="0" applyFill="0"/>
    <xf numFmtId="0" fontId="1" fillId="0" borderId="0" applyNumberFormat="0" applyFont="0" applyFill="0" applyBorder="0" applyAlignment="0"/>
    <xf numFmtId="0" fontId="62" fillId="0" borderId="0" applyFill="0">
      <alignment horizontal="left" indent="2"/>
    </xf>
    <xf numFmtId="0" fontId="75" fillId="0" borderId="0" applyFill="0">
      <alignment horizontal="left" indent="2"/>
    </xf>
    <xf numFmtId="39" fontId="18" fillId="0" borderId="0" applyFill="0"/>
    <xf numFmtId="0" fontId="1" fillId="0" borderId="0" applyNumberFormat="0" applyFont="0" applyBorder="0" applyAlignment="0"/>
    <xf numFmtId="0" fontId="76" fillId="0" borderId="0">
      <alignment horizontal="left" indent="3"/>
    </xf>
    <xf numFmtId="0" fontId="77" fillId="0" borderId="0" applyFill="0">
      <alignment horizontal="left" indent="3"/>
    </xf>
    <xf numFmtId="39" fontId="18" fillId="0" borderId="0" applyFill="0"/>
    <xf numFmtId="0" fontId="1" fillId="0" borderId="0" applyNumberFormat="0" applyFont="0" applyBorder="0" applyAlignment="0"/>
    <xf numFmtId="0" fontId="27" fillId="0" borderId="0">
      <alignment horizontal="left" indent="4"/>
    </xf>
    <xf numFmtId="0" fontId="19" fillId="0" borderId="0" applyFill="0">
      <alignment horizontal="left" indent="4"/>
    </xf>
    <xf numFmtId="39" fontId="18" fillId="0" borderId="0" applyFill="0"/>
    <xf numFmtId="0" fontId="1" fillId="0" borderId="0" applyNumberFormat="0" applyFont="0" applyBorder="0" applyAlignment="0"/>
    <xf numFmtId="0" fontId="66" fillId="0" borderId="0">
      <alignment horizontal="left" indent="5"/>
    </xf>
    <xf numFmtId="0" fontId="67" fillId="0" borderId="0" applyFill="0">
      <alignment horizontal="left" indent="5"/>
    </xf>
    <xf numFmtId="39" fontId="68" fillId="0" borderId="0" applyFill="0"/>
    <xf numFmtId="0" fontId="1" fillId="0" borderId="0" applyNumberFormat="0" applyFont="0" applyFill="0" applyBorder="0" applyAlignment="0"/>
    <xf numFmtId="0" fontId="69" fillId="0" borderId="0" applyFill="0">
      <alignment horizontal="left" indent="6"/>
    </xf>
    <xf numFmtId="0" fontId="65" fillId="0" borderId="0" applyFill="0">
      <alignment horizontal="left" indent="6"/>
    </xf>
    <xf numFmtId="0" fontId="55" fillId="0" borderId="0"/>
  </cellStyleXfs>
  <cellXfs count="1464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5" fillId="0" borderId="0" xfId="0" applyFont="1"/>
    <xf numFmtId="37" fontId="3" fillId="0" borderId="0" xfId="0" applyNumberFormat="1" applyFont="1" applyProtection="1"/>
    <xf numFmtId="3" fontId="5" fillId="0" borderId="0" xfId="0" applyNumberFormat="1" applyFont="1"/>
    <xf numFmtId="0" fontId="6" fillId="0" borderId="0" xfId="0" applyFont="1"/>
    <xf numFmtId="37" fontId="6" fillId="0" borderId="0" xfId="0" applyNumberFormat="1" applyFont="1" applyProtection="1"/>
    <xf numFmtId="0" fontId="5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37" fontId="7" fillId="0" borderId="0" xfId="0" applyNumberFormat="1" applyFont="1" applyProtection="1"/>
    <xf numFmtId="37" fontId="9" fillId="0" borderId="0" xfId="70"/>
    <xf numFmtId="37" fontId="0" fillId="0" borderId="0" xfId="0" applyNumberFormat="1" applyProtection="1"/>
    <xf numFmtId="37" fontId="9" fillId="0" borderId="0" xfId="70" applyBorder="1"/>
    <xf numFmtId="37" fontId="9" fillId="0" borderId="0" xfId="70" applyNumberFormat="1" applyProtection="1"/>
    <xf numFmtId="10" fontId="9" fillId="0" borderId="0" xfId="70" applyNumberFormat="1" applyProtection="1"/>
    <xf numFmtId="0" fontId="0" fillId="0" borderId="0" xfId="0" applyAlignment="1">
      <alignment horizontal="center"/>
    </xf>
    <xf numFmtId="0" fontId="10" fillId="0" borderId="0" xfId="0" applyFont="1"/>
    <xf numFmtId="0" fontId="3" fillId="0" borderId="0" xfId="43" applyFont="1"/>
    <xf numFmtId="0" fontId="3" fillId="0" borderId="0" xfId="42" applyFont="1"/>
    <xf numFmtId="37" fontId="3" fillId="0" borderId="0" xfId="58" applyFont="1"/>
    <xf numFmtId="0" fontId="8" fillId="0" borderId="0" xfId="43"/>
    <xf numFmtId="0" fontId="8" fillId="0" borderId="0" xfId="43" applyFont="1"/>
    <xf numFmtId="0" fontId="8" fillId="0" borderId="0" xfId="43" applyFont="1" applyAlignment="1" applyProtection="1">
      <alignment horizontal="left"/>
    </xf>
    <xf numFmtId="37" fontId="8" fillId="0" borderId="0" xfId="43" applyNumberFormat="1" applyFont="1" applyProtection="1"/>
    <xf numFmtId="0" fontId="3" fillId="0" borderId="0" xfId="44"/>
    <xf numFmtId="37" fontId="3" fillId="0" borderId="0" xfId="44" applyNumberFormat="1" applyProtection="1"/>
    <xf numFmtId="10" fontId="3" fillId="0" borderId="0" xfId="44" applyNumberFormat="1" applyProtection="1"/>
    <xf numFmtId="0" fontId="3" fillId="0" borderId="0" xfId="45"/>
    <xf numFmtId="37" fontId="3" fillId="0" borderId="0" xfId="45" applyNumberFormat="1" applyProtection="1"/>
    <xf numFmtId="10" fontId="3" fillId="0" borderId="0" xfId="45" applyNumberFormat="1" applyProtection="1"/>
    <xf numFmtId="0" fontId="3" fillId="0" borderId="0" xfId="46"/>
    <xf numFmtId="0" fontId="3" fillId="0" borderId="0" xfId="47"/>
    <xf numFmtId="37" fontId="3" fillId="0" borderId="0" xfId="47" applyNumberFormat="1" applyProtection="1"/>
    <xf numFmtId="0" fontId="3" fillId="0" borderId="0" xfId="48"/>
    <xf numFmtId="0" fontId="4" fillId="0" borderId="0" xfId="48" applyFont="1"/>
    <xf numFmtId="37" fontId="3" fillId="0" borderId="0" xfId="48" applyNumberFormat="1" applyProtection="1"/>
    <xf numFmtId="37" fontId="10" fillId="0" borderId="0" xfId="65" applyFont="1"/>
    <xf numFmtId="37" fontId="9" fillId="0" borderId="0" xfId="65"/>
    <xf numFmtId="37" fontId="3" fillId="0" borderId="0" xfId="53" applyFont="1"/>
    <xf numFmtId="37" fontId="3" fillId="0" borderId="0" xfId="57" applyFont="1"/>
    <xf numFmtId="37" fontId="3" fillId="0" borderId="0" xfId="59" applyFont="1"/>
    <xf numFmtId="37" fontId="3" fillId="0" borderId="0" xfId="60" applyFont="1"/>
    <xf numFmtId="37" fontId="3" fillId="0" borderId="0" xfId="61" applyFont="1"/>
    <xf numFmtId="37" fontId="3" fillId="0" borderId="0" xfId="54" applyFont="1"/>
    <xf numFmtId="37" fontId="3" fillId="0" borderId="0" xfId="55" applyFont="1"/>
    <xf numFmtId="10" fontId="0" fillId="0" borderId="0" xfId="0" applyNumberFormat="1" applyProtection="1"/>
    <xf numFmtId="0" fontId="0" fillId="0" borderId="0" xfId="0" applyBorder="1"/>
    <xf numFmtId="37" fontId="3" fillId="0" borderId="0" xfId="63" applyAlignment="1">
      <alignment horizontal="center"/>
    </xf>
    <xf numFmtId="37" fontId="3" fillId="0" borderId="0" xfId="63"/>
    <xf numFmtId="37" fontId="3" fillId="0" borderId="0" xfId="63" applyBorder="1"/>
    <xf numFmtId="178" fontId="3" fillId="0" borderId="0" xfId="63" applyNumberFormat="1" applyProtection="1"/>
    <xf numFmtId="37" fontId="3" fillId="0" borderId="0" xfId="63" applyAlignment="1" applyProtection="1">
      <alignment horizontal="left"/>
    </xf>
    <xf numFmtId="0" fontId="3" fillId="0" borderId="0" xfId="42" applyBorder="1" applyAlignment="1" applyProtection="1">
      <alignment horizontal="left"/>
    </xf>
    <xf numFmtId="37" fontId="3" fillId="0" borderId="0" xfId="63" applyProtection="1"/>
    <xf numFmtId="0" fontId="12" fillId="0" borderId="0" xfId="64" applyFont="1"/>
    <xf numFmtId="0" fontId="12" fillId="0" borderId="0" xfId="64" applyFont="1" applyBorder="1"/>
    <xf numFmtId="0" fontId="12" fillId="0" borderId="0" xfId="64" applyFont="1" applyAlignment="1">
      <alignment horizontal="center"/>
    </xf>
    <xf numFmtId="0" fontId="3" fillId="0" borderId="0" xfId="71"/>
    <xf numFmtId="0" fontId="3" fillId="0" borderId="0" xfId="71" applyAlignment="1">
      <alignment horizontal="center"/>
    </xf>
    <xf numFmtId="0" fontId="3" fillId="0" borderId="0" xfId="71" applyFill="1"/>
    <xf numFmtId="10" fontId="3" fillId="0" borderId="0" xfId="71" applyNumberFormat="1"/>
    <xf numFmtId="0" fontId="8" fillId="0" borderId="0" xfId="71" applyFont="1" applyAlignment="1">
      <alignment horizontal="center"/>
    </xf>
    <xf numFmtId="0" fontId="8" fillId="0" borderId="0" xfId="71" applyFont="1"/>
    <xf numFmtId="0" fontId="8" fillId="0" borderId="0" xfId="71" applyFont="1" applyBorder="1" applyAlignment="1">
      <alignment horizontal="center"/>
    </xf>
    <xf numFmtId="0" fontId="3" fillId="0" borderId="0" xfId="0" applyFont="1" applyBorder="1"/>
    <xf numFmtId="0" fontId="8" fillId="0" borderId="0" xfId="49"/>
    <xf numFmtId="39" fontId="8" fillId="0" borderId="0" xfId="49" applyNumberFormat="1" applyProtection="1"/>
    <xf numFmtId="0" fontId="8" fillId="0" borderId="0" xfId="49" applyBorder="1"/>
    <xf numFmtId="0" fontId="8" fillId="0" borderId="0" xfId="49" applyProtection="1"/>
    <xf numFmtId="39" fontId="11" fillId="0" borderId="0" xfId="49" applyNumberFormat="1" applyFont="1" applyProtection="1"/>
    <xf numFmtId="37" fontId="3" fillId="0" borderId="0" xfId="50" applyFont="1"/>
    <xf numFmtId="37" fontId="4" fillId="0" borderId="0" xfId="50" applyFont="1"/>
    <xf numFmtId="0" fontId="3" fillId="0" borderId="0" xfId="51" applyFont="1"/>
    <xf numFmtId="0" fontId="13" fillId="0" borderId="0" xfId="52"/>
    <xf numFmtId="0" fontId="8" fillId="0" borderId="0" xfId="52" applyFont="1"/>
    <xf numFmtId="0" fontId="8" fillId="0" borderId="0" xfId="52" applyFont="1" applyAlignment="1">
      <alignment horizontal="center"/>
    </xf>
    <xf numFmtId="37" fontId="8" fillId="0" borderId="0" xfId="52" applyNumberFormat="1" applyFont="1" applyProtection="1">
      <protection locked="0"/>
    </xf>
    <xf numFmtId="0" fontId="8" fillId="0" borderId="0" xfId="52" applyFont="1" applyBorder="1"/>
    <xf numFmtId="0" fontId="9" fillId="0" borderId="0" xfId="0" applyFont="1"/>
    <xf numFmtId="0" fontId="12" fillId="0" borderId="0" xfId="0" applyFont="1"/>
    <xf numFmtId="0" fontId="14" fillId="0" borderId="0" xfId="0" applyFont="1"/>
    <xf numFmtId="3" fontId="14" fillId="0" borderId="0" xfId="0" applyNumberFormat="1" applyFont="1"/>
    <xf numFmtId="0" fontId="8" fillId="0" borderId="0" xfId="43" applyFont="1" applyBorder="1"/>
    <xf numFmtId="0" fontId="3" fillId="0" borderId="0" xfId="46" applyAlignment="1">
      <alignment horizontal="center"/>
    </xf>
    <xf numFmtId="0" fontId="9" fillId="0" borderId="0" xfId="52" applyFont="1"/>
    <xf numFmtId="0" fontId="15" fillId="0" borderId="0" xfId="0" applyFont="1" applyBorder="1"/>
    <xf numFmtId="37" fontId="9" fillId="0" borderId="0" xfId="65" applyBorder="1"/>
    <xf numFmtId="0" fontId="4" fillId="0" borderId="0" xfId="71" applyFont="1" applyBorder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37" fontId="19" fillId="0" borderId="0" xfId="70" applyFont="1" applyAlignment="1" applyProtection="1">
      <alignment horizontal="center"/>
    </xf>
    <xf numFmtId="37" fontId="19" fillId="0" borderId="0" xfId="70" applyFont="1"/>
    <xf numFmtId="168" fontId="19" fillId="0" borderId="0" xfId="70" applyNumberFormat="1" applyFont="1" applyProtection="1"/>
    <xf numFmtId="37" fontId="19" fillId="0" borderId="0" xfId="70" applyFont="1" applyAlignment="1" applyProtection="1">
      <alignment horizontal="left"/>
    </xf>
    <xf numFmtId="37" fontId="19" fillId="0" borderId="0" xfId="70" applyFont="1" applyAlignment="1" applyProtection="1">
      <alignment horizontal="right"/>
    </xf>
    <xf numFmtId="37" fontId="19" fillId="0" borderId="5" xfId="70" applyFont="1" applyBorder="1" applyAlignment="1" applyProtection="1">
      <alignment horizontal="left"/>
    </xf>
    <xf numFmtId="37" fontId="19" fillId="0" borderId="5" xfId="70" applyFont="1" applyBorder="1"/>
    <xf numFmtId="37" fontId="19" fillId="0" borderId="5" xfId="70" applyFont="1" applyBorder="1" applyAlignment="1" applyProtection="1">
      <alignment horizontal="right"/>
    </xf>
    <xf numFmtId="172" fontId="19" fillId="0" borderId="0" xfId="70" applyNumberFormat="1" applyFont="1" applyProtection="1"/>
    <xf numFmtId="37" fontId="19" fillId="0" borderId="6" xfId="70" applyFont="1" applyBorder="1" applyAlignment="1" applyProtection="1">
      <alignment horizontal="center"/>
    </xf>
    <xf numFmtId="37" fontId="19" fillId="0" borderId="6" xfId="70" applyFont="1" applyBorder="1"/>
    <xf numFmtId="172" fontId="19" fillId="0" borderId="6" xfId="70" applyNumberFormat="1" applyFont="1" applyBorder="1" applyProtection="1"/>
    <xf numFmtId="37" fontId="19" fillId="0" borderId="0" xfId="70" applyFont="1" applyAlignment="1"/>
    <xf numFmtId="37" fontId="19" fillId="0" borderId="0" xfId="70" applyNumberFormat="1" applyFont="1" applyProtection="1"/>
    <xf numFmtId="37" fontId="19" fillId="0" borderId="0" xfId="70" applyFont="1" applyAlignment="1">
      <alignment horizontal="center"/>
    </xf>
    <xf numFmtId="10" fontId="19" fillId="0" borderId="0" xfId="70" applyNumberFormat="1" applyFont="1" applyProtection="1"/>
    <xf numFmtId="173" fontId="19" fillId="0" borderId="0" xfId="70" applyNumberFormat="1" applyFont="1" applyProtection="1"/>
    <xf numFmtId="0" fontId="19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</xf>
    <xf numFmtId="0" fontId="21" fillId="0" borderId="0" xfId="0" applyFont="1" applyBorder="1"/>
    <xf numFmtId="0" fontId="21" fillId="0" borderId="0" xfId="0" applyFont="1" applyBorder="1" applyAlignment="1" applyProtection="1">
      <alignment horizontal="center"/>
    </xf>
    <xf numFmtId="0" fontId="22" fillId="0" borderId="0" xfId="0" applyFont="1" applyBorder="1"/>
    <xf numFmtId="0" fontId="19" fillId="0" borderId="0" xfId="0" applyFont="1" applyAlignment="1" applyProtection="1">
      <alignment horizontal="right"/>
    </xf>
    <xf numFmtId="0" fontId="19" fillId="0" borderId="6" xfId="0" applyFont="1" applyBorder="1" applyAlignment="1" applyProtection="1">
      <alignment horizontal="left"/>
    </xf>
    <xf numFmtId="0" fontId="19" fillId="0" borderId="6" xfId="0" applyFont="1" applyBorder="1"/>
    <xf numFmtId="0" fontId="19" fillId="0" borderId="5" xfId="0" applyFont="1" applyBorder="1"/>
    <xf numFmtId="0" fontId="19" fillId="0" borderId="6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Alignment="1"/>
    <xf numFmtId="37" fontId="19" fillId="0" borderId="0" xfId="0" applyNumberFormat="1" applyFont="1" applyProtection="1"/>
    <xf numFmtId="37" fontId="19" fillId="0" borderId="0" xfId="0" applyNumberFormat="1" applyFont="1" applyFill="1" applyProtection="1"/>
    <xf numFmtId="37" fontId="19" fillId="0" borderId="6" xfId="0" applyNumberFormat="1" applyFont="1" applyFill="1" applyBorder="1" applyProtection="1"/>
    <xf numFmtId="0" fontId="19" fillId="0" borderId="0" xfId="0" applyFont="1" applyFill="1"/>
    <xf numFmtId="37" fontId="19" fillId="0" borderId="7" xfId="0" applyNumberFormat="1" applyFont="1" applyFill="1" applyBorder="1" applyProtection="1"/>
    <xf numFmtId="0" fontId="20" fillId="0" borderId="0" xfId="0" applyFont="1" applyAlignment="1" applyProtection="1">
      <alignment horizontal="left"/>
    </xf>
    <xf numFmtId="0" fontId="19" fillId="0" borderId="0" xfId="42" applyFont="1" applyAlignment="1" applyProtection="1">
      <alignment horizontal="center"/>
    </xf>
    <xf numFmtId="0" fontId="20" fillId="0" borderId="0" xfId="43" applyFont="1"/>
    <xf numFmtId="0" fontId="19" fillId="0" borderId="0" xfId="42" applyFont="1"/>
    <xf numFmtId="0" fontId="19" fillId="0" borderId="0" xfId="43" applyFont="1" applyAlignment="1" applyProtection="1">
      <alignment horizontal="left"/>
    </xf>
    <xf numFmtId="0" fontId="20" fillId="0" borderId="0" xfId="42" applyFont="1"/>
    <xf numFmtId="0" fontId="19" fillId="0" borderId="0" xfId="42" applyFont="1" applyAlignment="1" applyProtection="1">
      <alignment horizontal="right"/>
    </xf>
    <xf numFmtId="0" fontId="19" fillId="0" borderId="6" xfId="43" applyFont="1" applyBorder="1" applyAlignment="1" applyProtection="1">
      <alignment horizontal="left"/>
    </xf>
    <xf numFmtId="0" fontId="19" fillId="0" borderId="6" xfId="42" applyFont="1" applyBorder="1"/>
    <xf numFmtId="0" fontId="19" fillId="0" borderId="5" xfId="42" applyFont="1" applyBorder="1"/>
    <xf numFmtId="0" fontId="20" fillId="0" borderId="5" xfId="42" applyFont="1" applyBorder="1"/>
    <xf numFmtId="0" fontId="19" fillId="0" borderId="6" xfId="42" applyFont="1" applyBorder="1" applyAlignment="1" applyProtection="1">
      <alignment horizontal="right"/>
    </xf>
    <xf numFmtId="0" fontId="19" fillId="0" borderId="6" xfId="42" applyFont="1" applyBorder="1" applyAlignment="1" applyProtection="1">
      <alignment horizontal="center"/>
    </xf>
    <xf numFmtId="0" fontId="19" fillId="0" borderId="6" xfId="42" applyFont="1" applyBorder="1" applyAlignment="1" applyProtection="1">
      <alignment horizontal="left"/>
    </xf>
    <xf numFmtId="0" fontId="19" fillId="0" borderId="0" xfId="42" applyFont="1" applyAlignment="1" applyProtection="1">
      <alignment horizontal="left"/>
    </xf>
    <xf numFmtId="37" fontId="19" fillId="0" borderId="0" xfId="42" applyNumberFormat="1" applyFont="1" applyProtection="1"/>
    <xf numFmtId="10" fontId="19" fillId="0" borderId="0" xfId="42" applyNumberFormat="1" applyFont="1" applyProtection="1"/>
    <xf numFmtId="37" fontId="19" fillId="0" borderId="0" xfId="42" applyNumberFormat="1" applyFont="1" applyAlignment="1" applyProtection="1">
      <alignment horizontal="left"/>
    </xf>
    <xf numFmtId="0" fontId="19" fillId="0" borderId="0" xfId="42" applyFont="1" applyFill="1" applyAlignment="1" applyProtection="1">
      <alignment horizontal="left"/>
    </xf>
    <xf numFmtId="0" fontId="19" fillId="0" borderId="0" xfId="42" applyFont="1" applyFill="1"/>
    <xf numFmtId="37" fontId="19" fillId="0" borderId="0" xfId="42" applyNumberFormat="1" applyFont="1" applyFill="1" applyProtection="1"/>
    <xf numFmtId="10" fontId="19" fillId="0" borderId="0" xfId="42" applyNumberFormat="1" applyFont="1" applyFill="1" applyProtection="1"/>
    <xf numFmtId="37" fontId="19" fillId="0" borderId="0" xfId="42" applyNumberFormat="1" applyFont="1" applyFill="1" applyAlignment="1" applyProtection="1">
      <alignment horizontal="left"/>
    </xf>
    <xf numFmtId="37" fontId="19" fillId="0" borderId="6" xfId="42" applyNumberFormat="1" applyFont="1" applyFill="1" applyBorder="1" applyProtection="1"/>
    <xf numFmtId="37" fontId="19" fillId="0" borderId="7" xfId="42" applyNumberFormat="1" applyFont="1" applyBorder="1" applyProtection="1"/>
    <xf numFmtId="37" fontId="20" fillId="0" borderId="0" xfId="42" applyNumberFormat="1" applyFont="1" applyProtection="1"/>
    <xf numFmtId="0" fontId="23" fillId="0" borderId="0" xfId="43" applyFont="1"/>
    <xf numFmtId="0" fontId="19" fillId="0" borderId="0" xfId="43" applyFont="1"/>
    <xf numFmtId="0" fontId="19" fillId="0" borderId="6" xfId="43" applyFont="1" applyBorder="1"/>
    <xf numFmtId="0" fontId="19" fillId="0" borderId="5" xfId="43" applyFont="1" applyBorder="1"/>
    <xf numFmtId="0" fontId="23" fillId="0" borderId="5" xfId="43" applyFont="1" applyBorder="1"/>
    <xf numFmtId="0" fontId="19" fillId="0" borderId="0" xfId="43" applyFont="1" applyAlignment="1" applyProtection="1">
      <alignment horizontal="center"/>
    </xf>
    <xf numFmtId="0" fontId="19" fillId="0" borderId="6" xfId="43" applyFont="1" applyBorder="1" applyAlignment="1" applyProtection="1">
      <alignment horizontal="center"/>
    </xf>
    <xf numFmtId="0" fontId="19" fillId="0" borderId="6" xfId="43" applyFont="1" applyFill="1" applyBorder="1" applyAlignment="1" applyProtection="1">
      <alignment horizontal="center"/>
    </xf>
    <xf numFmtId="0" fontId="19" fillId="0" borderId="0" xfId="43" applyFont="1" applyAlignment="1">
      <alignment horizontal="right"/>
    </xf>
    <xf numFmtId="0" fontId="19" fillId="0" borderId="0" xfId="43" applyFont="1" applyFill="1" applyAlignment="1" applyProtection="1">
      <alignment horizontal="center"/>
    </xf>
    <xf numFmtId="39" fontId="19" fillId="0" borderId="0" xfId="43" applyNumberFormat="1" applyFont="1" applyProtection="1"/>
    <xf numFmtId="39" fontId="21" fillId="0" borderId="0" xfId="43" applyNumberFormat="1" applyFont="1" applyAlignment="1" applyProtection="1">
      <alignment horizontal="left"/>
    </xf>
    <xf numFmtId="37" fontId="19" fillId="0" borderId="0" xfId="43" applyNumberFormat="1" applyFont="1" applyFill="1" applyProtection="1"/>
    <xf numFmtId="37" fontId="19" fillId="0" borderId="0" xfId="43" applyNumberFormat="1" applyFont="1" applyProtection="1"/>
    <xf numFmtId="39" fontId="19" fillId="0" borderId="0" xfId="43" applyNumberFormat="1" applyFont="1" applyAlignment="1" applyProtection="1">
      <alignment horizontal="left"/>
    </xf>
    <xf numFmtId="10" fontId="24" fillId="0" borderId="0" xfId="43" applyNumberFormat="1" applyFont="1" applyProtection="1"/>
    <xf numFmtId="37" fontId="19" fillId="0" borderId="5" xfId="43" applyNumberFormat="1" applyFont="1" applyFill="1" applyBorder="1" applyProtection="1"/>
    <xf numFmtId="37" fontId="19" fillId="0" borderId="6" xfId="43" applyNumberFormat="1" applyFont="1" applyBorder="1" applyProtection="1"/>
    <xf numFmtId="37" fontId="19" fillId="0" borderId="0" xfId="43" applyNumberFormat="1" applyFont="1" applyAlignment="1" applyProtection="1">
      <alignment horizontal="left"/>
    </xf>
    <xf numFmtId="37" fontId="19" fillId="0" borderId="5" xfId="43" applyNumberFormat="1" applyFont="1" applyBorder="1" applyProtection="1"/>
    <xf numFmtId="0" fontId="19" fillId="0" borderId="0" xfId="43" applyFont="1" applyFill="1"/>
    <xf numFmtId="0" fontId="19" fillId="0" borderId="5" xfId="43" applyFont="1" applyFill="1" applyBorder="1"/>
    <xf numFmtId="37" fontId="19" fillId="0" borderId="6" xfId="43" applyNumberFormat="1" applyFont="1" applyBorder="1" applyAlignment="1" applyProtection="1">
      <alignment horizontal="left"/>
    </xf>
    <xf numFmtId="37" fontId="19" fillId="0" borderId="6" xfId="43" applyNumberFormat="1" applyFont="1" applyFill="1" applyBorder="1" applyProtection="1"/>
    <xf numFmtId="37" fontId="19" fillId="0" borderId="8" xfId="43" applyNumberFormat="1" applyFont="1" applyFill="1" applyBorder="1" applyProtection="1"/>
    <xf numFmtId="37" fontId="19" fillId="0" borderId="9" xfId="43" applyNumberFormat="1" applyFont="1" applyBorder="1" applyProtection="1"/>
    <xf numFmtId="0" fontId="19" fillId="0" borderId="0" xfId="43" applyFont="1" applyAlignment="1">
      <alignment horizontal="center"/>
    </xf>
    <xf numFmtId="37" fontId="19" fillId="0" borderId="7" xfId="43" applyNumberFormat="1" applyFont="1" applyFill="1" applyBorder="1" applyProtection="1"/>
    <xf numFmtId="37" fontId="19" fillId="0" borderId="7" xfId="43" applyNumberFormat="1" applyFont="1" applyBorder="1" applyProtection="1"/>
    <xf numFmtId="37" fontId="24" fillId="0" borderId="0" xfId="43" applyNumberFormat="1" applyFont="1" applyProtection="1"/>
    <xf numFmtId="0" fontId="23" fillId="0" borderId="0" xfId="43" applyFont="1" applyBorder="1"/>
    <xf numFmtId="0" fontId="19" fillId="0" borderId="6" xfId="43" quotePrefix="1" applyFont="1" applyBorder="1" applyAlignment="1" applyProtection="1">
      <alignment horizontal="center"/>
    </xf>
    <xf numFmtId="37" fontId="23" fillId="0" borderId="0" xfId="43" applyNumberFormat="1" applyFont="1" applyBorder="1" applyProtection="1"/>
    <xf numFmtId="0" fontId="19" fillId="0" borderId="0" xfId="44" applyFont="1"/>
    <xf numFmtId="0" fontId="20" fillId="0" borderId="0" xfId="44" applyFont="1"/>
    <xf numFmtId="0" fontId="19" fillId="0" borderId="6" xfId="44" applyFont="1" applyBorder="1"/>
    <xf numFmtId="0" fontId="20" fillId="0" borderId="5" xfId="44" applyFont="1" applyBorder="1"/>
    <xf numFmtId="0" fontId="19" fillId="0" borderId="0" xfId="44" applyFont="1" applyAlignment="1" applyProtection="1">
      <alignment horizontal="center"/>
    </xf>
    <xf numFmtId="0" fontId="19" fillId="0" borderId="0" xfId="44" applyFont="1" applyAlignment="1" applyProtection="1">
      <alignment horizontal="left"/>
    </xf>
    <xf numFmtId="0" fontId="19" fillId="0" borderId="6" xfId="44" applyFont="1" applyBorder="1" applyAlignment="1" applyProtection="1">
      <alignment horizontal="center"/>
    </xf>
    <xf numFmtId="37" fontId="19" fillId="0" borderId="0" xfId="44" applyNumberFormat="1" applyFont="1" applyProtection="1"/>
    <xf numFmtId="10" fontId="19" fillId="0" borderId="0" xfId="44" applyNumberFormat="1" applyFont="1" applyProtection="1"/>
    <xf numFmtId="37" fontId="20" fillId="0" borderId="0" xfId="44" applyNumberFormat="1" applyFont="1" applyProtection="1"/>
    <xf numFmtId="10" fontId="20" fillId="0" borderId="0" xfId="44" applyNumberFormat="1" applyFont="1" applyProtection="1"/>
    <xf numFmtId="0" fontId="21" fillId="0" borderId="0" xfId="43" applyFont="1"/>
    <xf numFmtId="0" fontId="21" fillId="0" borderId="0" xfId="43" applyFont="1" applyAlignment="1" applyProtection="1">
      <alignment horizontal="left"/>
    </xf>
    <xf numFmtId="168" fontId="19" fillId="0" borderId="0" xfId="43" applyNumberFormat="1" applyFont="1" applyProtection="1"/>
    <xf numFmtId="37" fontId="19" fillId="0" borderId="0" xfId="43" applyNumberFormat="1" applyFont="1" applyAlignment="1" applyProtection="1">
      <alignment horizontal="center"/>
    </xf>
    <xf numFmtId="168" fontId="19" fillId="0" borderId="0" xfId="43" applyNumberFormat="1" applyFont="1" applyAlignment="1" applyProtection="1">
      <alignment horizontal="right"/>
    </xf>
    <xf numFmtId="0" fontId="19" fillId="0" borderId="0" xfId="43" quotePrefix="1" applyFont="1" applyAlignment="1">
      <alignment horizontal="right"/>
    </xf>
    <xf numFmtId="0" fontId="19" fillId="0" borderId="0" xfId="43" applyFont="1" applyBorder="1"/>
    <xf numFmtId="0" fontId="19" fillId="0" borderId="0" xfId="45" applyFont="1"/>
    <xf numFmtId="0" fontId="20" fillId="0" borderId="0" xfId="45" applyFont="1"/>
    <xf numFmtId="0" fontId="19" fillId="0" borderId="6" xfId="45" applyFont="1" applyBorder="1"/>
    <xf numFmtId="0" fontId="20" fillId="0" borderId="5" xfId="45" applyFont="1" applyBorder="1"/>
    <xf numFmtId="0" fontId="19" fillId="0" borderId="5" xfId="45" applyFont="1" applyBorder="1"/>
    <xf numFmtId="0" fontId="19" fillId="0" borderId="0" xfId="45" applyFont="1" applyAlignment="1" applyProtection="1">
      <alignment horizontal="center"/>
    </xf>
    <xf numFmtId="0" fontId="19" fillId="0" borderId="6" xfId="45" applyFont="1" applyBorder="1" applyAlignment="1" applyProtection="1">
      <alignment horizontal="center"/>
    </xf>
    <xf numFmtId="37" fontId="19" fillId="0" borderId="0" xfId="45" applyNumberFormat="1" applyFont="1" applyProtection="1"/>
    <xf numFmtId="10" fontId="19" fillId="0" borderId="0" xfId="45" applyNumberFormat="1" applyFont="1" applyProtection="1"/>
    <xf numFmtId="37" fontId="20" fillId="0" borderId="0" xfId="45" applyNumberFormat="1" applyFont="1" applyProtection="1"/>
    <xf numFmtId="10" fontId="20" fillId="0" borderId="0" xfId="45" applyNumberFormat="1" applyFont="1" applyProtection="1"/>
    <xf numFmtId="0" fontId="20" fillId="0" borderId="0" xfId="46" applyFont="1"/>
    <xf numFmtId="0" fontId="19" fillId="0" borderId="0" xfId="46" applyFont="1"/>
    <xf numFmtId="0" fontId="19" fillId="0" borderId="6" xfId="46" applyFont="1" applyBorder="1"/>
    <xf numFmtId="0" fontId="19" fillId="0" borderId="5" xfId="46" applyFont="1" applyBorder="1"/>
    <xf numFmtId="0" fontId="20" fillId="0" borderId="5" xfId="46" applyFont="1" applyBorder="1"/>
    <xf numFmtId="0" fontId="19" fillId="0" borderId="5" xfId="42" applyFont="1" applyBorder="1" applyAlignment="1" applyProtection="1">
      <alignment horizontal="right"/>
    </xf>
    <xf numFmtId="0" fontId="19" fillId="0" borderId="0" xfId="46" applyFont="1" applyAlignment="1" applyProtection="1">
      <alignment horizontal="center"/>
    </xf>
    <xf numFmtId="0" fontId="19" fillId="0" borderId="6" xfId="46" applyFont="1" applyBorder="1" applyAlignment="1" applyProtection="1">
      <alignment horizontal="center"/>
    </xf>
    <xf numFmtId="0" fontId="19" fillId="0" borderId="0" xfId="46" applyFont="1" applyBorder="1" applyAlignment="1" applyProtection="1">
      <alignment horizontal="center"/>
    </xf>
    <xf numFmtId="0" fontId="19" fillId="0" borderId="0" xfId="46" applyFont="1" applyBorder="1"/>
    <xf numFmtId="0" fontId="19" fillId="0" borderId="0" xfId="46" applyFont="1" applyAlignment="1">
      <alignment horizontal="center"/>
    </xf>
    <xf numFmtId="3" fontId="19" fillId="0" borderId="0" xfId="46" applyNumberFormat="1" applyFont="1"/>
    <xf numFmtId="3" fontId="19" fillId="0" borderId="0" xfId="39" applyNumberFormat="1" applyFont="1"/>
    <xf numFmtId="0" fontId="19" fillId="0" borderId="0" xfId="46" quotePrefix="1" applyFont="1"/>
    <xf numFmtId="37" fontId="19" fillId="0" borderId="0" xfId="46" applyNumberFormat="1" applyFont="1" applyProtection="1"/>
    <xf numFmtId="0" fontId="20" fillId="0" borderId="0" xfId="46" applyFont="1" applyAlignment="1">
      <alignment horizontal="center"/>
    </xf>
    <xf numFmtId="37" fontId="20" fillId="0" borderId="0" xfId="46" applyNumberFormat="1" applyFont="1" applyProtection="1"/>
    <xf numFmtId="0" fontId="20" fillId="0" borderId="0" xfId="46" applyFont="1" applyBorder="1" applyAlignment="1">
      <alignment horizontal="center"/>
    </xf>
    <xf numFmtId="0" fontId="20" fillId="0" borderId="0" xfId="46" applyFont="1" applyBorder="1"/>
    <xf numFmtId="37" fontId="20" fillId="0" borderId="0" xfId="46" applyNumberFormat="1" applyFont="1" applyBorder="1" applyProtection="1"/>
    <xf numFmtId="0" fontId="19" fillId="0" borderId="0" xfId="47" applyFont="1"/>
    <xf numFmtId="0" fontId="20" fillId="0" borderId="0" xfId="47" applyFont="1"/>
    <xf numFmtId="0" fontId="19" fillId="0" borderId="6" xfId="47" applyFont="1" applyBorder="1"/>
    <xf numFmtId="0" fontId="19" fillId="0" borderId="5" xfId="47" applyFont="1" applyBorder="1"/>
    <xf numFmtId="0" fontId="20" fillId="0" borderId="5" xfId="47" applyFont="1" applyBorder="1"/>
    <xf numFmtId="0" fontId="19" fillId="0" borderId="0" xfId="47" applyFont="1" applyAlignment="1" applyProtection="1">
      <alignment horizontal="center"/>
    </xf>
    <xf numFmtId="0" fontId="21" fillId="0" borderId="0" xfId="47" applyFont="1"/>
    <xf numFmtId="0" fontId="21" fillId="0" borderId="0" xfId="47" applyFont="1" applyAlignment="1" applyProtection="1">
      <alignment horizontal="center"/>
    </xf>
    <xf numFmtId="0" fontId="19" fillId="0" borderId="6" xfId="47" applyFont="1" applyBorder="1" applyAlignment="1" applyProtection="1">
      <alignment horizontal="center"/>
    </xf>
    <xf numFmtId="37" fontId="19" fillId="0" borderId="0" xfId="47" applyNumberFormat="1" applyFont="1" applyProtection="1"/>
    <xf numFmtId="0" fontId="19" fillId="0" borderId="0" xfId="47" applyFont="1" applyAlignment="1"/>
    <xf numFmtId="37" fontId="19" fillId="0" borderId="0" xfId="47" applyNumberFormat="1" applyFont="1" applyAlignment="1" applyProtection="1"/>
    <xf numFmtId="0" fontId="19" fillId="0" borderId="0" xfId="47" applyFont="1" applyAlignment="1" applyProtection="1"/>
    <xf numFmtId="37" fontId="20" fillId="0" borderId="0" xfId="47" applyNumberFormat="1" applyFont="1" applyProtection="1"/>
    <xf numFmtId="0" fontId="19" fillId="0" borderId="0" xfId="48" applyFont="1"/>
    <xf numFmtId="0" fontId="20" fillId="0" borderId="0" xfId="48" applyFont="1"/>
    <xf numFmtId="0" fontId="19" fillId="0" borderId="6" xfId="48" applyFont="1" applyBorder="1"/>
    <xf numFmtId="0" fontId="19" fillId="0" borderId="5" xfId="48" applyFont="1" applyBorder="1"/>
    <xf numFmtId="0" fontId="20" fillId="0" borderId="5" xfId="48" applyFont="1" applyBorder="1"/>
    <xf numFmtId="0" fontId="19" fillId="0" borderId="0" xfId="48" applyFont="1" applyAlignment="1" applyProtection="1">
      <alignment horizontal="center"/>
    </xf>
    <xf numFmtId="0" fontId="21" fillId="0" borderId="0" xfId="48" applyFont="1"/>
    <xf numFmtId="0" fontId="21" fillId="0" borderId="0" xfId="48" applyFont="1" applyAlignment="1" applyProtection="1">
      <alignment horizontal="center"/>
    </xf>
    <xf numFmtId="0" fontId="19" fillId="0" borderId="6" xfId="48" applyFont="1" applyBorder="1" applyAlignment="1" applyProtection="1">
      <alignment horizontal="center"/>
    </xf>
    <xf numFmtId="37" fontId="19" fillId="0" borderId="0" xfId="48" applyNumberFormat="1" applyFont="1" applyProtection="1"/>
    <xf numFmtId="0" fontId="19" fillId="0" borderId="0" xfId="49" applyFont="1" applyAlignment="1" applyProtection="1">
      <alignment horizontal="center"/>
    </xf>
    <xf numFmtId="0" fontId="23" fillId="0" borderId="0" xfId="49" applyFont="1" applyBorder="1"/>
    <xf numFmtId="0" fontId="23" fillId="0" borderId="0" xfId="49" applyFont="1"/>
    <xf numFmtId="0" fontId="19" fillId="0" borderId="0" xfId="49" applyFont="1" applyFill="1" applyAlignment="1" applyProtection="1">
      <alignment horizontal="center"/>
    </xf>
    <xf numFmtId="0" fontId="19" fillId="0" borderId="0" xfId="49" applyFont="1" applyAlignment="1" applyProtection="1">
      <alignment horizontal="left"/>
    </xf>
    <xf numFmtId="0" fontId="19" fillId="0" borderId="0" xfId="49" applyFont="1"/>
    <xf numFmtId="0" fontId="19" fillId="0" borderId="0" xfId="49" applyFont="1" applyAlignment="1" applyProtection="1">
      <alignment horizontal="right"/>
    </xf>
    <xf numFmtId="0" fontId="19" fillId="0" borderId="6" xfId="49" applyFont="1" applyBorder="1" applyAlignment="1" applyProtection="1">
      <alignment horizontal="left"/>
    </xf>
    <xf numFmtId="0" fontId="19" fillId="0" borderId="10" xfId="49" applyFont="1" applyBorder="1"/>
    <xf numFmtId="0" fontId="19" fillId="0" borderId="10" xfId="49" applyFont="1" applyBorder="1" applyAlignment="1" applyProtection="1">
      <alignment horizontal="center"/>
    </xf>
    <xf numFmtId="0" fontId="19" fillId="0" borderId="6" xfId="49" applyFont="1" applyBorder="1" applyAlignment="1" applyProtection="1">
      <alignment horizontal="center"/>
    </xf>
    <xf numFmtId="0" fontId="19" fillId="0" borderId="6" xfId="49" applyFont="1" applyBorder="1"/>
    <xf numFmtId="39" fontId="19" fillId="0" borderId="0" xfId="49" applyNumberFormat="1" applyFont="1" applyProtection="1"/>
    <xf numFmtId="39" fontId="21" fillId="0" borderId="0" xfId="49" applyNumberFormat="1" applyFont="1" applyAlignment="1" applyProtection="1">
      <alignment horizontal="left"/>
    </xf>
    <xf numFmtId="37" fontId="19" fillId="0" borderId="0" xfId="49" applyNumberFormat="1" applyFont="1" applyProtection="1"/>
    <xf numFmtId="39" fontId="19" fillId="0" borderId="0" xfId="49" applyNumberFormat="1" applyFont="1" applyAlignment="1" applyProtection="1">
      <alignment horizontal="left"/>
    </xf>
    <xf numFmtId="37" fontId="25" fillId="0" borderId="0" xfId="49" applyNumberFormat="1" applyFont="1" applyProtection="1"/>
    <xf numFmtId="37" fontId="19" fillId="0" borderId="5" xfId="49" applyNumberFormat="1" applyFont="1" applyBorder="1" applyProtection="1"/>
    <xf numFmtId="37" fontId="19" fillId="0" borderId="6" xfId="49" applyNumberFormat="1" applyFont="1" applyBorder="1" applyProtection="1"/>
    <xf numFmtId="0" fontId="19" fillId="0" borderId="10" xfId="49" applyFont="1" applyBorder="1" applyAlignment="1">
      <alignment horizontal="center"/>
    </xf>
    <xf numFmtId="37" fontId="19" fillId="0" borderId="0" xfId="49" applyNumberFormat="1" applyFont="1" applyBorder="1" applyProtection="1"/>
    <xf numFmtId="37" fontId="19" fillId="0" borderId="0" xfId="49" applyNumberFormat="1" applyFont="1" applyBorder="1"/>
    <xf numFmtId="37" fontId="19" fillId="0" borderId="0" xfId="49" applyNumberFormat="1" applyFont="1"/>
    <xf numFmtId="0" fontId="19" fillId="0" borderId="0" xfId="49" applyFont="1" applyBorder="1"/>
    <xf numFmtId="37" fontId="19" fillId="0" borderId="5" xfId="49" applyNumberFormat="1" applyFont="1" applyBorder="1"/>
    <xf numFmtId="37" fontId="25" fillId="0" borderId="5" xfId="49" applyNumberFormat="1" applyFont="1" applyBorder="1"/>
    <xf numFmtId="0" fontId="19" fillId="0" borderId="5" xfId="49" applyFont="1" applyBorder="1"/>
    <xf numFmtId="37" fontId="19" fillId="0" borderId="7" xfId="49" applyNumberFormat="1" applyFont="1" applyBorder="1" applyProtection="1"/>
    <xf numFmtId="0" fontId="19" fillId="0" borderId="0" xfId="49" applyFont="1" applyAlignment="1">
      <alignment horizontal="right"/>
    </xf>
    <xf numFmtId="0" fontId="19" fillId="0" borderId="0" xfId="49" applyFont="1" applyProtection="1"/>
    <xf numFmtId="39" fontId="21" fillId="0" borderId="0" xfId="49" applyNumberFormat="1" applyFont="1" applyProtection="1"/>
    <xf numFmtId="0" fontId="23" fillId="0" borderId="0" xfId="49" applyFont="1" applyProtection="1"/>
    <xf numFmtId="39" fontId="23" fillId="0" borderId="0" xfId="49" applyNumberFormat="1" applyFont="1" applyProtection="1"/>
    <xf numFmtId="0" fontId="19" fillId="0" borderId="5" xfId="49" applyFont="1" applyBorder="1" applyAlignment="1" applyProtection="1">
      <alignment horizontal="left"/>
    </xf>
    <xf numFmtId="0" fontId="19" fillId="0" borderId="5" xfId="49" applyFont="1" applyBorder="1" applyAlignment="1" applyProtection="1">
      <alignment horizontal="right"/>
    </xf>
    <xf numFmtId="0" fontId="19" fillId="0" borderId="11" xfId="49" applyFont="1" applyBorder="1"/>
    <xf numFmtId="0" fontId="19" fillId="0" borderId="11" xfId="49" applyFont="1" applyBorder="1" applyAlignment="1" applyProtection="1">
      <alignment horizontal="center"/>
    </xf>
    <xf numFmtId="0" fontId="19" fillId="0" borderId="11" xfId="49" applyFont="1" applyFill="1" applyBorder="1"/>
    <xf numFmtId="0" fontId="19" fillId="0" borderId="11" xfId="49" applyFont="1" applyFill="1" applyBorder="1" applyAlignment="1" applyProtection="1">
      <alignment horizontal="center"/>
    </xf>
    <xf numFmtId="0" fontId="19" fillId="0" borderId="12" xfId="49" applyFont="1" applyFill="1" applyBorder="1"/>
    <xf numFmtId="0" fontId="19" fillId="0" borderId="0" xfId="49" applyFont="1" applyAlignment="1">
      <alignment horizontal="center"/>
    </xf>
    <xf numFmtId="39" fontId="19" fillId="0" borderId="0" xfId="49" applyNumberFormat="1" applyFont="1" applyAlignment="1" applyProtection="1">
      <alignment horizontal="right"/>
    </xf>
    <xf numFmtId="170" fontId="19" fillId="0" borderId="0" xfId="49" applyNumberFormat="1" applyFont="1" applyProtection="1"/>
    <xf numFmtId="10" fontId="19" fillId="0" borderId="0" xfId="49" applyNumberFormat="1" applyFont="1" applyProtection="1"/>
    <xf numFmtId="37" fontId="19" fillId="0" borderId="0" xfId="49" applyNumberFormat="1" applyFont="1" applyFill="1" applyProtection="1"/>
    <xf numFmtId="37" fontId="25" fillId="0" borderId="0" xfId="49" applyNumberFormat="1" applyFont="1" applyFill="1" applyProtection="1"/>
    <xf numFmtId="0" fontId="19" fillId="0" borderId="0" xfId="49" applyFont="1" applyFill="1"/>
    <xf numFmtId="39" fontId="19" fillId="0" borderId="0" xfId="49" applyNumberFormat="1" applyFont="1" applyFill="1" applyProtection="1"/>
    <xf numFmtId="0" fontId="19" fillId="0" borderId="5" xfId="49" applyFont="1" applyFill="1" applyBorder="1"/>
    <xf numFmtId="0" fontId="19" fillId="0" borderId="10" xfId="49" applyFont="1" applyFill="1" applyBorder="1"/>
    <xf numFmtId="0" fontId="19" fillId="0" borderId="1" xfId="49" applyFont="1" applyFill="1" applyBorder="1" applyAlignment="1" applyProtection="1">
      <alignment horizontal="center"/>
    </xf>
    <xf numFmtId="0" fontId="19" fillId="0" borderId="6" xfId="49" applyFont="1" applyFill="1" applyBorder="1"/>
    <xf numFmtId="0" fontId="19" fillId="0" borderId="6" xfId="49" applyFont="1" applyFill="1" applyBorder="1" applyAlignment="1" applyProtection="1">
      <alignment horizontal="center"/>
    </xf>
    <xf numFmtId="9" fontId="19" fillId="0" borderId="0" xfId="49" applyNumberFormat="1" applyFont="1" applyProtection="1"/>
    <xf numFmtId="37" fontId="19" fillId="0" borderId="7" xfId="49" applyNumberFormat="1" applyFont="1" applyBorder="1"/>
    <xf numFmtId="37" fontId="19" fillId="0" borderId="0" xfId="50" applyFont="1"/>
    <xf numFmtId="37" fontId="19" fillId="0" borderId="0" xfId="50" applyFont="1" applyAlignment="1" applyProtection="1">
      <alignment horizontal="center"/>
    </xf>
    <xf numFmtId="0" fontId="19" fillId="0" borderId="0" xfId="41" applyFont="1" applyAlignment="1" applyProtection="1">
      <alignment horizontal="left"/>
    </xf>
    <xf numFmtId="37" fontId="19" fillId="0" borderId="0" xfId="50" applyFont="1" applyAlignment="1" applyProtection="1">
      <alignment horizontal="left"/>
    </xf>
    <xf numFmtId="0" fontId="19" fillId="0" borderId="5" xfId="41" applyFont="1" applyBorder="1" applyAlignment="1" applyProtection="1">
      <alignment horizontal="left"/>
    </xf>
    <xf numFmtId="37" fontId="19" fillId="0" borderId="6" xfId="50" applyFont="1" applyBorder="1"/>
    <xf numFmtId="37" fontId="19" fillId="0" borderId="5" xfId="50" applyFont="1" applyBorder="1"/>
    <xf numFmtId="37" fontId="21" fillId="0" borderId="0" xfId="50" applyFont="1"/>
    <xf numFmtId="37" fontId="21" fillId="0" borderId="0" xfId="50" applyFont="1" applyAlignment="1" applyProtection="1">
      <alignment horizontal="center"/>
    </xf>
    <xf numFmtId="37" fontId="19" fillId="0" borderId="0" xfId="50" applyFont="1" applyAlignment="1">
      <alignment horizontal="center"/>
    </xf>
    <xf numFmtId="37" fontId="19" fillId="0" borderId="6" xfId="50" applyFont="1" applyBorder="1" applyAlignment="1" applyProtection="1">
      <alignment horizontal="center"/>
    </xf>
    <xf numFmtId="37" fontId="19" fillId="0" borderId="6" xfId="50" quotePrefix="1" applyFont="1" applyBorder="1" applyAlignment="1" applyProtection="1">
      <alignment horizontal="center"/>
    </xf>
    <xf numFmtId="37" fontId="19" fillId="0" borderId="0" xfId="50" applyFont="1" applyAlignment="1">
      <alignment horizontal="right"/>
    </xf>
    <xf numFmtId="37" fontId="19" fillId="0" borderId="0" xfId="50" applyFont="1" applyAlignment="1" applyProtection="1">
      <alignment horizontal="right"/>
    </xf>
    <xf numFmtId="179" fontId="19" fillId="0" borderId="0" xfId="50" applyNumberFormat="1" applyFont="1" applyProtection="1"/>
    <xf numFmtId="37" fontId="19" fillId="0" borderId="0" xfId="50" applyNumberFormat="1" applyFont="1" applyProtection="1"/>
    <xf numFmtId="37" fontId="19" fillId="0" borderId="0" xfId="50" applyFont="1" applyProtection="1"/>
    <xf numFmtId="37" fontId="19" fillId="0" borderId="5" xfId="50" applyNumberFormat="1" applyFont="1" applyBorder="1" applyProtection="1"/>
    <xf numFmtId="37" fontId="19" fillId="0" borderId="5" xfId="50" applyFont="1" applyBorder="1" applyProtection="1"/>
    <xf numFmtId="37" fontId="19" fillId="0" borderId="0" xfId="50" applyNumberFormat="1" applyFont="1" applyFill="1" applyProtection="1"/>
    <xf numFmtId="37" fontId="19" fillId="0" borderId="0" xfId="50" applyFont="1" applyBorder="1"/>
    <xf numFmtId="2" fontId="19" fillId="0" borderId="0" xfId="50" applyNumberFormat="1" applyFont="1" applyProtection="1"/>
    <xf numFmtId="37" fontId="19" fillId="0" borderId="7" xfId="50" applyFont="1" applyBorder="1" applyProtection="1"/>
    <xf numFmtId="0" fontId="19" fillId="0" borderId="0" xfId="51" applyFont="1" applyAlignment="1">
      <alignment horizontal="right"/>
    </xf>
    <xf numFmtId="0" fontId="19" fillId="0" borderId="0" xfId="51" applyFont="1"/>
    <xf numFmtId="0" fontId="19" fillId="0" borderId="0" xfId="51" applyFont="1" applyBorder="1"/>
    <xf numFmtId="0" fontId="20" fillId="0" borderId="5" xfId="0" applyFont="1" applyBorder="1"/>
    <xf numFmtId="10" fontId="19" fillId="0" borderId="0" xfId="0" applyNumberFormat="1" applyFont="1" applyProtection="1"/>
    <xf numFmtId="37" fontId="19" fillId="0" borderId="6" xfId="0" applyNumberFormat="1" applyFont="1" applyBorder="1" applyProtection="1"/>
    <xf numFmtId="37" fontId="19" fillId="0" borderId="7" xfId="0" applyNumberFormat="1" applyFont="1" applyBorder="1" applyProtection="1"/>
    <xf numFmtId="37" fontId="20" fillId="0" borderId="0" xfId="0" applyNumberFormat="1" applyFont="1" applyProtection="1"/>
    <xf numFmtId="10" fontId="20" fillId="0" borderId="0" xfId="0" applyNumberFormat="1" applyFont="1" applyProtection="1"/>
    <xf numFmtId="0" fontId="19" fillId="0" borderId="0" xfId="0" applyFont="1" applyFill="1" applyAlignment="1" applyProtection="1">
      <alignment horizontal="left"/>
    </xf>
    <xf numFmtId="0" fontId="19" fillId="0" borderId="5" xfId="0" applyFont="1" applyBorder="1" applyAlignment="1" applyProtection="1">
      <alignment horizontal="left"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</xf>
    <xf numFmtId="37" fontId="19" fillId="0" borderId="5" xfId="0" applyNumberFormat="1" applyFont="1" applyFill="1" applyBorder="1" applyProtection="1"/>
    <xf numFmtId="37" fontId="19" fillId="0" borderId="5" xfId="0" applyNumberFormat="1" applyFont="1" applyBorder="1" applyProtection="1"/>
    <xf numFmtId="37" fontId="19" fillId="0" borderId="0" xfId="0" applyNumberFormat="1" applyFont="1" applyFill="1" applyBorder="1" applyProtection="1"/>
    <xf numFmtId="0" fontId="19" fillId="0" borderId="0" xfId="0" applyFont="1" applyBorder="1"/>
    <xf numFmtId="37" fontId="19" fillId="0" borderId="0" xfId="0" applyNumberFormat="1" applyFont="1" applyBorder="1" applyProtection="1"/>
    <xf numFmtId="0" fontId="19" fillId="0" borderId="5" xfId="0" applyFont="1" applyBorder="1" applyAlignment="1" applyProtection="1">
      <alignment horizontal="right"/>
    </xf>
    <xf numFmtId="0" fontId="19" fillId="0" borderId="0" xfId="52" applyFont="1" applyAlignment="1" applyProtection="1">
      <alignment horizontal="center"/>
      <protection locked="0"/>
    </xf>
    <xf numFmtId="0" fontId="26" fillId="0" borderId="0" xfId="52" applyFont="1"/>
    <xf numFmtId="0" fontId="23" fillId="0" borderId="0" xfId="52" applyFont="1"/>
    <xf numFmtId="0" fontId="19" fillId="0" borderId="0" xfId="52" applyFont="1" applyAlignment="1" applyProtection="1">
      <alignment horizontal="left"/>
    </xf>
    <xf numFmtId="0" fontId="19" fillId="0" borderId="0" xfId="52" applyFont="1"/>
    <xf numFmtId="0" fontId="19" fillId="0" borderId="0" xfId="52" applyFont="1" applyAlignment="1" applyProtection="1">
      <alignment horizontal="right"/>
      <protection locked="0"/>
    </xf>
    <xf numFmtId="0" fontId="19" fillId="0" borderId="6" xfId="52" applyFont="1" applyBorder="1" applyAlignment="1" applyProtection="1">
      <alignment horizontal="left"/>
    </xf>
    <xf numFmtId="0" fontId="19" fillId="0" borderId="6" xfId="52" applyFont="1" applyBorder="1"/>
    <xf numFmtId="0" fontId="19" fillId="0" borderId="6" xfId="52" applyFont="1" applyBorder="1" applyAlignment="1">
      <alignment horizontal="right"/>
    </xf>
    <xf numFmtId="0" fontId="19" fillId="0" borderId="0" xfId="52" applyFont="1" applyAlignment="1">
      <alignment horizontal="center"/>
    </xf>
    <xf numFmtId="0" fontId="19" fillId="0" borderId="0" xfId="52" applyFont="1" applyAlignment="1" applyProtection="1">
      <alignment horizontal="center"/>
    </xf>
    <xf numFmtId="0" fontId="23" fillId="0" borderId="0" xfId="52" applyFont="1" applyAlignment="1">
      <alignment horizontal="center"/>
    </xf>
    <xf numFmtId="0" fontId="19" fillId="0" borderId="0" xfId="52" applyFont="1" applyBorder="1" applyAlignment="1" applyProtection="1">
      <alignment horizontal="center"/>
      <protection locked="0"/>
    </xf>
    <xf numFmtId="0" fontId="21" fillId="0" borderId="0" xfId="52" applyFont="1" applyAlignment="1" applyProtection="1">
      <alignment horizontal="center"/>
      <protection locked="0"/>
    </xf>
    <xf numFmtId="0" fontId="19" fillId="0" borderId="6" xfId="52" applyFont="1" applyBorder="1" applyAlignment="1" applyProtection="1">
      <alignment horizontal="center"/>
      <protection locked="0"/>
    </xf>
    <xf numFmtId="0" fontId="19" fillId="0" borderId="6" xfId="52" applyFont="1" applyBorder="1" applyAlignment="1">
      <alignment horizontal="center"/>
    </xf>
    <xf numFmtId="0" fontId="19" fillId="0" borderId="5" xfId="52" applyFont="1" applyBorder="1" applyAlignment="1">
      <alignment horizontal="center"/>
    </xf>
    <xf numFmtId="0" fontId="19" fillId="0" borderId="6" xfId="52" applyFont="1" applyBorder="1" applyAlignment="1" applyProtection="1">
      <alignment horizontal="center"/>
    </xf>
    <xf numFmtId="0" fontId="19" fillId="0" borderId="0" xfId="52" quotePrefix="1" applyFont="1" applyAlignment="1">
      <alignment horizontal="center"/>
    </xf>
    <xf numFmtId="0" fontId="26" fillId="0" borderId="0" xfId="52" applyFont="1" applyAlignment="1">
      <alignment horizontal="center"/>
    </xf>
    <xf numFmtId="0" fontId="21" fillId="0" borderId="0" xfId="52" applyFont="1" applyAlignment="1" applyProtection="1">
      <alignment horizontal="left"/>
      <protection locked="0"/>
    </xf>
    <xf numFmtId="37" fontId="19" fillId="0" borderId="0" xfId="52" applyNumberFormat="1" applyFont="1" applyProtection="1">
      <protection locked="0"/>
    </xf>
    <xf numFmtId="0" fontId="19" fillId="0" borderId="0" xfId="52" applyFont="1" applyAlignment="1">
      <alignment horizontal="right"/>
    </xf>
    <xf numFmtId="0" fontId="19" fillId="0" borderId="0" xfId="52" applyFont="1" applyAlignment="1" applyProtection="1">
      <alignment horizontal="left"/>
      <protection locked="0"/>
    </xf>
    <xf numFmtId="37" fontId="19" fillId="0" borderId="0" xfId="52" applyNumberFormat="1" applyFont="1" applyProtection="1"/>
    <xf numFmtId="10" fontId="19" fillId="0" borderId="0" xfId="52" applyNumberFormat="1" applyFont="1" applyProtection="1"/>
    <xf numFmtId="37" fontId="19" fillId="0" borderId="0" xfId="52" applyNumberFormat="1" applyFont="1" applyBorder="1" applyProtection="1"/>
    <xf numFmtId="0" fontId="19" fillId="0" borderId="0" xfId="52" applyFont="1" applyProtection="1">
      <protection locked="0"/>
    </xf>
    <xf numFmtId="10" fontId="19" fillId="0" borderId="0" xfId="52" applyNumberFormat="1" applyFont="1" applyBorder="1" applyProtection="1"/>
    <xf numFmtId="10" fontId="19" fillId="0" borderId="0" xfId="52" applyNumberFormat="1" applyFont="1"/>
    <xf numFmtId="37" fontId="19" fillId="0" borderId="7" xfId="52" applyNumberFormat="1" applyFont="1" applyBorder="1" applyProtection="1"/>
    <xf numFmtId="37" fontId="24" fillId="0" borderId="0" xfId="52" applyNumberFormat="1" applyFont="1" applyProtection="1"/>
    <xf numFmtId="0" fontId="19" fillId="0" borderId="0" xfId="52" applyFont="1" applyBorder="1"/>
    <xf numFmtId="0" fontId="19" fillId="0" borderId="0" xfId="52" applyFont="1" applyBorder="1" applyAlignment="1" applyProtection="1">
      <alignment horizontal="left"/>
      <protection locked="0"/>
    </xf>
    <xf numFmtId="0" fontId="23" fillId="0" borderId="0" xfId="52" applyFont="1" applyBorder="1"/>
    <xf numFmtId="0" fontId="21" fillId="0" borderId="0" xfId="52" applyFont="1"/>
    <xf numFmtId="37" fontId="23" fillId="0" borderId="0" xfId="52" applyNumberFormat="1" applyFont="1" applyProtection="1">
      <protection locked="0"/>
    </xf>
    <xf numFmtId="37" fontId="25" fillId="0" borderId="0" xfId="52" applyNumberFormat="1" applyFont="1" applyProtection="1">
      <protection locked="0"/>
    </xf>
    <xf numFmtId="164" fontId="19" fillId="0" borderId="0" xfId="0" applyNumberFormat="1" applyFont="1" applyAlignment="1" applyProtection="1">
      <alignment horizontal="left"/>
    </xf>
    <xf numFmtId="0" fontId="27" fillId="0" borderId="0" xfId="0" applyFont="1" applyAlignment="1">
      <alignment horizontal="right"/>
    </xf>
    <xf numFmtId="10" fontId="19" fillId="0" borderId="7" xfId="0" applyNumberFormat="1" applyFont="1" applyBorder="1" applyProtection="1"/>
    <xf numFmtId="0" fontId="28" fillId="0" borderId="0" xfId="0" applyFont="1"/>
    <xf numFmtId="37" fontId="28" fillId="0" borderId="0" xfId="0" applyNumberFormat="1" applyFont="1" applyProtection="1"/>
    <xf numFmtId="0" fontId="28" fillId="0" borderId="0" xfId="0" applyFont="1" applyAlignment="1" applyProtection="1">
      <alignment horizontal="left"/>
    </xf>
    <xf numFmtId="37" fontId="28" fillId="0" borderId="0" xfId="0" applyNumberFormat="1" applyFont="1"/>
    <xf numFmtId="0" fontId="28" fillId="0" borderId="0" xfId="0" quotePrefix="1" applyFont="1"/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0" fontId="19" fillId="0" borderId="6" xfId="0" applyFont="1" applyBorder="1" applyAlignment="1" applyProtection="1">
      <alignment horizontal="center"/>
      <protection locked="0"/>
    </xf>
    <xf numFmtId="37" fontId="19" fillId="0" borderId="0" xfId="0" applyNumberFormat="1" applyFont="1" applyFill="1" applyProtection="1">
      <protection locked="0"/>
    </xf>
    <xf numFmtId="37" fontId="19" fillId="0" borderId="0" xfId="0" applyNumberFormat="1" applyFont="1"/>
    <xf numFmtId="37" fontId="19" fillId="0" borderId="0" xfId="0" applyNumberFormat="1" applyFont="1" applyProtection="1">
      <protection locked="0"/>
    </xf>
    <xf numFmtId="0" fontId="19" fillId="0" borderId="0" xfId="0" applyFont="1" applyAlignment="1" applyProtection="1">
      <alignment horizontal="left"/>
      <protection locked="0"/>
    </xf>
    <xf numFmtId="37" fontId="19" fillId="0" borderId="5" xfId="0" applyNumberFormat="1" applyFont="1" applyBorder="1"/>
    <xf numFmtId="0" fontId="20" fillId="0" borderId="0" xfId="0" applyFont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168" fontId="19" fillId="0" borderId="0" xfId="0" applyNumberFormat="1" applyFont="1" applyProtection="1"/>
    <xf numFmtId="37" fontId="19" fillId="0" borderId="6" xfId="0" applyNumberFormat="1" applyFont="1" applyBorder="1" applyProtection="1">
      <protection locked="0"/>
    </xf>
    <xf numFmtId="168" fontId="19" fillId="0" borderId="0" xfId="0" applyNumberFormat="1" applyFont="1" applyAlignment="1" applyProtection="1">
      <alignment horizontal="left"/>
    </xf>
    <xf numFmtId="168" fontId="19" fillId="0" borderId="0" xfId="0" applyNumberFormat="1" applyFont="1" applyProtection="1">
      <protection locked="0"/>
    </xf>
    <xf numFmtId="11" fontId="27" fillId="0" borderId="0" xfId="0" quotePrefix="1" applyNumberFormat="1" applyFont="1"/>
    <xf numFmtId="168" fontId="19" fillId="0" borderId="0" xfId="0" applyNumberFormat="1" applyFont="1" applyBorder="1" applyProtection="1"/>
    <xf numFmtId="37" fontId="19" fillId="0" borderId="0" xfId="0" applyNumberFormat="1" applyFont="1" applyBorder="1" applyProtection="1">
      <protection locked="0"/>
    </xf>
    <xf numFmtId="0" fontId="19" fillId="0" borderId="0" xfId="0" quotePrefix="1" applyFont="1" applyAlignment="1" applyProtection="1">
      <alignment horizontal="left"/>
      <protection locked="0"/>
    </xf>
    <xf numFmtId="37" fontId="19" fillId="0" borderId="5" xfId="0" applyNumberFormat="1" applyFont="1" applyBorder="1" applyProtection="1">
      <protection locked="0"/>
    </xf>
    <xf numFmtId="37" fontId="19" fillId="0" borderId="0" xfId="0" applyNumberFormat="1" applyFont="1" applyAlignment="1" applyProtection="1">
      <alignment horizontal="left"/>
      <protection locked="0"/>
    </xf>
    <xf numFmtId="0" fontId="19" fillId="0" borderId="5" xfId="0" applyFont="1" applyBorder="1" applyAlignment="1" applyProtection="1">
      <alignment horizontal="center"/>
      <protection locked="0"/>
    </xf>
    <xf numFmtId="169" fontId="19" fillId="0" borderId="0" xfId="0" applyNumberFormat="1" applyFont="1" applyProtection="1">
      <protection locked="0"/>
    </xf>
    <xf numFmtId="169" fontId="19" fillId="0" borderId="0" xfId="0" applyNumberFormat="1" applyFont="1" applyAlignment="1" applyProtection="1">
      <alignment horizontal="left"/>
    </xf>
    <xf numFmtId="37" fontId="19" fillId="0" borderId="7" xfId="0" applyNumberFormat="1" applyFont="1" applyBorder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/>
    <xf numFmtId="3" fontId="18" fillId="0" borderId="0" xfId="0" applyNumberFormat="1" applyFont="1"/>
    <xf numFmtId="0" fontId="18" fillId="0" borderId="0" xfId="0" applyFont="1"/>
    <xf numFmtId="0" fontId="18" fillId="0" borderId="0" xfId="0" applyFont="1" applyProtection="1">
      <protection locked="0"/>
    </xf>
    <xf numFmtId="0" fontId="29" fillId="0" borderId="0" xfId="0" applyFont="1"/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left"/>
    </xf>
    <xf numFmtId="0" fontId="18" fillId="0" borderId="6" xfId="0" applyFont="1" applyBorder="1"/>
    <xf numFmtId="49" fontId="18" fillId="0" borderId="6" xfId="0" applyNumberFormat="1" applyFont="1" applyBorder="1" applyAlignment="1" applyProtection="1">
      <alignment horizontal="center"/>
    </xf>
    <xf numFmtId="0" fontId="18" fillId="0" borderId="6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30" fillId="0" borderId="0" xfId="0" quotePrefix="1" applyFont="1" applyFill="1"/>
    <xf numFmtId="0" fontId="30" fillId="0" borderId="0" xfId="0" applyFont="1" applyFill="1"/>
    <xf numFmtId="37" fontId="18" fillId="0" borderId="0" xfId="0" applyNumberFormat="1" applyFont="1" applyProtection="1"/>
    <xf numFmtId="37" fontId="18" fillId="0" borderId="0" xfId="0" applyNumberFormat="1" applyFont="1"/>
    <xf numFmtId="37" fontId="18" fillId="0" borderId="5" xfId="0" applyNumberFormat="1" applyFont="1" applyBorder="1" applyProtection="1"/>
    <xf numFmtId="170" fontId="18" fillId="0" borderId="0" xfId="0" applyNumberFormat="1" applyFont="1" applyProtection="1"/>
    <xf numFmtId="0" fontId="18" fillId="0" borderId="0" xfId="0" quotePrefix="1" applyFont="1" applyFill="1"/>
    <xf numFmtId="0" fontId="18" fillId="0" borderId="0" xfId="0" applyFont="1" applyFill="1"/>
    <xf numFmtId="0" fontId="18" fillId="0" borderId="0" xfId="0" applyFont="1" applyFill="1" applyAlignment="1" applyProtection="1">
      <alignment horizontal="left"/>
    </xf>
    <xf numFmtId="41" fontId="18" fillId="0" borderId="0" xfId="0" applyNumberFormat="1" applyFont="1"/>
    <xf numFmtId="37" fontId="18" fillId="0" borderId="0" xfId="0" applyNumberFormat="1" applyFont="1" applyProtection="1">
      <protection locked="0"/>
    </xf>
    <xf numFmtId="37" fontId="18" fillId="0" borderId="0" xfId="0" applyNumberFormat="1" applyFont="1" applyAlignment="1" applyProtection="1">
      <alignment horizontal="left"/>
    </xf>
    <xf numFmtId="41" fontId="18" fillId="0" borderId="0" xfId="0" applyNumberFormat="1" applyFont="1" applyProtection="1"/>
    <xf numFmtId="37" fontId="18" fillId="0" borderId="5" xfId="0" applyNumberFormat="1" applyFont="1" applyBorder="1"/>
    <xf numFmtId="3" fontId="19" fillId="0" borderId="0" xfId="0" applyNumberFormat="1" applyFont="1"/>
    <xf numFmtId="3" fontId="20" fillId="0" borderId="0" xfId="0" applyNumberFormat="1" applyFont="1"/>
    <xf numFmtId="164" fontId="31" fillId="0" borderId="0" xfId="65" applyNumberFormat="1" applyFont="1" applyAlignment="1" applyProtection="1">
      <alignment horizontal="left"/>
    </xf>
    <xf numFmtId="37" fontId="31" fillId="0" borderId="0" xfId="65" applyFont="1"/>
    <xf numFmtId="37" fontId="19" fillId="0" borderId="0" xfId="65" applyFont="1"/>
    <xf numFmtId="37" fontId="19" fillId="0" borderId="0" xfId="65" applyFont="1" applyAlignment="1" applyProtection="1">
      <alignment horizontal="center"/>
    </xf>
    <xf numFmtId="37" fontId="19" fillId="0" borderId="0" xfId="65" applyFont="1" applyAlignment="1" applyProtection="1">
      <alignment horizontal="left"/>
    </xf>
    <xf numFmtId="14" fontId="19" fillId="0" borderId="0" xfId="65" applyNumberFormat="1" applyFont="1" applyAlignment="1" applyProtection="1">
      <alignment horizontal="center"/>
    </xf>
    <xf numFmtId="37" fontId="19" fillId="0" borderId="6" xfId="65" applyFont="1" applyBorder="1" applyAlignment="1" applyProtection="1">
      <alignment horizontal="left"/>
    </xf>
    <xf numFmtId="37" fontId="19" fillId="0" borderId="6" xfId="65" applyFont="1" applyBorder="1" applyAlignment="1" applyProtection="1">
      <alignment horizontal="center"/>
    </xf>
    <xf numFmtId="37" fontId="19" fillId="0" borderId="0" xfId="65" applyFont="1" applyBorder="1"/>
    <xf numFmtId="37" fontId="19" fillId="0" borderId="0" xfId="65" applyFont="1" applyAlignment="1">
      <alignment horizontal="center"/>
    </xf>
    <xf numFmtId="37" fontId="19" fillId="0" borderId="0" xfId="65" applyFont="1" applyAlignment="1">
      <alignment horizontal="centerContinuous"/>
    </xf>
    <xf numFmtId="166" fontId="19" fillId="0" borderId="0" xfId="65" applyNumberFormat="1" applyFont="1" applyAlignment="1">
      <alignment horizontal="centerContinuous"/>
    </xf>
    <xf numFmtId="167" fontId="19" fillId="0" borderId="0" xfId="65" applyNumberFormat="1" applyFont="1" applyAlignment="1">
      <alignment horizontal="centerContinuous"/>
    </xf>
    <xf numFmtId="14" fontId="19" fillId="0" borderId="0" xfId="65" applyNumberFormat="1" applyFont="1" applyAlignment="1">
      <alignment horizontal="centerContinuous"/>
    </xf>
    <xf numFmtId="0" fontId="19" fillId="0" borderId="0" xfId="65" applyNumberFormat="1" applyFont="1" applyAlignment="1" applyProtection="1">
      <alignment horizontal="left"/>
    </xf>
    <xf numFmtId="37" fontId="19" fillId="0" borderId="0" xfId="65" applyFont="1" applyAlignment="1">
      <alignment horizontal="right"/>
    </xf>
    <xf numFmtId="0" fontId="19" fillId="0" borderId="6" xfId="65" applyNumberFormat="1" applyFont="1" applyBorder="1" applyAlignment="1" applyProtection="1">
      <alignment horizontal="left"/>
    </xf>
    <xf numFmtId="37" fontId="19" fillId="0" borderId="6" xfId="65" applyFont="1" applyBorder="1"/>
    <xf numFmtId="37" fontId="19" fillId="0" borderId="6" xfId="65" applyFont="1" applyBorder="1" applyAlignment="1">
      <alignment horizontal="right"/>
    </xf>
    <xf numFmtId="37" fontId="19" fillId="0" borderId="0" xfId="65" applyFont="1" applyBorder="1" applyAlignment="1">
      <alignment horizontal="center"/>
    </xf>
    <xf numFmtId="37" fontId="19" fillId="0" borderId="0" xfId="65" applyFont="1" applyAlignment="1">
      <alignment horizontal="left"/>
    </xf>
    <xf numFmtId="37" fontId="19" fillId="0" borderId="0" xfId="65" applyFont="1" applyBorder="1" applyAlignment="1">
      <alignment horizontal="left"/>
    </xf>
    <xf numFmtId="37" fontId="19" fillId="0" borderId="1" xfId="65" applyFont="1" applyBorder="1"/>
    <xf numFmtId="37" fontId="19" fillId="0" borderId="1" xfId="65" applyFont="1" applyBorder="1" applyAlignment="1">
      <alignment horizontal="center"/>
    </xf>
    <xf numFmtId="37" fontId="19" fillId="0" borderId="0" xfId="65" applyFont="1" applyAlignment="1">
      <alignment horizontal="left" indent="1"/>
    </xf>
    <xf numFmtId="37" fontId="19" fillId="0" borderId="0" xfId="65" applyNumberFormat="1" applyFont="1"/>
    <xf numFmtId="37" fontId="19" fillId="0" borderId="0" xfId="65" applyNumberFormat="1" applyFont="1" applyBorder="1"/>
    <xf numFmtId="37" fontId="19" fillId="0" borderId="6" xfId="65" applyNumberFormat="1" applyFont="1" applyBorder="1"/>
    <xf numFmtId="37" fontId="19" fillId="0" borderId="0" xfId="65" applyFont="1" applyAlignment="1">
      <alignment horizontal="left" indent="2"/>
    </xf>
    <xf numFmtId="37" fontId="19" fillId="0" borderId="5" xfId="65" applyNumberFormat="1" applyFont="1" applyBorder="1"/>
    <xf numFmtId="37" fontId="19" fillId="0" borderId="1" xfId="65" applyNumberFormat="1" applyFont="1" applyBorder="1"/>
    <xf numFmtId="43" fontId="19" fillId="0" borderId="0" xfId="65" applyNumberFormat="1" applyFont="1"/>
    <xf numFmtId="37" fontId="19" fillId="0" borderId="7" xfId="65" applyNumberFormat="1" applyFont="1" applyBorder="1"/>
    <xf numFmtId="10" fontId="19" fillId="0" borderId="0" xfId="65" applyNumberFormat="1" applyFont="1"/>
    <xf numFmtId="37" fontId="19" fillId="0" borderId="5" xfId="65" applyFont="1" applyBorder="1"/>
    <xf numFmtId="166" fontId="19" fillId="0" borderId="0" xfId="65" applyNumberFormat="1" applyFont="1" applyBorder="1"/>
    <xf numFmtId="167" fontId="19" fillId="0" borderId="0" xfId="65" applyNumberFormat="1" applyFont="1" applyBorder="1"/>
    <xf numFmtId="10" fontId="19" fillId="0" borderId="0" xfId="65" applyNumberFormat="1" applyFont="1" applyBorder="1"/>
    <xf numFmtId="37" fontId="20" fillId="0" borderId="0" xfId="53" applyFont="1"/>
    <xf numFmtId="37" fontId="19" fillId="0" borderId="0" xfId="53" applyFont="1"/>
    <xf numFmtId="37" fontId="19" fillId="0" borderId="0" xfId="53" applyFont="1" applyAlignment="1">
      <alignment horizontal="right"/>
    </xf>
    <xf numFmtId="37" fontId="19" fillId="0" borderId="5" xfId="53" applyFont="1" applyBorder="1"/>
    <xf numFmtId="37" fontId="19" fillId="0" borderId="6" xfId="53" applyFont="1" applyBorder="1" applyAlignment="1">
      <alignment horizontal="right"/>
    </xf>
    <xf numFmtId="37" fontId="19" fillId="0" borderId="0" xfId="53" applyFont="1" applyAlignment="1">
      <alignment horizontal="center"/>
    </xf>
    <xf numFmtId="37" fontId="33" fillId="0" borderId="0" xfId="53" applyFont="1"/>
    <xf numFmtId="165" fontId="19" fillId="0" borderId="0" xfId="53" applyNumberFormat="1" applyFont="1"/>
    <xf numFmtId="37" fontId="19" fillId="0" borderId="5" xfId="53" applyFont="1" applyBorder="1" applyAlignment="1">
      <alignment horizontal="right"/>
    </xf>
    <xf numFmtId="165" fontId="19" fillId="0" borderId="0" xfId="75" applyNumberFormat="1" applyFont="1"/>
    <xf numFmtId="37" fontId="19" fillId="0" borderId="0" xfId="53" applyFont="1" applyBorder="1"/>
    <xf numFmtId="37" fontId="32" fillId="0" borderId="5" xfId="53" applyFont="1" applyBorder="1"/>
    <xf numFmtId="176" fontId="19" fillId="0" borderId="5" xfId="53" applyNumberFormat="1" applyFont="1" applyBorder="1"/>
    <xf numFmtId="174" fontId="19" fillId="0" borderId="5" xfId="53" applyNumberFormat="1" applyFont="1" applyBorder="1"/>
    <xf numFmtId="37" fontId="19" fillId="0" borderId="0" xfId="56" applyFont="1" applyAlignment="1">
      <alignment horizontal="right"/>
    </xf>
    <xf numFmtId="37" fontId="20" fillId="0" borderId="0" xfId="57" applyFont="1"/>
    <xf numFmtId="37" fontId="19" fillId="0" borderId="0" xfId="57" applyFont="1"/>
    <xf numFmtId="37" fontId="19" fillId="0" borderId="0" xfId="57" applyFont="1" applyAlignment="1">
      <alignment horizontal="right"/>
    </xf>
    <xf numFmtId="37" fontId="19" fillId="0" borderId="5" xfId="57" applyFont="1" applyBorder="1"/>
    <xf numFmtId="37" fontId="19" fillId="0" borderId="5" xfId="57" applyFont="1" applyBorder="1" applyAlignment="1">
      <alignment horizontal="right"/>
    </xf>
    <xf numFmtId="37" fontId="19" fillId="0" borderId="0" xfId="57" applyFont="1" applyBorder="1"/>
    <xf numFmtId="37" fontId="19" fillId="0" borderId="0" xfId="57" applyFont="1" applyBorder="1" applyAlignment="1">
      <alignment horizontal="center"/>
    </xf>
    <xf numFmtId="37" fontId="19" fillId="0" borderId="5" xfId="57" applyFont="1" applyBorder="1" applyAlignment="1">
      <alignment horizontal="center"/>
    </xf>
    <xf numFmtId="37" fontId="19" fillId="0" borderId="0" xfId="38" applyNumberFormat="1" applyFont="1"/>
    <xf numFmtId="37" fontId="19" fillId="0" borderId="0" xfId="0" applyNumberFormat="1" applyFont="1" applyBorder="1"/>
    <xf numFmtId="37" fontId="19" fillId="0" borderId="0" xfId="58" applyFont="1"/>
    <xf numFmtId="37" fontId="19" fillId="0" borderId="0" xfId="58" applyFont="1" applyAlignment="1">
      <alignment horizontal="right"/>
    </xf>
    <xf numFmtId="37" fontId="20" fillId="0" borderId="0" xfId="58" applyFont="1"/>
    <xf numFmtId="37" fontId="19" fillId="0" borderId="5" xfId="58" applyFont="1" applyBorder="1"/>
    <xf numFmtId="37" fontId="19" fillId="0" borderId="5" xfId="58" applyFont="1" applyBorder="1" applyAlignment="1">
      <alignment horizontal="right"/>
    </xf>
    <xf numFmtId="37" fontId="19" fillId="0" borderId="0" xfId="58" applyFont="1" applyBorder="1"/>
    <xf numFmtId="37" fontId="19" fillId="0" borderId="0" xfId="58" applyFont="1" applyBorder="1" applyAlignment="1">
      <alignment horizontal="center"/>
    </xf>
    <xf numFmtId="5" fontId="19" fillId="0" borderId="0" xfId="58" applyNumberFormat="1" applyFont="1"/>
    <xf numFmtId="165" fontId="19" fillId="0" borderId="0" xfId="58" applyNumberFormat="1" applyFont="1"/>
    <xf numFmtId="37" fontId="20" fillId="0" borderId="0" xfId="59" applyFont="1"/>
    <xf numFmtId="37" fontId="19" fillId="0" borderId="0" xfId="59" applyFont="1" applyAlignment="1" applyProtection="1">
      <alignment horizontal="left"/>
    </xf>
    <xf numFmtId="37" fontId="19" fillId="0" borderId="0" xfId="59" applyFont="1"/>
    <xf numFmtId="37" fontId="19" fillId="0" borderId="0" xfId="59" applyFont="1" applyAlignment="1">
      <alignment horizontal="right"/>
    </xf>
    <xf numFmtId="37" fontId="19" fillId="0" borderId="5" xfId="59" applyFont="1" applyBorder="1" applyAlignment="1" applyProtection="1">
      <alignment horizontal="left"/>
    </xf>
    <xf numFmtId="37" fontId="20" fillId="0" borderId="5" xfId="59" applyFont="1" applyBorder="1"/>
    <xf numFmtId="37" fontId="19" fillId="0" borderId="5" xfId="59" applyFont="1" applyBorder="1"/>
    <xf numFmtId="37" fontId="19" fillId="0" borderId="5" xfId="59" applyFont="1" applyBorder="1" applyAlignment="1">
      <alignment horizontal="right"/>
    </xf>
    <xf numFmtId="180" fontId="19" fillId="0" borderId="0" xfId="0" quotePrefix="1" applyNumberFormat="1" applyFont="1" applyAlignment="1">
      <alignment horizontal="center"/>
    </xf>
    <xf numFmtId="0" fontId="19" fillId="0" borderId="0" xfId="0" quotePrefix="1" applyFont="1" applyAlignment="1">
      <alignment horizontal="center"/>
    </xf>
    <xf numFmtId="37" fontId="19" fillId="0" borderId="0" xfId="60" applyFont="1"/>
    <xf numFmtId="0" fontId="34" fillId="0" borderId="0" xfId="0" applyFont="1"/>
    <xf numFmtId="10" fontId="19" fillId="0" borderId="0" xfId="0" applyNumberFormat="1" applyFont="1"/>
    <xf numFmtId="49" fontId="19" fillId="0" borderId="0" xfId="0" applyNumberFormat="1" applyFont="1" applyAlignment="1">
      <alignment horizontal="center"/>
    </xf>
    <xf numFmtId="37" fontId="19" fillId="0" borderId="0" xfId="60" applyFont="1" applyAlignment="1" applyProtection="1">
      <alignment horizontal="left"/>
    </xf>
    <xf numFmtId="37" fontId="19" fillId="0" borderId="0" xfId="60" applyFont="1" applyAlignment="1">
      <alignment horizontal="right"/>
    </xf>
    <xf numFmtId="37" fontId="19" fillId="0" borderId="5" xfId="60" applyFont="1" applyBorder="1" applyAlignment="1" applyProtection="1">
      <alignment horizontal="left"/>
    </xf>
    <xf numFmtId="37" fontId="19" fillId="0" borderId="5" xfId="60" applyFont="1" applyBorder="1"/>
    <xf numFmtId="37" fontId="19" fillId="0" borderId="6" xfId="60" applyFont="1" applyBorder="1" applyAlignment="1">
      <alignment horizontal="right"/>
    </xf>
    <xf numFmtId="37" fontId="19" fillId="0" borderId="0" xfId="60" applyFont="1" applyAlignment="1">
      <alignment horizontal="center"/>
    </xf>
    <xf numFmtId="37" fontId="19" fillId="0" borderId="0" xfId="60" applyNumberFormat="1" applyFont="1"/>
    <xf numFmtId="165" fontId="19" fillId="0" borderId="0" xfId="60" applyNumberFormat="1" applyFont="1"/>
    <xf numFmtId="37" fontId="19" fillId="0" borderId="0" xfId="61" applyFont="1"/>
    <xf numFmtId="37" fontId="20" fillId="0" borderId="0" xfId="61" applyFont="1"/>
    <xf numFmtId="37" fontId="19" fillId="0" borderId="0" xfId="61" applyFont="1" applyAlignment="1">
      <alignment horizontal="right"/>
    </xf>
    <xf numFmtId="37" fontId="19" fillId="0" borderId="6" xfId="61" applyFont="1" applyBorder="1" applyAlignment="1">
      <alignment horizontal="right"/>
    </xf>
    <xf numFmtId="37" fontId="19" fillId="0" borderId="0" xfId="61" applyFont="1" applyAlignment="1">
      <alignment horizontal="center"/>
    </xf>
    <xf numFmtId="37" fontId="19" fillId="0" borderId="5" xfId="61" applyFont="1" applyBorder="1"/>
    <xf numFmtId="165" fontId="19" fillId="0" borderId="0" xfId="61" applyNumberFormat="1" applyFont="1"/>
    <xf numFmtId="37" fontId="19" fillId="0" borderId="0" xfId="54" applyFont="1"/>
    <xf numFmtId="37" fontId="19" fillId="0" borderId="0" xfId="54" applyFont="1" applyAlignment="1" applyProtection="1">
      <alignment horizontal="left"/>
    </xf>
    <xf numFmtId="37" fontId="20" fillId="0" borderId="0" xfId="54" applyFont="1"/>
    <xf numFmtId="37" fontId="19" fillId="0" borderId="0" xfId="54" applyFont="1" applyAlignment="1">
      <alignment horizontal="right"/>
    </xf>
    <xf numFmtId="37" fontId="19" fillId="0" borderId="5" xfId="54" applyFont="1" applyBorder="1" applyAlignment="1" applyProtection="1">
      <alignment horizontal="left"/>
    </xf>
    <xf numFmtId="37" fontId="19" fillId="0" borderId="5" xfId="54" applyFont="1" applyBorder="1"/>
    <xf numFmtId="37" fontId="19" fillId="0" borderId="6" xfId="54" applyFont="1" applyBorder="1" applyAlignment="1">
      <alignment horizontal="right"/>
    </xf>
    <xf numFmtId="37" fontId="19" fillId="0" borderId="0" xfId="54" applyFont="1" applyAlignment="1">
      <alignment horizontal="center"/>
    </xf>
    <xf numFmtId="165" fontId="19" fillId="0" borderId="0" xfId="54" applyNumberFormat="1" applyFont="1"/>
    <xf numFmtId="37" fontId="19" fillId="0" borderId="0" xfId="55" applyFont="1"/>
    <xf numFmtId="37" fontId="19" fillId="0" borderId="0" xfId="55" applyFont="1" applyAlignment="1" applyProtection="1">
      <alignment horizontal="left"/>
    </xf>
    <xf numFmtId="37" fontId="20" fillId="0" borderId="0" xfId="55" applyFont="1"/>
    <xf numFmtId="37" fontId="19" fillId="0" borderId="0" xfId="55" applyFont="1" applyAlignment="1">
      <alignment horizontal="right"/>
    </xf>
    <xf numFmtId="37" fontId="19" fillId="0" borderId="5" xfId="55" applyFont="1" applyBorder="1"/>
    <xf numFmtId="37" fontId="19" fillId="0" borderId="6" xfId="55" applyFont="1" applyBorder="1" applyAlignment="1">
      <alignment horizontal="right"/>
    </xf>
    <xf numFmtId="37" fontId="19" fillId="0" borderId="0" xfId="55" applyFont="1" applyAlignment="1">
      <alignment horizontal="center"/>
    </xf>
    <xf numFmtId="5" fontId="19" fillId="0" borderId="0" xfId="55" applyNumberFormat="1" applyFont="1"/>
    <xf numFmtId="0" fontId="20" fillId="0" borderId="0" xfId="0" applyFont="1" applyAlignment="1" applyProtection="1">
      <alignment horizontal="center"/>
    </xf>
    <xf numFmtId="0" fontId="20" fillId="0" borderId="0" xfId="0" applyFont="1" applyBorder="1"/>
    <xf numFmtId="37" fontId="19" fillId="0" borderId="0" xfId="0" applyNumberFormat="1" applyFont="1" applyAlignment="1" applyProtection="1">
      <alignment horizontal="left"/>
    </xf>
    <xf numFmtId="37" fontId="19" fillId="0" borderId="0" xfId="63" applyFont="1" applyAlignment="1">
      <alignment horizontal="center"/>
    </xf>
    <xf numFmtId="37" fontId="19" fillId="0" borderId="0" xfId="63" applyFont="1"/>
    <xf numFmtId="37" fontId="20" fillId="0" borderId="0" xfId="63" applyFont="1"/>
    <xf numFmtId="37" fontId="19" fillId="0" borderId="0" xfId="63" applyFont="1" applyAlignment="1">
      <alignment horizontal="right"/>
    </xf>
    <xf numFmtId="37" fontId="19" fillId="0" borderId="6" xfId="63" applyFont="1" applyBorder="1"/>
    <xf numFmtId="37" fontId="19" fillId="0" borderId="6" xfId="63" applyFont="1" applyBorder="1" applyAlignment="1">
      <alignment horizontal="right"/>
    </xf>
    <xf numFmtId="37" fontId="19" fillId="0" borderId="6" xfId="63" applyFont="1" applyBorder="1" applyAlignment="1">
      <alignment horizontal="center"/>
    </xf>
    <xf numFmtId="37" fontId="19" fillId="0" borderId="5" xfId="63" applyFont="1" applyBorder="1" applyAlignment="1">
      <alignment horizontal="center"/>
    </xf>
    <xf numFmtId="37" fontId="19" fillId="0" borderId="0" xfId="63" applyFont="1" applyAlignment="1"/>
    <xf numFmtId="37" fontId="19" fillId="0" borderId="5" xfId="63" applyFont="1" applyBorder="1"/>
    <xf numFmtId="37" fontId="19" fillId="0" borderId="0" xfId="63" applyFont="1" applyFill="1"/>
    <xf numFmtId="37" fontId="19" fillId="0" borderId="0" xfId="63" applyFont="1" applyBorder="1"/>
    <xf numFmtId="37" fontId="19" fillId="0" borderId="5" xfId="63" applyFont="1" applyFill="1" applyBorder="1"/>
    <xf numFmtId="37" fontId="19" fillId="0" borderId="5" xfId="63" applyFont="1" applyBorder="1" applyAlignment="1">
      <alignment horizontal="right"/>
    </xf>
    <xf numFmtId="37" fontId="19" fillId="0" borderId="0" xfId="63" applyFont="1" applyAlignment="1" applyProtection="1">
      <alignment horizontal="left"/>
    </xf>
    <xf numFmtId="37" fontId="19" fillId="0" borderId="6" xfId="63" applyFont="1" applyBorder="1" applyAlignment="1" applyProtection="1">
      <alignment horizontal="left"/>
    </xf>
    <xf numFmtId="37" fontId="20" fillId="0" borderId="5" xfId="63" applyFont="1" applyBorder="1"/>
    <xf numFmtId="37" fontId="19" fillId="0" borderId="0" xfId="63" applyFont="1" applyAlignment="1" applyProtection="1">
      <alignment horizontal="center"/>
    </xf>
    <xf numFmtId="37" fontId="19" fillId="0" borderId="5" xfId="63" applyFont="1" applyBorder="1" applyAlignment="1" applyProtection="1">
      <alignment horizontal="center"/>
    </xf>
    <xf numFmtId="37" fontId="19" fillId="0" borderId="0" xfId="63" applyFont="1" applyProtection="1"/>
    <xf numFmtId="37" fontId="20" fillId="0" borderId="0" xfId="63" applyFo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19" fillId="0" borderId="0" xfId="64" applyFont="1" applyAlignment="1" applyProtection="1">
      <alignment horizontal="center"/>
    </xf>
    <xf numFmtId="0" fontId="18" fillId="0" borderId="0" xfId="64" applyFont="1"/>
    <xf numFmtId="0" fontId="19" fillId="0" borderId="0" xfId="64" applyFont="1"/>
    <xf numFmtId="0" fontId="19" fillId="0" borderId="0" xfId="64" applyFont="1" applyAlignment="1" applyProtection="1">
      <alignment horizontal="left"/>
    </xf>
    <xf numFmtId="0" fontId="19" fillId="0" borderId="0" xfId="64" applyFont="1" applyAlignment="1" applyProtection="1">
      <alignment horizontal="right"/>
    </xf>
    <xf numFmtId="0" fontId="19" fillId="0" borderId="6" xfId="64" applyFont="1" applyBorder="1" applyAlignment="1" applyProtection="1">
      <alignment horizontal="left"/>
    </xf>
    <xf numFmtId="0" fontId="19" fillId="0" borderId="6" xfId="64" applyFont="1" applyBorder="1"/>
    <xf numFmtId="0" fontId="18" fillId="0" borderId="5" xfId="64" applyFont="1" applyBorder="1"/>
    <xf numFmtId="0" fontId="19" fillId="0" borderId="5" xfId="64" applyFont="1" applyBorder="1"/>
    <xf numFmtId="0" fontId="19" fillId="0" borderId="6" xfId="64" applyFont="1" applyBorder="1" applyAlignment="1" applyProtection="1">
      <alignment horizontal="right"/>
    </xf>
    <xf numFmtId="0" fontId="19" fillId="0" borderId="0" xfId="64" applyFont="1" applyAlignment="1">
      <alignment horizontal="center"/>
    </xf>
    <xf numFmtId="0" fontId="18" fillId="0" borderId="0" xfId="64" applyFont="1" applyAlignment="1">
      <alignment horizontal="center"/>
    </xf>
    <xf numFmtId="0" fontId="19" fillId="0" borderId="5" xfId="64" applyFont="1" applyBorder="1" applyAlignment="1" applyProtection="1">
      <alignment horizontal="center"/>
    </xf>
    <xf numFmtId="37" fontId="19" fillId="0" borderId="5" xfId="64" applyNumberFormat="1" applyFont="1" applyBorder="1" applyAlignment="1" applyProtection="1">
      <alignment horizontal="center"/>
    </xf>
    <xf numFmtId="0" fontId="19" fillId="0" borderId="5" xfId="64" applyFont="1" applyBorder="1" applyAlignment="1">
      <alignment horizontal="center"/>
    </xf>
    <xf numFmtId="0" fontId="21" fillId="0" borderId="5" xfId="64" applyFont="1" applyBorder="1" applyAlignment="1">
      <alignment horizontal="center"/>
    </xf>
    <xf numFmtId="0" fontId="19" fillId="0" borderId="0" xfId="64" applyFont="1" applyAlignment="1">
      <alignment horizontal="right"/>
    </xf>
    <xf numFmtId="176" fontId="19" fillId="0" borderId="0" xfId="64" applyNumberFormat="1" applyFont="1" applyProtection="1"/>
    <xf numFmtId="10" fontId="19" fillId="0" borderId="0" xfId="64" applyNumberFormat="1" applyFont="1" applyProtection="1"/>
    <xf numFmtId="176" fontId="19" fillId="0" borderId="6" xfId="64" applyNumberFormat="1" applyFont="1" applyBorder="1" applyProtection="1"/>
    <xf numFmtId="9" fontId="19" fillId="0" borderId="0" xfId="75" applyFont="1"/>
    <xf numFmtId="173" fontId="24" fillId="0" borderId="0" xfId="64" applyNumberFormat="1" applyFont="1" applyProtection="1"/>
    <xf numFmtId="0" fontId="18" fillId="0" borderId="0" xfId="64" applyFont="1" applyAlignment="1" applyProtection="1">
      <alignment horizontal="left"/>
    </xf>
    <xf numFmtId="0" fontId="19" fillId="0" borderId="0" xfId="71" applyFont="1"/>
    <xf numFmtId="0" fontId="20" fillId="0" borderId="0" xfId="71" applyFont="1"/>
    <xf numFmtId="0" fontId="19" fillId="0" borderId="0" xfId="71" applyFont="1" applyAlignment="1">
      <alignment horizontal="center"/>
    </xf>
    <xf numFmtId="0" fontId="21" fillId="0" borderId="0" xfId="71" applyFont="1" applyBorder="1"/>
    <xf numFmtId="0" fontId="22" fillId="0" borderId="0" xfId="71" applyFont="1" applyBorder="1"/>
    <xf numFmtId="0" fontId="19" fillId="0" borderId="0" xfId="71" applyFont="1" applyAlignment="1" applyProtection="1">
      <alignment horizontal="left"/>
    </xf>
    <xf numFmtId="0" fontId="19" fillId="0" borderId="0" xfId="71" applyFont="1" applyAlignment="1">
      <alignment horizontal="right"/>
    </xf>
    <xf numFmtId="0" fontId="19" fillId="0" borderId="6" xfId="71" applyFont="1" applyBorder="1" applyAlignment="1" applyProtection="1">
      <alignment horizontal="left"/>
    </xf>
    <xf numFmtId="0" fontId="19" fillId="0" borderId="6" xfId="71" applyFont="1" applyBorder="1"/>
    <xf numFmtId="0" fontId="20" fillId="0" borderId="5" xfId="71" applyFont="1" applyBorder="1"/>
    <xf numFmtId="0" fontId="19" fillId="0" borderId="6" xfId="71" applyFont="1" applyBorder="1" applyAlignment="1">
      <alignment horizontal="right"/>
    </xf>
    <xf numFmtId="0" fontId="19" fillId="0" borderId="6" xfId="71" applyFont="1" applyBorder="1" applyAlignment="1">
      <alignment horizontal="center"/>
    </xf>
    <xf numFmtId="0" fontId="19" fillId="0" borderId="0" xfId="71" applyFont="1" applyBorder="1" applyAlignment="1">
      <alignment horizontal="center"/>
    </xf>
    <xf numFmtId="0" fontId="19" fillId="0" borderId="0" xfId="71" quotePrefix="1" applyFont="1" applyAlignment="1">
      <alignment horizontal="center"/>
    </xf>
    <xf numFmtId="0" fontId="19" fillId="0" borderId="0" xfId="71" applyFont="1" applyFill="1"/>
    <xf numFmtId="37" fontId="19" fillId="0" borderId="0" xfId="71" applyNumberFormat="1" applyFont="1" applyFill="1"/>
    <xf numFmtId="0" fontId="19" fillId="0" borderId="0" xfId="71" applyFont="1" applyFill="1" applyAlignment="1">
      <alignment horizontal="center"/>
    </xf>
    <xf numFmtId="10" fontId="19" fillId="0" borderId="0" xfId="71" applyNumberFormat="1" applyFont="1" applyFill="1"/>
    <xf numFmtId="37" fontId="19" fillId="0" borderId="0" xfId="71" applyNumberFormat="1" applyFont="1"/>
    <xf numFmtId="10" fontId="19" fillId="0" borderId="0" xfId="71" applyNumberFormat="1" applyFont="1"/>
    <xf numFmtId="37" fontId="19" fillId="0" borderId="6" xfId="71" applyNumberFormat="1" applyFont="1" applyBorder="1"/>
    <xf numFmtId="10" fontId="19" fillId="0" borderId="5" xfId="71" applyNumberFormat="1" applyFont="1" applyBorder="1"/>
    <xf numFmtId="0" fontId="20" fillId="0" borderId="0" xfId="71" applyFont="1" applyAlignment="1">
      <alignment horizontal="right"/>
    </xf>
    <xf numFmtId="0" fontId="19" fillId="0" borderId="5" xfId="71" applyFont="1" applyBorder="1"/>
    <xf numFmtId="0" fontId="19" fillId="0" borderId="3" xfId="71" applyFont="1" applyBorder="1" applyAlignment="1">
      <alignment horizontal="center"/>
    </xf>
    <xf numFmtId="0" fontId="19" fillId="0" borderId="0" xfId="71" applyNumberFormat="1" applyFont="1" applyAlignment="1">
      <alignment horizontal="right"/>
    </xf>
    <xf numFmtId="0" fontId="19" fillId="0" borderId="0" xfId="71" applyNumberFormat="1" applyFont="1" applyAlignment="1">
      <alignment horizontal="center"/>
    </xf>
    <xf numFmtId="10" fontId="19" fillId="0" borderId="6" xfId="71" applyNumberFormat="1" applyFont="1" applyBorder="1"/>
    <xf numFmtId="0" fontId="20" fillId="0" borderId="0" xfId="71" applyNumberFormat="1" applyFont="1" applyAlignment="1">
      <alignment horizontal="right"/>
    </xf>
    <xf numFmtId="37" fontId="19" fillId="0" borderId="5" xfId="71" applyNumberFormat="1" applyFont="1" applyBorder="1"/>
    <xf numFmtId="37" fontId="19" fillId="0" borderId="7" xfId="71" applyNumberFormat="1" applyFont="1" applyBorder="1"/>
    <xf numFmtId="10" fontId="19" fillId="0" borderId="7" xfId="71" applyNumberFormat="1" applyFont="1" applyBorder="1"/>
    <xf numFmtId="0" fontId="23" fillId="0" borderId="0" xfId="71" applyFont="1"/>
    <xf numFmtId="0" fontId="23" fillId="0" borderId="5" xfId="71" applyFont="1" applyBorder="1"/>
    <xf numFmtId="0" fontId="23" fillId="0" borderId="0" xfId="71" applyFont="1" applyAlignment="1">
      <alignment horizontal="center"/>
    </xf>
    <xf numFmtId="0" fontId="19" fillId="0" borderId="5" xfId="71" applyFont="1" applyBorder="1" applyAlignment="1">
      <alignment horizontal="center"/>
    </xf>
    <xf numFmtId="0" fontId="23" fillId="0" borderId="0" xfId="7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37" fontId="20" fillId="0" borderId="0" xfId="63" applyFont="1" applyBorder="1"/>
    <xf numFmtId="0" fontId="34" fillId="0" borderId="0" xfId="0" applyFont="1" applyAlignment="1">
      <alignment horizontal="center"/>
    </xf>
    <xf numFmtId="0" fontId="19" fillId="0" borderId="0" xfId="43" applyFont="1" applyBorder="1" applyAlignment="1">
      <alignment horizontal="right"/>
    </xf>
    <xf numFmtId="0" fontId="19" fillId="0" borderId="0" xfId="43" applyFont="1" applyAlignment="1" applyProtection="1">
      <alignment horizontal="right"/>
    </xf>
    <xf numFmtId="37" fontId="19" fillId="0" borderId="0" xfId="43" applyNumberFormat="1" applyFont="1" applyBorder="1"/>
    <xf numFmtId="0" fontId="23" fillId="0" borderId="0" xfId="43" applyFont="1" applyBorder="1" applyAlignment="1" applyProtection="1">
      <alignment horizontal="left"/>
    </xf>
    <xf numFmtId="0" fontId="19" fillId="0" borderId="0" xfId="49" applyFont="1" applyBorder="1" applyAlignment="1" applyProtection="1">
      <alignment horizontal="left"/>
    </xf>
    <xf numFmtId="0" fontId="19" fillId="0" borderId="0" xfId="49" applyFont="1" applyBorder="1" applyAlignment="1" applyProtection="1">
      <alignment horizontal="right"/>
    </xf>
    <xf numFmtId="0" fontId="19" fillId="0" borderId="0" xfId="49" quotePrefix="1" applyFont="1"/>
    <xf numFmtId="39" fontId="19" fillId="0" borderId="0" xfId="49" applyNumberFormat="1" applyFont="1"/>
    <xf numFmtId="0" fontId="3" fillId="0" borderId="0" xfId="51" applyFont="1" applyBorder="1"/>
    <xf numFmtId="37" fontId="3" fillId="0" borderId="0" xfId="50" applyFont="1" applyBorder="1"/>
    <xf numFmtId="0" fontId="34" fillId="0" borderId="5" xfId="0" applyFont="1" applyBorder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9" fontId="36" fillId="0" borderId="0" xfId="75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8" fillId="0" borderId="0" xfId="0" applyFont="1" applyFill="1" applyAlignment="1">
      <alignment horizontal="center"/>
    </xf>
    <xf numFmtId="9" fontId="38" fillId="0" borderId="0" xfId="75" applyFont="1" applyFill="1" applyAlignment="1">
      <alignment horizontal="center"/>
    </xf>
    <xf numFmtId="0" fontId="34" fillId="0" borderId="0" xfId="0" quotePrefix="1" applyFont="1" applyAlignment="1">
      <alignment horizontal="center"/>
    </xf>
    <xf numFmtId="9" fontId="34" fillId="0" borderId="0" xfId="75" quotePrefix="1" applyFont="1" applyAlignment="1">
      <alignment horizontal="center"/>
    </xf>
    <xf numFmtId="0" fontId="36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center"/>
    </xf>
    <xf numFmtId="0" fontId="25" fillId="0" borderId="0" xfId="0" applyFont="1"/>
    <xf numFmtId="37" fontId="25" fillId="0" borderId="0" xfId="0" applyNumberFormat="1" applyFont="1" applyFill="1" applyAlignment="1">
      <alignment horizontal="right"/>
    </xf>
    <xf numFmtId="0" fontId="39" fillId="0" borderId="0" xfId="0" applyFont="1"/>
    <xf numFmtId="9" fontId="25" fillId="0" borderId="0" xfId="75" applyFont="1" applyFill="1" applyAlignment="1">
      <alignment horizontal="center"/>
    </xf>
    <xf numFmtId="0" fontId="40" fillId="0" borderId="0" xfId="0" applyFont="1"/>
    <xf numFmtId="37" fontId="19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 horizontal="left"/>
    </xf>
    <xf numFmtId="0" fontId="25" fillId="0" borderId="0" xfId="0" applyFont="1" applyBorder="1"/>
    <xf numFmtId="37" fontId="25" fillId="0" borderId="0" xfId="0" applyNumberFormat="1" applyFont="1" applyFill="1" applyBorder="1" applyAlignment="1">
      <alignment horizontal="right"/>
    </xf>
    <xf numFmtId="0" fontId="40" fillId="0" borderId="0" xfId="0" quotePrefix="1" applyFont="1"/>
    <xf numFmtId="0" fontId="39" fillId="0" borderId="0" xfId="0" applyFont="1" applyFill="1" applyAlignment="1">
      <alignment horizontal="center"/>
    </xf>
    <xf numFmtId="9" fontId="39" fillId="0" borderId="0" xfId="75" applyFont="1" applyFill="1" applyAlignment="1">
      <alignment horizontal="center"/>
    </xf>
    <xf numFmtId="37" fontId="39" fillId="0" borderId="7" xfId="0" applyNumberFormat="1" applyFont="1" applyFill="1" applyBorder="1" applyAlignment="1">
      <alignment horizontal="right"/>
    </xf>
    <xf numFmtId="9" fontId="39" fillId="0" borderId="0" xfId="75" applyFont="1" applyFill="1" applyBorder="1" applyAlignment="1">
      <alignment horizontal="center"/>
    </xf>
    <xf numFmtId="37" fontId="19" fillId="0" borderId="6" xfId="50" applyFont="1" applyBorder="1" applyAlignment="1" applyProtection="1">
      <alignment horizontal="right"/>
    </xf>
    <xf numFmtId="37" fontId="19" fillId="0" borderId="5" xfId="0" applyNumberFormat="1" applyFont="1" applyFill="1" applyBorder="1" applyAlignment="1">
      <alignment horizontal="right"/>
    </xf>
    <xf numFmtId="37" fontId="39" fillId="0" borderId="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center"/>
    </xf>
    <xf numFmtId="2" fontId="19" fillId="0" borderId="0" xfId="49" applyNumberFormat="1" applyFont="1" applyAlignment="1" applyProtection="1">
      <alignment horizontal="center"/>
    </xf>
    <xf numFmtId="179" fontId="25" fillId="0" borderId="0" xfId="75" applyNumberFormat="1" applyFont="1" applyProtection="1"/>
    <xf numFmtId="0" fontId="0" fillId="0" borderId="0" xfId="0" applyFill="1"/>
    <xf numFmtId="37" fontId="19" fillId="0" borderId="0" xfId="55" applyNumberFormat="1" applyFont="1"/>
    <xf numFmtId="37" fontId="19" fillId="0" borderId="0" xfId="0" applyNumberFormat="1" applyFont="1" applyFill="1" applyBorder="1"/>
    <xf numFmtId="37" fontId="19" fillId="0" borderId="0" xfId="55" quotePrefix="1" applyFont="1" applyAlignment="1">
      <alignment horizontal="center"/>
    </xf>
    <xf numFmtId="37" fontId="19" fillId="0" borderId="0" xfId="58" applyFont="1" applyAlignment="1">
      <alignment horizontal="left"/>
    </xf>
    <xf numFmtId="37" fontId="21" fillId="0" borderId="0" xfId="55" applyFont="1" applyAlignment="1">
      <alignment horizontal="center"/>
    </xf>
    <xf numFmtId="37" fontId="25" fillId="0" borderId="0" xfId="71" applyNumberFormat="1" applyFont="1" applyFill="1"/>
    <xf numFmtId="0" fontId="25" fillId="0" borderId="0" xfId="71" applyFont="1" applyFill="1"/>
    <xf numFmtId="37" fontId="3" fillId="0" borderId="5" xfId="50" applyFont="1" applyBorder="1"/>
    <xf numFmtId="37" fontId="25" fillId="0" borderId="0" xfId="0" applyNumberFormat="1" applyFont="1" applyFill="1" applyProtection="1">
      <protection locked="0"/>
    </xf>
    <xf numFmtId="37" fontId="25" fillId="0" borderId="6" xfId="0" applyNumberFormat="1" applyFont="1" applyFill="1" applyBorder="1" applyProtection="1">
      <protection locked="0"/>
    </xf>
    <xf numFmtId="37" fontId="25" fillId="0" borderId="5" xfId="0" applyNumberFormat="1" applyFont="1" applyFill="1" applyBorder="1" applyProtection="1">
      <protection locked="0"/>
    </xf>
    <xf numFmtId="37" fontId="25" fillId="0" borderId="0" xfId="0" applyNumberFormat="1" applyFont="1" applyFill="1" applyProtection="1"/>
    <xf numFmtId="37" fontId="25" fillId="0" borderId="0" xfId="0" applyNumberFormat="1" applyFont="1" applyFill="1" applyBorder="1" applyProtection="1">
      <protection locked="0"/>
    </xf>
    <xf numFmtId="37" fontId="25" fillId="0" borderId="0" xfId="43" applyNumberFormat="1" applyFont="1" applyProtection="1"/>
    <xf numFmtId="37" fontId="25" fillId="0" borderId="0" xfId="52" applyNumberFormat="1" applyFont="1" applyProtection="1"/>
    <xf numFmtId="37" fontId="25" fillId="0" borderId="6" xfId="52" applyNumberFormat="1" applyFont="1" applyBorder="1" applyProtection="1"/>
    <xf numFmtId="37" fontId="25" fillId="0" borderId="0" xfId="52" applyNumberFormat="1" applyFont="1" applyBorder="1" applyProtection="1"/>
    <xf numFmtId="37" fontId="25" fillId="0" borderId="5" xfId="52" applyNumberFormat="1" applyFont="1" applyBorder="1" applyProtection="1"/>
    <xf numFmtId="37" fontId="25" fillId="0" borderId="0" xfId="52" applyNumberFormat="1" applyFont="1" applyFill="1" applyProtection="1"/>
    <xf numFmtId="37" fontId="25" fillId="0" borderId="6" xfId="52" applyNumberFormat="1" applyFont="1" applyFill="1" applyBorder="1" applyProtection="1"/>
    <xf numFmtId="37" fontId="25" fillId="0" borderId="0" xfId="63" applyFont="1"/>
    <xf numFmtId="37" fontId="25" fillId="0" borderId="5" xfId="63" applyFont="1" applyBorder="1"/>
    <xf numFmtId="169" fontId="19" fillId="0" borderId="0" xfId="65" applyNumberFormat="1" applyFont="1" applyBorder="1"/>
    <xf numFmtId="37" fontId="19" fillId="0" borderId="5" xfId="55" applyFont="1" applyBorder="1" applyAlignment="1" applyProtection="1">
      <alignment horizontal="left"/>
    </xf>
    <xf numFmtId="37" fontId="19" fillId="0" borderId="0" xfId="55" applyFont="1" applyBorder="1"/>
    <xf numFmtId="37" fontId="32" fillId="0" borderId="0" xfId="53" applyNumberFormat="1" applyFont="1"/>
    <xf numFmtId="37" fontId="19" fillId="0" borderId="0" xfId="53" applyNumberFormat="1" applyFont="1"/>
    <xf numFmtId="37" fontId="19" fillId="0" borderId="5" xfId="53" applyNumberFormat="1" applyFont="1" applyBorder="1"/>
    <xf numFmtId="37" fontId="19" fillId="0" borderId="0" xfId="39" applyNumberFormat="1" applyFont="1"/>
    <xf numFmtId="37" fontId="19" fillId="0" borderId="0" xfId="55" applyFont="1" applyBorder="1" applyAlignment="1" applyProtection="1">
      <alignment horizontal="left"/>
    </xf>
    <xf numFmtId="37" fontId="19" fillId="0" borderId="0" xfId="55" applyFont="1" applyBorder="1" applyAlignment="1">
      <alignment horizontal="right"/>
    </xf>
    <xf numFmtId="37" fontId="19" fillId="0" borderId="0" xfId="61" applyNumberFormat="1" applyFont="1"/>
    <xf numFmtId="37" fontId="19" fillId="0" borderId="0" xfId="54" applyNumberFormat="1" applyFont="1"/>
    <xf numFmtId="37" fontId="19" fillId="0" borderId="5" xfId="54" applyNumberFormat="1" applyFont="1" applyBorder="1"/>
    <xf numFmtId="37" fontId="19" fillId="0" borderId="0" xfId="57" applyFont="1" applyAlignment="1">
      <alignment horizontal="center"/>
    </xf>
    <xf numFmtId="0" fontId="19" fillId="0" borderId="0" xfId="0" quotePrefix="1" applyFont="1" applyBorder="1" applyAlignment="1">
      <alignment horizontal="center"/>
    </xf>
    <xf numFmtId="37" fontId="19" fillId="0" borderId="0" xfId="59" applyFont="1" applyAlignment="1">
      <alignment horizontal="center"/>
    </xf>
    <xf numFmtId="180" fontId="19" fillId="0" borderId="0" xfId="0" applyNumberFormat="1" applyFont="1" applyAlignment="1">
      <alignment horizontal="center"/>
    </xf>
    <xf numFmtId="37" fontId="21" fillId="0" borderId="0" xfId="0" applyNumberFormat="1" applyFont="1"/>
    <xf numFmtId="37" fontId="3" fillId="0" borderId="0" xfId="59" applyFont="1" applyBorder="1"/>
    <xf numFmtId="37" fontId="19" fillId="0" borderId="0" xfId="0" applyNumberFormat="1" applyFont="1" applyAlignment="1">
      <alignment horizontal="right"/>
    </xf>
    <xf numFmtId="37" fontId="19" fillId="0" borderId="0" xfId="55" quotePrefix="1" applyFont="1"/>
    <xf numFmtId="37" fontId="19" fillId="0" borderId="0" xfId="59" applyFont="1" applyBorder="1" applyAlignment="1">
      <alignment horizontal="right"/>
    </xf>
    <xf numFmtId="37" fontId="21" fillId="0" borderId="0" xfId="0" applyNumberFormat="1" applyFont="1" applyBorder="1"/>
    <xf numFmtId="10" fontId="19" fillId="0" borderId="0" xfId="0" quotePrefix="1" applyNumberFormat="1" applyFont="1"/>
    <xf numFmtId="0" fontId="19" fillId="0" borderId="0" xfId="0" quotePrefix="1" applyFont="1" applyAlignment="1">
      <alignment horizontal="right"/>
    </xf>
    <xf numFmtId="37" fontId="21" fillId="0" borderId="0" xfId="55" applyFont="1" applyBorder="1"/>
    <xf numFmtId="37" fontId="19" fillId="0" borderId="0" xfId="54" applyNumberFormat="1" applyFont="1" applyBorder="1"/>
    <xf numFmtId="0" fontId="19" fillId="0" borderId="0" xfId="71" applyFont="1" applyAlignment="1">
      <alignment horizontal="left"/>
    </xf>
    <xf numFmtId="0" fontId="9" fillId="0" borderId="0" xfId="71" applyFont="1"/>
    <xf numFmtId="0" fontId="19" fillId="0" borderId="0" xfId="71" quotePrefix="1" applyFont="1"/>
    <xf numFmtId="39" fontId="19" fillId="0" borderId="0" xfId="49" applyNumberFormat="1" applyFont="1" applyAlignment="1" applyProtection="1">
      <alignment horizontal="center"/>
    </xf>
    <xf numFmtId="179" fontId="19" fillId="0" borderId="0" xfId="50" applyNumberFormat="1" applyFont="1" applyAlignment="1" applyProtection="1">
      <alignment horizontal="center"/>
    </xf>
    <xf numFmtId="37" fontId="25" fillId="0" borderId="0" xfId="63" applyFont="1" applyBorder="1"/>
    <xf numFmtId="37" fontId="19" fillId="0" borderId="0" xfId="58" applyFont="1" applyAlignment="1">
      <alignment horizontal="center"/>
    </xf>
    <xf numFmtId="37" fontId="3" fillId="0" borderId="0" xfId="53" applyFont="1" applyAlignment="1">
      <alignment horizontal="center"/>
    </xf>
    <xf numFmtId="37" fontId="19" fillId="0" borderId="5" xfId="65" applyFont="1" applyBorder="1" applyAlignment="1">
      <alignment horizontal="center"/>
    </xf>
    <xf numFmtId="37" fontId="3" fillId="0" borderId="0" xfId="58" applyFont="1" applyAlignment="1">
      <alignment horizontal="center"/>
    </xf>
    <xf numFmtId="37" fontId="3" fillId="0" borderId="0" xfId="60" applyFont="1" applyAlignment="1">
      <alignment horizontal="center"/>
    </xf>
    <xf numFmtId="37" fontId="19" fillId="0" borderId="0" xfId="61" applyFont="1" applyBorder="1"/>
    <xf numFmtId="37" fontId="19" fillId="0" borderId="0" xfId="53" applyFont="1" applyBorder="1" applyAlignment="1">
      <alignment horizontal="right"/>
    </xf>
    <xf numFmtId="37" fontId="3" fillId="0" borderId="5" xfId="53" applyFont="1" applyBorder="1"/>
    <xf numFmtId="37" fontId="19" fillId="0" borderId="5" xfId="53" applyFont="1" applyBorder="1" applyAlignment="1">
      <alignment horizontal="center"/>
    </xf>
    <xf numFmtId="37" fontId="19" fillId="0" borderId="0" xfId="58" applyFont="1" applyBorder="1" applyAlignment="1">
      <alignment horizontal="right"/>
    </xf>
    <xf numFmtId="37" fontId="3" fillId="0" borderId="5" xfId="58" applyFont="1" applyBorder="1"/>
    <xf numFmtId="37" fontId="3" fillId="0" borderId="0" xfId="58" applyFont="1" applyBorder="1"/>
    <xf numFmtId="37" fontId="19" fillId="0" borderId="5" xfId="58" applyFont="1" applyBorder="1" applyAlignment="1">
      <alignment horizontal="center"/>
    </xf>
    <xf numFmtId="37" fontId="19" fillId="0" borderId="0" xfId="60" applyFont="1" applyBorder="1" applyAlignment="1" applyProtection="1">
      <alignment horizontal="left"/>
    </xf>
    <xf numFmtId="37" fontId="19" fillId="0" borderId="0" xfId="60" applyFont="1" applyBorder="1"/>
    <xf numFmtId="37" fontId="19" fillId="0" borderId="0" xfId="60" applyFont="1" applyBorder="1" applyAlignment="1">
      <alignment horizontal="right"/>
    </xf>
    <xf numFmtId="37" fontId="3" fillId="0" borderId="5" xfId="60" applyFont="1" applyBorder="1"/>
    <xf numFmtId="37" fontId="19" fillId="0" borderId="5" xfId="60" applyFont="1" applyBorder="1" applyAlignment="1">
      <alignment horizontal="center"/>
    </xf>
    <xf numFmtId="37" fontId="19" fillId="0" borderId="0" xfId="61" applyFont="1" applyBorder="1" applyAlignment="1">
      <alignment horizontal="right"/>
    </xf>
    <xf numFmtId="37" fontId="19" fillId="0" borderId="5" xfId="61" applyFont="1" applyBorder="1" applyAlignment="1">
      <alignment horizontal="center"/>
    </xf>
    <xf numFmtId="37" fontId="3" fillId="0" borderId="0" xfId="54" applyFont="1" applyAlignment="1">
      <alignment horizontal="center"/>
    </xf>
    <xf numFmtId="37" fontId="19" fillId="0" borderId="0" xfId="57" applyFont="1" applyBorder="1" applyAlignment="1">
      <alignment horizontal="right"/>
    </xf>
    <xf numFmtId="37" fontId="19" fillId="0" borderId="5" xfId="55" applyFont="1" applyBorder="1" applyAlignment="1">
      <alignment horizontal="center"/>
    </xf>
    <xf numFmtId="37" fontId="3" fillId="0" borderId="0" xfId="55" applyFont="1" applyAlignment="1">
      <alignment horizontal="center"/>
    </xf>
    <xf numFmtId="37" fontId="19" fillId="0" borderId="0" xfId="62" applyFont="1"/>
    <xf numFmtId="37" fontId="19" fillId="0" borderId="5" xfId="62" applyFont="1" applyBorder="1"/>
    <xf numFmtId="37" fontId="19" fillId="0" borderId="0" xfId="62" applyFont="1" applyBorder="1"/>
    <xf numFmtId="37" fontId="19" fillId="0" borderId="0" xfId="62" applyFont="1" applyAlignment="1">
      <alignment horizontal="center"/>
    </xf>
    <xf numFmtId="37" fontId="19" fillId="0" borderId="0" xfId="54" applyFont="1" applyBorder="1" applyAlignment="1" applyProtection="1">
      <alignment horizontal="left"/>
    </xf>
    <xf numFmtId="37" fontId="19" fillId="0" borderId="0" xfId="54" applyFont="1" applyBorder="1"/>
    <xf numFmtId="37" fontId="19" fillId="0" borderId="0" xfId="54" applyFont="1" applyBorder="1" applyAlignment="1">
      <alignment horizontal="right"/>
    </xf>
    <xf numFmtId="37" fontId="19" fillId="0" borderId="5" xfId="54" applyFont="1" applyBorder="1" applyAlignment="1">
      <alignment horizontal="right"/>
    </xf>
    <xf numFmtId="37" fontId="19" fillId="0" borderId="5" xfId="54" applyFont="1" applyBorder="1" applyAlignment="1">
      <alignment horizontal="center"/>
    </xf>
    <xf numFmtId="37" fontId="0" fillId="0" borderId="0" xfId="0" applyNumberFormat="1"/>
    <xf numFmtId="0" fontId="42" fillId="4" borderId="0" xfId="0" applyFont="1" applyFill="1"/>
    <xf numFmtId="37" fontId="42" fillId="4" borderId="0" xfId="0" applyNumberFormat="1" applyFont="1" applyFill="1"/>
    <xf numFmtId="37" fontId="32" fillId="0" borderId="0" xfId="53" applyFont="1" applyBorder="1"/>
    <xf numFmtId="182" fontId="19" fillId="0" borderId="0" xfId="53" applyNumberFormat="1" applyFont="1" applyBorder="1" applyAlignment="1">
      <alignment horizontal="center"/>
    </xf>
    <xf numFmtId="37" fontId="20" fillId="0" borderId="0" xfId="53" applyFont="1" applyBorder="1"/>
    <xf numFmtId="37" fontId="32" fillId="0" borderId="5" xfId="53" applyNumberFormat="1" applyFont="1" applyBorder="1"/>
    <xf numFmtId="165" fontId="19" fillId="0" borderId="0" xfId="71" applyNumberFormat="1" applyFont="1" applyFill="1"/>
    <xf numFmtId="165" fontId="19" fillId="0" borderId="0" xfId="71" applyNumberFormat="1" applyFont="1"/>
    <xf numFmtId="165" fontId="19" fillId="0" borderId="5" xfId="71" applyNumberFormat="1" applyFont="1" applyFill="1" applyBorder="1"/>
    <xf numFmtId="6" fontId="19" fillId="0" borderId="0" xfId="71" applyNumberFormat="1" applyFont="1" applyAlignment="1">
      <alignment horizontal="center"/>
    </xf>
    <xf numFmtId="0" fontId="18" fillId="0" borderId="0" xfId="0" applyFont="1" applyAlignment="1" applyProtection="1">
      <alignment horizontal="right"/>
      <protection locked="0"/>
    </xf>
    <xf numFmtId="0" fontId="18" fillId="0" borderId="5" xfId="0" applyFont="1" applyBorder="1" applyAlignment="1" applyProtection="1">
      <alignment horizontal="right"/>
    </xf>
    <xf numFmtId="0" fontId="18" fillId="0" borderId="6" xfId="0" applyFont="1" applyBorder="1" applyAlignment="1" applyProtection="1">
      <alignment horizontal="right"/>
    </xf>
    <xf numFmtId="0" fontId="19" fillId="0" borderId="0" xfId="0" quotePrefix="1" applyFont="1" applyAlignment="1">
      <alignment horizontal="left"/>
    </xf>
    <xf numFmtId="37" fontId="25" fillId="0" borderId="0" xfId="55" applyFont="1"/>
    <xf numFmtId="37" fontId="25" fillId="0" borderId="0" xfId="55" applyFont="1" applyBorder="1"/>
    <xf numFmtId="0" fontId="9" fillId="0" borderId="0" xfId="73"/>
    <xf numFmtId="0" fontId="9" fillId="0" borderId="0" xfId="73" applyBorder="1"/>
    <xf numFmtId="0" fontId="9" fillId="0" borderId="0" xfId="74"/>
    <xf numFmtId="0" fontId="9" fillId="0" borderId="0" xfId="74" applyFont="1"/>
    <xf numFmtId="0" fontId="9" fillId="0" borderId="5" xfId="74" applyBorder="1"/>
    <xf numFmtId="0" fontId="9" fillId="0" borderId="0" xfId="74" applyBorder="1"/>
    <xf numFmtId="0" fontId="44" fillId="0" borderId="0" xfId="74" applyFont="1" applyAlignment="1">
      <alignment horizontal="center"/>
    </xf>
    <xf numFmtId="0" fontId="44" fillId="0" borderId="0" xfId="74" applyFont="1" applyBorder="1" applyAlignment="1">
      <alignment horizontal="center"/>
    </xf>
    <xf numFmtId="0" fontId="19" fillId="0" borderId="0" xfId="73" applyFont="1"/>
    <xf numFmtId="178" fontId="19" fillId="0" borderId="0" xfId="73" applyNumberFormat="1" applyFont="1" applyAlignment="1" applyProtection="1">
      <alignment horizontal="left"/>
    </xf>
    <xf numFmtId="0" fontId="19" fillId="0" borderId="0" xfId="73" applyFont="1" applyAlignment="1" applyProtection="1">
      <alignment horizontal="center"/>
    </xf>
    <xf numFmtId="0" fontId="19" fillId="0" borderId="5" xfId="73" applyFont="1" applyBorder="1"/>
    <xf numFmtId="0" fontId="19" fillId="0" borderId="5" xfId="73" quotePrefix="1" applyFont="1" applyBorder="1" applyAlignment="1" applyProtection="1">
      <alignment horizontal="center"/>
    </xf>
    <xf numFmtId="0" fontId="19" fillId="0" borderId="0" xfId="73" applyFont="1" applyBorder="1"/>
    <xf numFmtId="0" fontId="34" fillId="0" borderId="0" xfId="73" applyFont="1" applyBorder="1" applyAlignment="1" applyProtection="1">
      <alignment horizontal="center"/>
    </xf>
    <xf numFmtId="0" fontId="19" fillId="0" borderId="0" xfId="73" applyFont="1" applyBorder="1" applyAlignment="1" applyProtection="1">
      <alignment horizontal="left"/>
    </xf>
    <xf numFmtId="0" fontId="34" fillId="0" borderId="0" xfId="73" applyFont="1"/>
    <xf numFmtId="0" fontId="34" fillId="0" borderId="0" xfId="73" applyFont="1" applyFill="1"/>
    <xf numFmtId="0" fontId="19" fillId="0" borderId="0" xfId="73" applyFont="1" applyFill="1"/>
    <xf numFmtId="0" fontId="34" fillId="0" borderId="0" xfId="73" applyFont="1" applyFill="1" applyBorder="1" applyAlignment="1" applyProtection="1">
      <alignment horizontal="center"/>
    </xf>
    <xf numFmtId="0" fontId="34" fillId="0" borderId="5" xfId="73" applyFont="1" applyBorder="1"/>
    <xf numFmtId="0" fontId="34" fillId="0" borderId="5" xfId="73" applyFont="1" applyFill="1" applyBorder="1"/>
    <xf numFmtId="0" fontId="19" fillId="0" borderId="5" xfId="73" applyFont="1" applyFill="1" applyBorder="1"/>
    <xf numFmtId="0" fontId="34" fillId="0" borderId="5" xfId="73" applyFont="1" applyFill="1" applyBorder="1" applyAlignment="1" applyProtection="1">
      <alignment horizontal="center"/>
    </xf>
    <xf numFmtId="0" fontId="34" fillId="0" borderId="0" xfId="73" applyFont="1" applyAlignment="1" applyProtection="1">
      <alignment horizontal="center"/>
    </xf>
    <xf numFmtId="0" fontId="37" fillId="0" borderId="0" xfId="73" applyFont="1" applyAlignment="1" applyProtection="1">
      <alignment horizontal="center"/>
    </xf>
    <xf numFmtId="49" fontId="45" fillId="0" borderId="0" xfId="73" applyNumberFormat="1" applyFont="1" applyAlignment="1" applyProtection="1">
      <alignment horizontal="left"/>
    </xf>
    <xf numFmtId="37" fontId="25" fillId="0" borderId="0" xfId="73" applyNumberFormat="1" applyFont="1" applyProtection="1"/>
    <xf numFmtId="5" fontId="19" fillId="0" borderId="0" xfId="73" applyNumberFormat="1" applyFont="1" applyProtection="1"/>
    <xf numFmtId="37" fontId="19" fillId="0" borderId="0" xfId="73" applyNumberFormat="1" applyFont="1" applyProtection="1"/>
    <xf numFmtId="37" fontId="19" fillId="0" borderId="0" xfId="73" applyNumberFormat="1" applyFont="1"/>
    <xf numFmtId="37" fontId="46" fillId="0" borderId="0" xfId="73" applyNumberFormat="1" applyFont="1" applyFill="1" applyProtection="1"/>
    <xf numFmtId="0" fontId="34" fillId="0" borderId="5" xfId="73" applyFont="1" applyBorder="1" applyAlignment="1" applyProtection="1">
      <alignment horizontal="center"/>
    </xf>
    <xf numFmtId="0" fontId="34" fillId="0" borderId="0" xfId="73" applyFont="1" applyFill="1" applyAlignment="1">
      <alignment horizontal="center"/>
    </xf>
    <xf numFmtId="0" fontId="34" fillId="0" borderId="5" xfId="73" applyFont="1" applyFill="1" applyBorder="1" applyAlignment="1">
      <alignment horizontal="center"/>
    </xf>
    <xf numFmtId="0" fontId="19" fillId="0" borderId="0" xfId="73" quotePrefix="1" applyFont="1"/>
    <xf numFmtId="0" fontId="19" fillId="0" borderId="0" xfId="74" applyFont="1" applyAlignment="1" applyProtection="1">
      <alignment horizontal="center"/>
    </xf>
    <xf numFmtId="0" fontId="19" fillId="0" borderId="0" xfId="74" quotePrefix="1" applyFont="1" applyBorder="1" applyAlignment="1" applyProtection="1">
      <alignment horizontal="center"/>
    </xf>
    <xf numFmtId="178" fontId="19" fillId="0" borderId="0" xfId="74" applyNumberFormat="1" applyFont="1" applyAlignment="1" applyProtection="1">
      <alignment horizontal="left"/>
    </xf>
    <xf numFmtId="0" fontId="19" fillId="0" borderId="0" xfId="74" applyFont="1"/>
    <xf numFmtId="0" fontId="19" fillId="0" borderId="5" xfId="74" applyFont="1" applyBorder="1"/>
    <xf numFmtId="0" fontId="19" fillId="0" borderId="0" xfId="74" applyFont="1" applyBorder="1"/>
    <xf numFmtId="0" fontId="34" fillId="0" borderId="0" xfId="74" applyFont="1" applyBorder="1" applyAlignment="1">
      <alignment horizontal="center"/>
    </xf>
    <xf numFmtId="0" fontId="34" fillId="0" borderId="0" xfId="74" applyFont="1" applyAlignment="1">
      <alignment horizontal="center"/>
    </xf>
    <xf numFmtId="0" fontId="34" fillId="0" borderId="5" xfId="74" applyFont="1" applyBorder="1" applyAlignment="1">
      <alignment horizontal="center"/>
    </xf>
    <xf numFmtId="0" fontId="34" fillId="0" borderId="0" xfId="74" applyFont="1"/>
    <xf numFmtId="0" fontId="34" fillId="0" borderId="0" xfId="74" applyFont="1" applyAlignment="1" applyProtection="1">
      <alignment horizontal="center"/>
    </xf>
    <xf numFmtId="0" fontId="37" fillId="0" borderId="0" xfId="74" applyFont="1" applyAlignment="1" applyProtection="1">
      <alignment horizontal="center"/>
    </xf>
    <xf numFmtId="37" fontId="19" fillId="0" borderId="0" xfId="74" applyNumberFormat="1" applyFont="1" applyProtection="1"/>
    <xf numFmtId="5" fontId="19" fillId="0" borderId="0" xfId="74" applyNumberFormat="1" applyFont="1" applyProtection="1"/>
    <xf numFmtId="0" fontId="25" fillId="0" borderId="0" xfId="74" applyFont="1"/>
    <xf numFmtId="37" fontId="25" fillId="0" borderId="0" xfId="74" applyNumberFormat="1" applyFont="1" applyBorder="1" applyProtection="1"/>
    <xf numFmtId="37" fontId="19" fillId="0" borderId="0" xfId="74" applyNumberFormat="1" applyFont="1" applyBorder="1" applyProtection="1"/>
    <xf numFmtId="5" fontId="19" fillId="0" borderId="0" xfId="74" applyNumberFormat="1" applyFont="1" applyBorder="1" applyProtection="1"/>
    <xf numFmtId="37" fontId="19" fillId="0" borderId="0" xfId="74" applyNumberFormat="1" applyFont="1"/>
    <xf numFmtId="0" fontId="19" fillId="0" borderId="0" xfId="74" quotePrefix="1" applyFont="1" applyAlignment="1" applyProtection="1">
      <alignment horizontal="left"/>
    </xf>
    <xf numFmtId="0" fontId="34" fillId="0" borderId="0" xfId="74" applyFont="1" applyAlignment="1" applyProtection="1">
      <alignment horizontal="left"/>
    </xf>
    <xf numFmtId="5" fontId="34" fillId="0" borderId="0" xfId="74" applyNumberFormat="1" applyFont="1" applyProtection="1"/>
    <xf numFmtId="37" fontId="34" fillId="0" borderId="0" xfId="74" applyNumberFormat="1" applyFont="1" applyProtection="1"/>
    <xf numFmtId="0" fontId="34" fillId="0" borderId="5" xfId="74" quotePrefix="1" applyFont="1" applyBorder="1" applyAlignment="1">
      <alignment horizontal="center"/>
    </xf>
    <xf numFmtId="0" fontId="19" fillId="0" borderId="0" xfId="73" applyFont="1" applyAlignment="1" applyProtection="1">
      <alignment horizontal="right"/>
    </xf>
    <xf numFmtId="0" fontId="19" fillId="0" borderId="5" xfId="73" applyFont="1" applyBorder="1" applyAlignment="1" applyProtection="1">
      <alignment horizontal="right"/>
    </xf>
    <xf numFmtId="0" fontId="19" fillId="0" borderId="0" xfId="74" applyFont="1" applyAlignment="1" applyProtection="1">
      <alignment horizontal="right"/>
    </xf>
    <xf numFmtId="0" fontId="19" fillId="0" borderId="5" xfId="74" applyFont="1" applyBorder="1" applyAlignment="1" applyProtection="1">
      <alignment horizontal="right"/>
    </xf>
    <xf numFmtId="5" fontId="25" fillId="0" borderId="0" xfId="74" applyNumberFormat="1" applyFont="1" applyProtection="1"/>
    <xf numFmtId="37" fontId="25" fillId="0" borderId="0" xfId="74" applyNumberFormat="1" applyFont="1"/>
    <xf numFmtId="5" fontId="25" fillId="0" borderId="0" xfId="74" applyNumberFormat="1" applyFont="1" applyBorder="1" applyProtection="1"/>
    <xf numFmtId="0" fontId="25" fillId="0" borderId="0" xfId="74" applyFont="1" applyBorder="1"/>
    <xf numFmtId="37" fontId="25" fillId="0" borderId="0" xfId="74" applyNumberFormat="1" applyFont="1" applyBorder="1"/>
    <xf numFmtId="0" fontId="47" fillId="0" borderId="0" xfId="0" applyFont="1"/>
    <xf numFmtId="10" fontId="25" fillId="0" borderId="0" xfId="52" applyNumberFormat="1" applyFont="1" applyProtection="1"/>
    <xf numFmtId="37" fontId="47" fillId="0" borderId="0" xfId="0" applyNumberFormat="1" applyFont="1"/>
    <xf numFmtId="37" fontId="47" fillId="0" borderId="0" xfId="0" applyNumberFormat="1" applyFont="1" applyFill="1"/>
    <xf numFmtId="0" fontId="25" fillId="0" borderId="0" xfId="49" applyFont="1" applyAlignment="1" applyProtection="1">
      <alignment horizontal="left"/>
    </xf>
    <xf numFmtId="0" fontId="25" fillId="0" borderId="0" xfId="49" applyFont="1"/>
    <xf numFmtId="0" fontId="25" fillId="0" borderId="0" xfId="49" quotePrefix="1" applyFont="1" applyAlignment="1">
      <alignment horizontal="right"/>
    </xf>
    <xf numFmtId="0" fontId="25" fillId="0" borderId="0" xfId="52" applyFont="1"/>
    <xf numFmtId="37" fontId="43" fillId="0" borderId="0" xfId="0" applyNumberFormat="1" applyFont="1" applyFill="1" applyProtection="1"/>
    <xf numFmtId="37" fontId="20" fillId="0" borderId="0" xfId="0" applyNumberFormat="1" applyFont="1"/>
    <xf numFmtId="0" fontId="25" fillId="0" borderId="0" xfId="73" applyFont="1" applyAlignment="1" applyProtection="1">
      <alignment horizontal="center"/>
    </xf>
    <xf numFmtId="9" fontId="24" fillId="0" borderId="0" xfId="49" applyNumberFormat="1" applyFont="1" applyAlignment="1" applyProtection="1">
      <alignment horizontal="center"/>
    </xf>
    <xf numFmtId="0" fontId="18" fillId="0" borderId="0" xfId="0" applyFont="1" applyFill="1" applyProtection="1">
      <protection locked="0"/>
    </xf>
    <xf numFmtId="37" fontId="18" fillId="0" borderId="0" xfId="0" quotePrefix="1" applyNumberFormat="1" applyFont="1" applyFill="1"/>
    <xf numFmtId="37" fontId="18" fillId="0" borderId="0" xfId="0" applyNumberFormat="1" applyFont="1" applyAlignment="1" applyProtection="1">
      <alignment horizontal="center"/>
    </xf>
    <xf numFmtId="37" fontId="18" fillId="0" borderId="0" xfId="0" applyNumberFormat="1" applyFont="1" applyFill="1"/>
    <xf numFmtId="37" fontId="12" fillId="0" borderId="0" xfId="0" applyNumberFormat="1" applyFont="1"/>
    <xf numFmtId="37" fontId="9" fillId="0" borderId="0" xfId="0" applyNumberFormat="1" applyFont="1"/>
    <xf numFmtId="37" fontId="5" fillId="0" borderId="0" xfId="0" applyNumberFormat="1" applyFont="1"/>
    <xf numFmtId="0" fontId="18" fillId="0" borderId="0" xfId="0" applyFont="1" applyFill="1" applyBorder="1"/>
    <xf numFmtId="37" fontId="43" fillId="0" borderId="0" xfId="0" applyNumberFormat="1" applyFont="1" applyFill="1" applyBorder="1" applyProtection="1"/>
    <xf numFmtId="0" fontId="19" fillId="0" borderId="0" xfId="49" applyFont="1" applyAlignment="1">
      <alignment horizontal="left"/>
    </xf>
    <xf numFmtId="0" fontId="18" fillId="0" borderId="0" xfId="0" applyFont="1" applyFill="1" applyAlignment="1" applyProtection="1">
      <alignment horizontal="center"/>
    </xf>
    <xf numFmtId="37" fontId="19" fillId="0" borderId="5" xfId="0" applyNumberFormat="1" applyFont="1" applyFill="1" applyBorder="1" applyProtection="1">
      <protection locked="0"/>
    </xf>
    <xf numFmtId="37" fontId="19" fillId="0" borderId="0" xfId="0" applyNumberFormat="1" applyFont="1" applyFill="1" applyBorder="1" applyProtection="1">
      <protection locked="0"/>
    </xf>
    <xf numFmtId="37" fontId="19" fillId="0" borderId="6" xfId="0" applyNumberFormat="1" applyFont="1" applyFill="1" applyBorder="1" applyProtection="1">
      <protection locked="0"/>
    </xf>
    <xf numFmtId="37" fontId="19" fillId="0" borderId="0" xfId="55" applyFont="1" applyFill="1"/>
    <xf numFmtId="37" fontId="35" fillId="0" borderId="0" xfId="55" applyFont="1" applyFill="1" applyBorder="1"/>
    <xf numFmtId="37" fontId="43" fillId="0" borderId="5" xfId="0" applyNumberFormat="1" applyFont="1" applyFill="1" applyBorder="1" applyProtection="1"/>
    <xf numFmtId="37" fontId="18" fillId="0" borderId="0" xfId="0" applyNumberFormat="1" applyFont="1" applyFill="1" applyProtection="1"/>
    <xf numFmtId="0" fontId="18" fillId="0" borderId="6" xfId="0" applyFont="1" applyFill="1" applyBorder="1"/>
    <xf numFmtId="49" fontId="18" fillId="0" borderId="6" xfId="0" applyNumberFormat="1" applyFont="1" applyFill="1" applyBorder="1" applyAlignment="1" applyProtection="1">
      <alignment horizontal="center"/>
    </xf>
    <xf numFmtId="0" fontId="18" fillId="0" borderId="0" xfId="0" applyFont="1" applyFill="1" applyAlignment="1"/>
    <xf numFmtId="0" fontId="20" fillId="0" borderId="0" xfId="0" applyFont="1" applyFill="1"/>
    <xf numFmtId="37" fontId="18" fillId="0" borderId="5" xfId="0" applyNumberFormat="1" applyFont="1" applyFill="1" applyBorder="1"/>
    <xf numFmtId="0" fontId="14" fillId="0" borderId="0" xfId="0" applyFont="1" applyFill="1"/>
    <xf numFmtId="0" fontId="5" fillId="0" borderId="0" xfId="0" applyFont="1" applyFill="1"/>
    <xf numFmtId="49" fontId="18" fillId="0" borderId="5" xfId="0" applyNumberFormat="1" applyFont="1" applyFill="1" applyBorder="1" applyAlignment="1">
      <alignment horizontal="center"/>
    </xf>
    <xf numFmtId="41" fontId="18" fillId="0" borderId="0" xfId="0" applyNumberFormat="1" applyFont="1" applyFill="1"/>
    <xf numFmtId="0" fontId="18" fillId="0" borderId="0" xfId="0" applyFont="1" applyFill="1" applyAlignment="1" applyProtection="1">
      <alignment horizontal="left"/>
      <protection locked="0"/>
    </xf>
    <xf numFmtId="0" fontId="18" fillId="0" borderId="6" xfId="0" applyFont="1" applyFill="1" applyBorder="1" applyAlignment="1" applyProtection="1">
      <alignment horizontal="left"/>
      <protection locked="0"/>
    </xf>
    <xf numFmtId="37" fontId="18" fillId="0" borderId="0" xfId="0" applyNumberFormat="1" applyFont="1" applyFill="1" applyAlignment="1" applyProtection="1">
      <alignment horizontal="left"/>
    </xf>
    <xf numFmtId="37" fontId="18" fillId="0" borderId="0" xfId="0" applyNumberFormat="1" applyFont="1" applyFill="1" applyAlignment="1"/>
    <xf numFmtId="0" fontId="18" fillId="0" borderId="5" xfId="0" applyFont="1" applyFill="1" applyBorder="1"/>
    <xf numFmtId="0" fontId="34" fillId="0" borderId="0" xfId="74" quotePrefix="1" applyFont="1" applyBorder="1" applyAlignment="1">
      <alignment horizontal="center"/>
    </xf>
    <xf numFmtId="0" fontId="34" fillId="0" borderId="0" xfId="74" applyFont="1" applyBorder="1" applyAlignment="1" applyProtection="1">
      <alignment horizontal="center"/>
    </xf>
    <xf numFmtId="0" fontId="37" fillId="0" borderId="0" xfId="74" applyFont="1" applyBorder="1" applyAlignment="1" applyProtection="1">
      <alignment horizontal="center"/>
    </xf>
    <xf numFmtId="37" fontId="45" fillId="0" borderId="0" xfId="74" applyNumberFormat="1" applyFont="1" applyBorder="1" applyAlignment="1" applyProtection="1">
      <alignment horizontal="center"/>
    </xf>
    <xf numFmtId="37" fontId="19" fillId="0" borderId="0" xfId="74" applyNumberFormat="1" applyFont="1" applyBorder="1"/>
    <xf numFmtId="37" fontId="34" fillId="0" borderId="0" xfId="74" applyNumberFormat="1" applyFont="1" applyBorder="1" applyProtection="1"/>
    <xf numFmtId="0" fontId="34" fillId="0" borderId="0" xfId="74" applyFont="1" applyBorder="1"/>
    <xf numFmtId="0" fontId="19" fillId="0" borderId="0" xfId="74" applyFont="1" applyBorder="1" applyAlignment="1" applyProtection="1">
      <alignment horizontal="right"/>
    </xf>
    <xf numFmtId="0" fontId="19" fillId="0" borderId="0" xfId="74" applyFont="1" applyAlignment="1" applyProtection="1"/>
    <xf numFmtId="0" fontId="19" fillId="0" borderId="0" xfId="74" quotePrefix="1" applyFont="1" applyBorder="1" applyAlignment="1" applyProtection="1"/>
    <xf numFmtId="0" fontId="34" fillId="0" borderId="0" xfId="74" applyFont="1" applyBorder="1" applyAlignment="1"/>
    <xf numFmtId="0" fontId="19" fillId="0" borderId="0" xfId="0" applyFont="1" applyFill="1" applyAlignment="1">
      <alignment horizontal="center"/>
    </xf>
    <xf numFmtId="37" fontId="25" fillId="0" borderId="0" xfId="73" applyNumberFormat="1" applyFont="1" applyFill="1" applyProtection="1"/>
    <xf numFmtId="37" fontId="25" fillId="0" borderId="0" xfId="73" applyNumberFormat="1" applyFont="1" applyFill="1"/>
    <xf numFmtId="37" fontId="25" fillId="0" borderId="0" xfId="63" applyFont="1" applyFill="1"/>
    <xf numFmtId="37" fontId="25" fillId="0" borderId="5" xfId="63" applyFont="1" applyFill="1" applyBorder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80" fontId="25" fillId="0" borderId="0" xfId="59" applyNumberFormat="1" applyFont="1" applyAlignment="1">
      <alignment horizontal="center"/>
    </xf>
    <xf numFmtId="37" fontId="25" fillId="0" borderId="0" xfId="0" applyNumberFormat="1" applyFont="1" applyFill="1"/>
    <xf numFmtId="37" fontId="25" fillId="0" borderId="0" xfId="0" applyNumberFormat="1" applyFont="1" applyFill="1" applyBorder="1"/>
    <xf numFmtId="37" fontId="25" fillId="0" borderId="5" xfId="0" applyNumberFormat="1" applyFont="1" applyFill="1" applyBorder="1"/>
    <xf numFmtId="175" fontId="19" fillId="0" borderId="0" xfId="0" applyNumberFormat="1" applyFont="1"/>
    <xf numFmtId="175" fontId="19" fillId="0" borderId="0" xfId="0" applyNumberFormat="1" applyFont="1" applyBorder="1"/>
    <xf numFmtId="175" fontId="3" fillId="0" borderId="0" xfId="59" applyNumberFormat="1" applyFont="1"/>
    <xf numFmtId="37" fontId="3" fillId="5" borderId="0" xfId="59" applyFont="1" applyFill="1"/>
    <xf numFmtId="37" fontId="25" fillId="5" borderId="0" xfId="0" applyNumberFormat="1" applyFont="1" applyFill="1" applyAlignment="1">
      <alignment horizontal="right"/>
    </xf>
    <xf numFmtId="37" fontId="19" fillId="5" borderId="0" xfId="0" applyNumberFormat="1" applyFont="1" applyFill="1"/>
    <xf numFmtId="175" fontId="19" fillId="5" borderId="0" xfId="0" applyNumberFormat="1" applyFont="1" applyFill="1"/>
    <xf numFmtId="37" fontId="19" fillId="0" borderId="0" xfId="0" applyNumberFormat="1" applyFont="1" applyFill="1"/>
    <xf numFmtId="37" fontId="3" fillId="0" borderId="0" xfId="59" applyFont="1" applyFill="1"/>
    <xf numFmtId="176" fontId="25" fillId="0" borderId="0" xfId="64" applyNumberFormat="1" applyFont="1" applyFill="1" applyProtection="1"/>
    <xf numFmtId="37" fontId="3" fillId="0" borderId="0" xfId="0" applyNumberFormat="1" applyFont="1" applyFill="1"/>
    <xf numFmtId="5" fontId="25" fillId="0" borderId="0" xfId="58" applyNumberFormat="1" applyFont="1" applyFill="1"/>
    <xf numFmtId="37" fontId="25" fillId="0" borderId="0" xfId="60" applyFont="1" applyFill="1"/>
    <xf numFmtId="37" fontId="25" fillId="0" borderId="0" xfId="60" applyNumberFormat="1" applyFont="1" applyFill="1"/>
    <xf numFmtId="37" fontId="19" fillId="0" borderId="0" xfId="60" quotePrefix="1" applyFont="1"/>
    <xf numFmtId="37" fontId="35" fillId="0" borderId="0" xfId="60" applyFont="1" applyFill="1"/>
    <xf numFmtId="37" fontId="19" fillId="0" borderId="0" xfId="60" applyFont="1" applyFill="1"/>
    <xf numFmtId="37" fontId="19" fillId="0" borderId="0" xfId="60" applyNumberFormat="1" applyFont="1" applyFill="1"/>
    <xf numFmtId="37" fontId="35" fillId="0" borderId="0" xfId="60" applyNumberFormat="1" applyFont="1" applyFill="1"/>
    <xf numFmtId="0" fontId="25" fillId="0" borderId="0" xfId="0" applyFont="1" applyAlignment="1" applyProtection="1">
      <alignment horizontal="center"/>
    </xf>
    <xf numFmtId="176" fontId="25" fillId="0" borderId="6" xfId="64" applyNumberFormat="1" applyFont="1" applyFill="1" applyBorder="1" applyProtection="1"/>
    <xf numFmtId="37" fontId="25" fillId="0" borderId="0" xfId="53" applyNumberFormat="1" applyFont="1"/>
    <xf numFmtId="37" fontId="25" fillId="0" borderId="0" xfId="38" applyNumberFormat="1" applyFont="1" applyFill="1"/>
    <xf numFmtId="37" fontId="25" fillId="0" borderId="5" xfId="39" applyNumberFormat="1" applyFont="1" applyFill="1" applyBorder="1"/>
    <xf numFmtId="37" fontId="25" fillId="0" borderId="0" xfId="54" applyFont="1" applyFill="1"/>
    <xf numFmtId="37" fontId="25" fillId="0" borderId="6" xfId="0" applyNumberFormat="1" applyFont="1" applyFill="1" applyBorder="1" applyProtection="1"/>
    <xf numFmtId="37" fontId="25" fillId="0" borderId="0" xfId="42" applyNumberFormat="1" applyFont="1" applyFill="1" applyProtection="1"/>
    <xf numFmtId="37" fontId="25" fillId="0" borderId="0" xfId="61" applyFont="1"/>
    <xf numFmtId="37" fontId="19" fillId="0" borderId="0" xfId="61" applyFont="1" applyFill="1" applyAlignment="1">
      <alignment horizontal="center"/>
    </xf>
    <xf numFmtId="37" fontId="19" fillId="0" borderId="0" xfId="61" applyFont="1" applyFill="1"/>
    <xf numFmtId="37" fontId="3" fillId="0" borderId="0" xfId="61" applyFont="1" applyFill="1"/>
    <xf numFmtId="37" fontId="19" fillId="0" borderId="0" xfId="61" applyNumberFormat="1" applyFont="1" applyFill="1"/>
    <xf numFmtId="10" fontId="25" fillId="0" borderId="0" xfId="0" applyNumberFormat="1" applyFont="1" applyProtection="1"/>
    <xf numFmtId="5" fontId="19" fillId="0" borderId="0" xfId="58" applyNumberFormat="1" applyFont="1" applyFill="1"/>
    <xf numFmtId="5" fontId="35" fillId="0" borderId="0" xfId="58" applyNumberFormat="1" applyFont="1" applyFill="1"/>
    <xf numFmtId="0" fontId="25" fillId="0" borderId="5" xfId="52" applyFont="1" applyBorder="1" applyAlignment="1">
      <alignment horizontal="center"/>
    </xf>
    <xf numFmtId="39" fontId="19" fillId="0" borderId="0" xfId="49" applyNumberFormat="1" applyFont="1" applyFill="1" applyAlignment="1" applyProtection="1">
      <alignment horizontal="right"/>
    </xf>
    <xf numFmtId="170" fontId="19" fillId="0" borderId="0" xfId="49" applyNumberFormat="1" applyFont="1" applyFill="1" applyProtection="1"/>
    <xf numFmtId="37" fontId="19" fillId="0" borderId="0" xfId="49" applyNumberFormat="1" applyFont="1" applyFill="1"/>
    <xf numFmtId="39" fontId="9" fillId="0" borderId="0" xfId="49" applyNumberFormat="1" applyFont="1"/>
    <xf numFmtId="39" fontId="19" fillId="0" borderId="0" xfId="49" applyNumberFormat="1" applyFont="1" applyAlignment="1">
      <alignment horizontal="left"/>
    </xf>
    <xf numFmtId="39" fontId="25" fillId="0" borderId="0" xfId="49" applyNumberFormat="1" applyFont="1" applyFill="1" applyProtection="1"/>
    <xf numFmtId="37" fontId="25" fillId="0" borderId="0" xfId="54" applyNumberFormat="1" applyFont="1" applyFill="1"/>
    <xf numFmtId="37" fontId="25" fillId="0" borderId="5" xfId="54" applyNumberFormat="1" applyFont="1" applyFill="1" applyBorder="1"/>
    <xf numFmtId="0" fontId="21" fillId="0" borderId="0" xfId="0" applyFont="1" applyBorder="1" applyAlignment="1">
      <alignment horizontal="center"/>
    </xf>
    <xf numFmtId="37" fontId="21" fillId="0" borderId="0" xfId="55" applyFont="1" applyBorder="1" applyAlignment="1">
      <alignment horizontal="center"/>
    </xf>
    <xf numFmtId="37" fontId="35" fillId="0" borderId="0" xfId="55" applyFont="1"/>
    <xf numFmtId="37" fontId="21" fillId="0" borderId="0" xfId="55" applyFont="1"/>
    <xf numFmtId="37" fontId="19" fillId="0" borderId="0" xfId="55" applyFont="1" applyBorder="1" applyAlignment="1" applyProtection="1">
      <alignment horizontal="center"/>
    </xf>
    <xf numFmtId="37" fontId="21" fillId="0" borderId="0" xfId="55" quotePrefix="1" applyFont="1" applyBorder="1" applyAlignment="1">
      <alignment horizontal="center"/>
    </xf>
    <xf numFmtId="37" fontId="21" fillId="0" borderId="0" xfId="55" applyFont="1" applyFill="1"/>
    <xf numFmtId="37" fontId="19" fillId="0" borderId="0" xfId="55" quotePrefix="1" applyFont="1" applyBorder="1" applyAlignment="1">
      <alignment horizontal="center"/>
    </xf>
    <xf numFmtId="37" fontId="19" fillId="0" borderId="0" xfId="40" applyNumberFormat="1" applyFont="1" applyBorder="1" applyAlignment="1" applyProtection="1">
      <alignment horizontal="center"/>
    </xf>
    <xf numFmtId="37" fontId="19" fillId="0" borderId="0" xfId="40" quotePrefix="1" applyNumberFormat="1" applyFont="1" applyBorder="1" applyAlignment="1" applyProtection="1">
      <alignment horizontal="center"/>
    </xf>
    <xf numFmtId="179" fontId="25" fillId="0" borderId="0" xfId="75" applyNumberFormat="1" applyFont="1" applyFill="1" applyProtection="1"/>
    <xf numFmtId="183" fontId="25" fillId="0" borderId="0" xfId="0" applyNumberFormat="1" applyFont="1" applyFill="1"/>
    <xf numFmtId="179" fontId="25" fillId="0" borderId="0" xfId="75" applyNumberFormat="1" applyFont="1" applyFill="1" applyAlignment="1" applyProtection="1">
      <alignment horizontal="center"/>
    </xf>
    <xf numFmtId="179" fontId="25" fillId="0" borderId="0" xfId="75" applyNumberFormat="1" applyFont="1" applyFill="1" applyAlignment="1" applyProtection="1">
      <alignment horizontal="right"/>
    </xf>
    <xf numFmtId="37" fontId="25" fillId="0" borderId="5" xfId="49" applyNumberFormat="1" applyFont="1" applyFill="1" applyBorder="1" applyProtection="1"/>
    <xf numFmtId="0" fontId="9" fillId="0" borderId="0" xfId="74" quotePrefix="1" applyFont="1"/>
    <xf numFmtId="39" fontId="9" fillId="0" borderId="0" xfId="74" applyNumberFormat="1"/>
    <xf numFmtId="39" fontId="9" fillId="0" borderId="0" xfId="74" applyNumberFormat="1" applyBorder="1"/>
    <xf numFmtId="0" fontId="34" fillId="0" borderId="0" xfId="0" applyFont="1" applyFill="1"/>
    <xf numFmtId="0" fontId="25" fillId="0" borderId="0" xfId="0" applyFont="1" applyFill="1"/>
    <xf numFmtId="0" fontId="19" fillId="0" borderId="0" xfId="0" applyFont="1" applyFill="1" applyBorder="1"/>
    <xf numFmtId="181" fontId="25" fillId="0" borderId="0" xfId="0" quotePrefix="1" applyNumberFormat="1" applyFont="1"/>
    <xf numFmtId="37" fontId="21" fillId="0" borderId="0" xfId="0" applyNumberFormat="1" applyFont="1" applyFill="1" applyProtection="1">
      <protection locked="0"/>
    </xf>
    <xf numFmtId="0" fontId="37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45" fillId="0" borderId="0" xfId="0" applyNumberFormat="1" applyFont="1" applyFill="1" applyAlignment="1">
      <alignment horizontal="center"/>
    </xf>
    <xf numFmtId="37" fontId="35" fillId="0" borderId="0" xfId="0" applyNumberFormat="1" applyFont="1" applyFill="1" applyProtection="1"/>
    <xf numFmtId="165" fontId="25" fillId="0" borderId="0" xfId="0" applyNumberFormat="1" applyFont="1" applyFill="1" applyProtection="1"/>
    <xf numFmtId="39" fontId="19" fillId="0" borderId="0" xfId="0" applyNumberFormat="1" applyFont="1" applyFill="1" applyProtection="1"/>
    <xf numFmtId="174" fontId="19" fillId="0" borderId="0" xfId="0" applyNumberFormat="1" applyFont="1" applyFill="1" applyProtection="1"/>
    <xf numFmtId="0" fontId="19" fillId="0" borderId="0" xfId="0" quotePrefix="1" applyFont="1" applyFill="1"/>
    <xf numFmtId="0" fontId="25" fillId="0" borderId="0" xfId="0" quotePrefix="1" applyFont="1" applyFill="1"/>
    <xf numFmtId="0" fontId="19" fillId="0" borderId="0" xfId="0" applyFont="1" applyFill="1" applyProtection="1">
      <protection locked="0"/>
    </xf>
    <xf numFmtId="0" fontId="19" fillId="0" borderId="0" xfId="0" quotePrefix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7" fontId="21" fillId="0" borderId="0" xfId="54" applyFont="1" applyAlignment="1">
      <alignment horizontal="center"/>
    </xf>
    <xf numFmtId="174" fontId="19" fillId="0" borderId="0" xfId="54" applyNumberFormat="1" applyFont="1"/>
    <xf numFmtId="174" fontId="35" fillId="0" borderId="0" xfId="0" applyNumberFormat="1" applyFont="1" applyFill="1" applyProtection="1"/>
    <xf numFmtId="174" fontId="19" fillId="0" borderId="0" xfId="0" applyNumberFormat="1" applyFont="1" applyFill="1" applyProtection="1">
      <protection locked="0"/>
    </xf>
    <xf numFmtId="37" fontId="19" fillId="0" borderId="0" xfId="54" applyFont="1" applyBorder="1" applyAlignment="1">
      <alignment horizontal="center"/>
    </xf>
    <xf numFmtId="174" fontId="21" fillId="0" borderId="0" xfId="0" applyNumberFormat="1" applyFont="1" applyFill="1"/>
    <xf numFmtId="37" fontId="21" fillId="0" borderId="0" xfId="0" applyNumberFormat="1" applyFont="1" applyFill="1" applyProtection="1"/>
    <xf numFmtId="37" fontId="19" fillId="0" borderId="0" xfId="54" applyNumberFormat="1" applyFont="1" applyFill="1"/>
    <xf numFmtId="37" fontId="21" fillId="0" borderId="0" xfId="54" applyNumberFormat="1" applyFont="1" applyFill="1" applyBorder="1"/>
    <xf numFmtId="0" fontId="37" fillId="0" borderId="0" xfId="0" applyFont="1" applyFill="1" applyAlignment="1">
      <alignment horizontal="left"/>
    </xf>
    <xf numFmtId="14" fontId="25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wrapText="1"/>
    </xf>
    <xf numFmtId="37" fontId="34" fillId="0" borderId="0" xfId="54" applyFont="1" applyAlignment="1">
      <alignment horizontal="right"/>
    </xf>
    <xf numFmtId="37" fontId="34" fillId="0" borderId="0" xfId="54" applyFont="1"/>
    <xf numFmtId="37" fontId="34" fillId="0" borderId="0" xfId="58" applyFont="1" applyAlignment="1">
      <alignment horizontal="left"/>
    </xf>
    <xf numFmtId="37" fontId="34" fillId="0" borderId="0" xfId="58" applyFont="1" applyAlignment="1">
      <alignment horizontal="right"/>
    </xf>
    <xf numFmtId="37" fontId="34" fillId="0" borderId="0" xfId="54" applyNumberFormat="1" applyFont="1"/>
    <xf numFmtId="37" fontId="19" fillId="0" borderId="5" xfId="54" applyFont="1" applyFill="1" applyBorder="1" applyAlignment="1">
      <alignment horizontal="center"/>
    </xf>
    <xf numFmtId="37" fontId="35" fillId="0" borderId="0" xfId="54" applyNumberFormat="1" applyFont="1" applyFill="1"/>
    <xf numFmtId="9" fontId="19" fillId="0" borderId="0" xfId="54" applyNumberFormat="1" applyFont="1" applyAlignment="1">
      <alignment horizontal="center"/>
    </xf>
    <xf numFmtId="0" fontId="34" fillId="0" borderId="0" xfId="73" applyFont="1" applyBorder="1"/>
    <xf numFmtId="0" fontId="34" fillId="0" borderId="0" xfId="73" applyFont="1" applyFill="1" applyBorder="1"/>
    <xf numFmtId="0" fontId="19" fillId="0" borderId="0" xfId="73" applyFont="1" applyFill="1" applyBorder="1"/>
    <xf numFmtId="0" fontId="34" fillId="0" borderId="0" xfId="73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/>
    <xf numFmtId="0" fontId="49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3" xfId="0" applyFont="1" applyBorder="1"/>
    <xf numFmtId="0" fontId="49" fillId="0" borderId="0" xfId="0" applyFont="1" applyBorder="1" applyAlignment="1">
      <alignment horizontal="center"/>
    </xf>
    <xf numFmtId="17" fontId="52" fillId="0" borderId="0" xfId="0" applyNumberFormat="1" applyFont="1"/>
    <xf numFmtId="37" fontId="49" fillId="0" borderId="0" xfId="0" applyNumberFormat="1" applyFont="1"/>
    <xf numFmtId="37" fontId="52" fillId="0" borderId="0" xfId="0" applyNumberFormat="1" applyFont="1"/>
    <xf numFmtId="177" fontId="49" fillId="0" borderId="0" xfId="0" applyNumberFormat="1" applyFont="1"/>
    <xf numFmtId="5" fontId="49" fillId="0" borderId="0" xfId="0" applyNumberFormat="1" applyFont="1"/>
    <xf numFmtId="5" fontId="52" fillId="0" borderId="0" xfId="0" applyNumberFormat="1" applyFont="1"/>
    <xf numFmtId="17" fontId="49" fillId="0" borderId="0" xfId="0" applyNumberFormat="1" applyFont="1"/>
    <xf numFmtId="37" fontId="49" fillId="0" borderId="0" xfId="0" applyNumberFormat="1" applyFont="1" applyFill="1"/>
    <xf numFmtId="177" fontId="52" fillId="0" borderId="0" xfId="0" applyNumberFormat="1" applyFont="1" applyFill="1"/>
    <xf numFmtId="5" fontId="49" fillId="0" borderId="0" xfId="0" applyNumberFormat="1" applyFont="1" applyFill="1"/>
    <xf numFmtId="37" fontId="52" fillId="0" borderId="0" xfId="0" applyNumberFormat="1" applyFont="1" applyFill="1"/>
    <xf numFmtId="0" fontId="49" fillId="0" borderId="0" xfId="0" applyFont="1" applyFill="1"/>
    <xf numFmtId="177" fontId="49" fillId="0" borderId="0" xfId="0" applyNumberFormat="1" applyFont="1" applyFill="1"/>
    <xf numFmtId="5" fontId="53" fillId="0" borderId="13" xfId="0" applyNumberFormat="1" applyFont="1" applyFill="1" applyBorder="1"/>
    <xf numFmtId="0" fontId="9" fillId="0" borderId="5" xfId="73" applyBorder="1"/>
    <xf numFmtId="5" fontId="49" fillId="0" borderId="0" xfId="0" applyNumberFormat="1" applyFont="1" applyBorder="1" applyAlignment="1">
      <alignment horizontal="center"/>
    </xf>
    <xf numFmtId="184" fontId="49" fillId="0" borderId="0" xfId="0" applyNumberFormat="1" applyFont="1"/>
    <xf numFmtId="5" fontId="53" fillId="0" borderId="13" xfId="0" applyNumberFormat="1" applyFont="1" applyBorder="1"/>
    <xf numFmtId="37" fontId="25" fillId="0" borderId="0" xfId="55" applyFont="1" applyFill="1"/>
    <xf numFmtId="37" fontId="25" fillId="0" borderId="0" xfId="55" applyFont="1" applyFill="1" applyBorder="1"/>
    <xf numFmtId="37" fontId="19" fillId="0" borderId="0" xfId="55" applyFont="1" applyFill="1" applyBorder="1"/>
    <xf numFmtId="37" fontId="25" fillId="0" borderId="5" xfId="55" applyFont="1" applyFill="1" applyBorder="1"/>
    <xf numFmtId="37" fontId="19" fillId="0" borderId="0" xfId="55" applyFont="1" applyBorder="1" applyAlignment="1">
      <alignment horizontal="center"/>
    </xf>
    <xf numFmtId="182" fontId="19" fillId="0" borderId="0" xfId="0" applyNumberFormat="1" applyFont="1" applyBorder="1" applyAlignment="1">
      <alignment horizontal="center"/>
    </xf>
    <xf numFmtId="10" fontId="19" fillId="0" borderId="0" xfId="55" applyNumberFormat="1" applyFont="1"/>
    <xf numFmtId="37" fontId="25" fillId="0" borderId="6" xfId="71" applyNumberFormat="1" applyFont="1" applyFill="1" applyBorder="1"/>
    <xf numFmtId="10" fontId="25" fillId="0" borderId="0" xfId="71" applyNumberFormat="1" applyFont="1" applyFill="1"/>
    <xf numFmtId="17" fontId="25" fillId="0" borderId="0" xfId="71" applyNumberFormat="1" applyFont="1" applyFill="1"/>
    <xf numFmtId="10" fontId="25" fillId="0" borderId="5" xfId="71" applyNumberFormat="1" applyFont="1" applyFill="1" applyBorder="1"/>
    <xf numFmtId="37" fontId="19" fillId="0" borderId="0" xfId="55" quotePrefix="1" applyFont="1" applyBorder="1" applyAlignment="1" applyProtection="1">
      <alignment horizontal="center"/>
    </xf>
    <xf numFmtId="175" fontId="19" fillId="0" borderId="0" xfId="55" applyNumberFormat="1" applyFont="1"/>
    <xf numFmtId="175" fontId="21" fillId="0" borderId="0" xfId="55" applyNumberFormat="1" applyFont="1"/>
    <xf numFmtId="175" fontId="25" fillId="0" borderId="0" xfId="55" applyNumberFormat="1" applyFont="1"/>
    <xf numFmtId="37" fontId="21" fillId="0" borderId="0" xfId="55" applyFont="1" applyFill="1" applyBorder="1" applyAlignment="1">
      <alignment horizontal="center"/>
    </xf>
    <xf numFmtId="37" fontId="18" fillId="0" borderId="0" xfId="55" applyFont="1" applyBorder="1" applyAlignment="1" applyProtection="1">
      <alignment horizontal="center"/>
    </xf>
    <xf numFmtId="37" fontId="18" fillId="0" borderId="0" xfId="55" applyFont="1" applyBorder="1" applyAlignment="1">
      <alignment horizontal="center"/>
    </xf>
    <xf numFmtId="37" fontId="20" fillId="0" borderId="0" xfId="55" quotePrefix="1" applyFont="1" applyBorder="1" applyAlignment="1">
      <alignment horizontal="center"/>
    </xf>
    <xf numFmtId="0" fontId="47" fillId="0" borderId="0" xfId="0" applyFont="1" applyFill="1"/>
    <xf numFmtId="39" fontId="47" fillId="0" borderId="0" xfId="0" applyNumberFormat="1" applyFont="1" applyFill="1"/>
    <xf numFmtId="37" fontId="19" fillId="0" borderId="0" xfId="55" applyFont="1" applyFill="1" applyAlignment="1">
      <alignment horizontal="center"/>
    </xf>
    <xf numFmtId="37" fontId="25" fillId="0" borderId="0" xfId="55" applyNumberFormat="1" applyFont="1" applyFill="1" applyAlignment="1">
      <alignment horizontal="right"/>
    </xf>
    <xf numFmtId="37" fontId="19" fillId="0" borderId="0" xfId="55" applyNumberFormat="1" applyFont="1" applyFill="1" applyAlignment="1">
      <alignment horizontal="right"/>
    </xf>
    <xf numFmtId="37" fontId="19" fillId="0" borderId="0" xfId="55" applyNumberFormat="1" applyFont="1" applyFill="1"/>
    <xf numFmtId="37" fontId="19" fillId="0" borderId="0" xfId="55" applyNumberFormat="1" applyFont="1" applyFill="1" applyBorder="1"/>
    <xf numFmtId="37" fontId="25" fillId="0" borderId="5" xfId="55" applyNumberFormat="1" applyFont="1" applyFill="1" applyBorder="1" applyAlignment="1">
      <alignment horizontal="right"/>
    </xf>
    <xf numFmtId="37" fontId="19" fillId="0" borderId="0" xfId="55" applyNumberFormat="1" applyFont="1" applyFill="1" applyBorder="1" applyAlignment="1">
      <alignment horizontal="right"/>
    </xf>
    <xf numFmtId="37" fontId="19" fillId="0" borderId="0" xfId="55" applyNumberFormat="1" applyFont="1" applyFill="1" applyAlignment="1">
      <alignment horizontal="center"/>
    </xf>
    <xf numFmtId="37" fontId="25" fillId="0" borderId="0" xfId="55" applyNumberFormat="1" applyFont="1" applyFill="1" applyBorder="1" applyAlignment="1">
      <alignment horizontal="right"/>
    </xf>
    <xf numFmtId="0" fontId="34" fillId="0" borderId="0" xfId="66" applyFont="1" applyAlignment="1"/>
    <xf numFmtId="0" fontId="1" fillId="0" borderId="0" xfId="66"/>
    <xf numFmtId="43" fontId="1" fillId="0" borderId="0" xfId="38" applyFont="1"/>
    <xf numFmtId="43" fontId="1" fillId="0" borderId="0" xfId="38" applyFont="1" applyFill="1"/>
    <xf numFmtId="10" fontId="1" fillId="0" borderId="0" xfId="75" applyNumberFormat="1" applyFont="1"/>
    <xf numFmtId="43" fontId="1" fillId="0" borderId="0" xfId="38" applyFont="1" applyAlignment="1">
      <alignment horizontal="center"/>
    </xf>
    <xf numFmtId="43" fontId="1" fillId="0" borderId="0" xfId="38" applyFont="1" applyFill="1" applyAlignment="1">
      <alignment horizontal="center"/>
    </xf>
    <xf numFmtId="0" fontId="1" fillId="0" borderId="0" xfId="38" applyNumberFormat="1" applyFont="1" applyAlignment="1">
      <alignment horizontal="center"/>
    </xf>
    <xf numFmtId="10" fontId="1" fillId="0" borderId="0" xfId="75" applyNumberFormat="1" applyFont="1" applyAlignment="1">
      <alignment horizontal="center"/>
    </xf>
    <xf numFmtId="0" fontId="1" fillId="0" borderId="0" xfId="66" applyAlignment="1">
      <alignment horizontal="center"/>
    </xf>
    <xf numFmtId="0" fontId="1" fillId="0" borderId="5" xfId="38" applyNumberFormat="1" applyFont="1" applyBorder="1" applyAlignment="1">
      <alignment horizontal="center"/>
    </xf>
    <xf numFmtId="0" fontId="1" fillId="0" borderId="5" xfId="66" applyBorder="1" applyAlignment="1">
      <alignment horizontal="center"/>
    </xf>
    <xf numFmtId="0" fontId="1" fillId="0" borderId="0" xfId="38" applyNumberFormat="1" applyFont="1" applyBorder="1" applyAlignment="1">
      <alignment horizontal="center"/>
    </xf>
    <xf numFmtId="0" fontId="1" fillId="0" borderId="0" xfId="38" applyNumberFormat="1" applyFont="1" applyFill="1" applyBorder="1" applyAlignment="1">
      <alignment horizontal="center"/>
    </xf>
    <xf numFmtId="43" fontId="1" fillId="0" borderId="0" xfId="38" applyFont="1" applyBorder="1" applyAlignment="1">
      <alignment horizontal="center"/>
    </xf>
    <xf numFmtId="10" fontId="1" fillId="0" borderId="0" xfId="75" applyNumberFormat="1" applyFont="1" applyBorder="1" applyAlignment="1">
      <alignment horizontal="center"/>
    </xf>
    <xf numFmtId="0" fontId="1" fillId="0" borderId="0" xfId="66" applyBorder="1"/>
    <xf numFmtId="171" fontId="1" fillId="0" borderId="0" xfId="66" applyNumberFormat="1" applyBorder="1"/>
    <xf numFmtId="171" fontId="1" fillId="0" borderId="0" xfId="38" applyNumberFormat="1" applyFont="1" applyFill="1"/>
    <xf numFmtId="171" fontId="1" fillId="0" borderId="0" xfId="38" applyNumberFormat="1" applyFont="1"/>
    <xf numFmtId="171" fontId="1" fillId="0" borderId="0" xfId="39" applyNumberFormat="1" applyFont="1" applyFill="1" applyBorder="1"/>
    <xf numFmtId="44" fontId="1" fillId="0" borderId="0" xfId="39" applyFont="1" applyBorder="1"/>
    <xf numFmtId="0" fontId="19" fillId="0" borderId="0" xfId="67" applyFont="1"/>
    <xf numFmtId="0" fontId="34" fillId="0" borderId="0" xfId="67" applyFont="1"/>
    <xf numFmtId="0" fontId="34" fillId="0" borderId="0" xfId="67" applyFont="1" applyAlignment="1">
      <alignment horizontal="center"/>
    </xf>
    <xf numFmtId="0" fontId="34" fillId="0" borderId="0" xfId="67" applyFont="1" applyAlignment="1"/>
    <xf numFmtId="0" fontId="34" fillId="0" borderId="0" xfId="67" applyFont="1" applyAlignment="1" applyProtection="1">
      <alignment horizontal="center"/>
    </xf>
    <xf numFmtId="0" fontId="37" fillId="0" borderId="0" xfId="67" applyFont="1" applyAlignment="1" applyProtection="1">
      <alignment horizontal="center"/>
    </xf>
    <xf numFmtId="0" fontId="37" fillId="0" borderId="0" xfId="67" applyFont="1"/>
    <xf numFmtId="0" fontId="37" fillId="0" borderId="0" xfId="67" applyFont="1" applyAlignment="1">
      <alignment horizontal="center"/>
    </xf>
    <xf numFmtId="39" fontId="1" fillId="0" borderId="0" xfId="67" applyNumberFormat="1"/>
    <xf numFmtId="0" fontId="1" fillId="0" borderId="0" xfId="67"/>
    <xf numFmtId="185" fontId="34" fillId="0" borderId="0" xfId="67" applyNumberFormat="1" applyFont="1" applyAlignment="1">
      <alignment horizontal="center"/>
    </xf>
    <xf numFmtId="0" fontId="19" fillId="0" borderId="0" xfId="67" applyFont="1" applyAlignment="1" applyProtection="1">
      <alignment horizontal="center"/>
    </xf>
    <xf numFmtId="0" fontId="1" fillId="0" borderId="0" xfId="67" applyBorder="1"/>
    <xf numFmtId="171" fontId="78" fillId="0" borderId="0" xfId="67" applyNumberFormat="1" applyFont="1" applyBorder="1"/>
    <xf numFmtId="10" fontId="78" fillId="0" borderId="0" xfId="75" applyNumberFormat="1" applyFont="1"/>
    <xf numFmtId="37" fontId="1" fillId="0" borderId="0" xfId="67" applyNumberFormat="1"/>
    <xf numFmtId="0" fontId="19" fillId="0" borderId="0" xfId="67" applyFont="1" applyFill="1"/>
    <xf numFmtId="171" fontId="78" fillId="0" borderId="0" xfId="38" applyNumberFormat="1" applyFont="1" applyFill="1"/>
    <xf numFmtId="10" fontId="78" fillId="0" borderId="0" xfId="75" applyNumberFormat="1" applyFont="1" applyFill="1" applyBorder="1"/>
    <xf numFmtId="37" fontId="1" fillId="0" borderId="5" xfId="67" applyNumberFormat="1" applyFill="1" applyBorder="1"/>
    <xf numFmtId="43" fontId="78" fillId="0" borderId="0" xfId="38" applyFont="1"/>
    <xf numFmtId="10" fontId="78" fillId="0" borderId="0" xfId="75" applyNumberFormat="1" applyFont="1" applyBorder="1"/>
    <xf numFmtId="37" fontId="1" fillId="0" borderId="0" xfId="67" applyNumberFormat="1" applyBorder="1"/>
    <xf numFmtId="37" fontId="78" fillId="0" borderId="0" xfId="67" applyNumberFormat="1" applyFont="1" applyFill="1" applyBorder="1"/>
    <xf numFmtId="171" fontId="78" fillId="0" borderId="0" xfId="38" applyNumberFormat="1" applyFont="1"/>
    <xf numFmtId="43" fontId="19" fillId="0" borderId="0" xfId="38" applyFont="1"/>
    <xf numFmtId="10" fontId="1" fillId="0" borderId="0" xfId="75" applyNumberFormat="1" applyFont="1" applyBorder="1"/>
    <xf numFmtId="37" fontId="19" fillId="0" borderId="8" xfId="38" applyNumberFormat="1" applyFont="1" applyBorder="1"/>
    <xf numFmtId="43" fontId="19" fillId="0" borderId="0" xfId="38" applyFont="1" applyBorder="1"/>
    <xf numFmtId="0" fontId="19" fillId="0" borderId="0" xfId="67" applyFont="1" applyAlignment="1" applyProtection="1">
      <alignment horizontal="left"/>
    </xf>
    <xf numFmtId="37" fontId="19" fillId="0" borderId="0" xfId="67" applyNumberFormat="1" applyFont="1"/>
    <xf numFmtId="0" fontId="19" fillId="0" borderId="0" xfId="68" applyFont="1"/>
    <xf numFmtId="0" fontId="34" fillId="0" borderId="0" xfId="68" applyFont="1"/>
    <xf numFmtId="0" fontId="1" fillId="0" borderId="0" xfId="68"/>
    <xf numFmtId="0" fontId="34" fillId="0" borderId="0" xfId="68" applyFont="1" applyAlignment="1">
      <alignment horizontal="center"/>
    </xf>
    <xf numFmtId="0" fontId="34" fillId="0" borderId="0" xfId="68" applyFont="1" applyAlignment="1" applyProtection="1">
      <alignment horizontal="center"/>
    </xf>
    <xf numFmtId="0" fontId="37" fillId="0" borderId="0" xfId="68" applyFont="1" applyAlignment="1" applyProtection="1">
      <alignment horizontal="center"/>
    </xf>
    <xf numFmtId="0" fontId="37" fillId="0" borderId="0" xfId="68" applyFont="1"/>
    <xf numFmtId="0" fontId="37" fillId="0" borderId="0" xfId="68" applyFont="1" applyAlignment="1">
      <alignment horizontal="center"/>
    </xf>
    <xf numFmtId="0" fontId="19" fillId="0" borderId="0" xfId="68" applyFont="1" applyAlignment="1" applyProtection="1">
      <alignment horizontal="center"/>
    </xf>
    <xf numFmtId="0" fontId="78" fillId="0" borderId="0" xfId="68" applyFont="1"/>
    <xf numFmtId="37" fontId="78" fillId="0" borderId="0" xfId="68" applyNumberFormat="1" applyFont="1"/>
    <xf numFmtId="37" fontId="1" fillId="0" borderId="0" xfId="68" applyNumberFormat="1"/>
    <xf numFmtId="10" fontId="78" fillId="0" borderId="5" xfId="68" applyNumberFormat="1" applyFont="1" applyBorder="1"/>
    <xf numFmtId="10" fontId="1" fillId="0" borderId="5" xfId="75" applyNumberFormat="1" applyFont="1" applyBorder="1"/>
    <xf numFmtId="0" fontId="1" fillId="0" borderId="5" xfId="68" applyBorder="1"/>
    <xf numFmtId="37" fontId="1" fillId="0" borderId="5" xfId="68" applyNumberFormat="1" applyBorder="1"/>
    <xf numFmtId="37" fontId="1" fillId="0" borderId="1" xfId="68" applyNumberFormat="1" applyBorder="1"/>
    <xf numFmtId="39" fontId="1" fillId="0" borderId="0" xfId="38" applyNumberFormat="1" applyFont="1"/>
    <xf numFmtId="39" fontId="1" fillId="0" borderId="0" xfId="68" applyNumberFormat="1"/>
    <xf numFmtId="37" fontId="1" fillId="0" borderId="0" xfId="68" applyNumberFormat="1" applyFont="1"/>
    <xf numFmtId="10" fontId="1" fillId="0" borderId="0" xfId="68" applyNumberFormat="1"/>
    <xf numFmtId="10" fontId="1" fillId="0" borderId="5" xfId="68" applyNumberFormat="1" applyBorder="1"/>
    <xf numFmtId="37" fontId="19" fillId="0" borderId="1" xfId="68" applyNumberFormat="1" applyFont="1" applyBorder="1"/>
    <xf numFmtId="37" fontId="34" fillId="0" borderId="0" xfId="68" applyNumberFormat="1" applyFont="1" applyBorder="1"/>
    <xf numFmtId="39" fontId="34" fillId="0" borderId="0" xfId="68" applyNumberFormat="1" applyFont="1" applyBorder="1"/>
    <xf numFmtId="37" fontId="19" fillId="0" borderId="7" xfId="68" applyNumberFormat="1" applyFont="1" applyBorder="1"/>
    <xf numFmtId="37" fontId="19" fillId="0" borderId="0" xfId="68" applyNumberFormat="1" applyFont="1" applyBorder="1"/>
    <xf numFmtId="37" fontId="34" fillId="0" borderId="1" xfId="68" applyNumberFormat="1" applyFont="1" applyBorder="1"/>
    <xf numFmtId="9" fontId="1" fillId="0" borderId="0" xfId="68" applyNumberFormat="1" applyBorder="1"/>
    <xf numFmtId="0" fontId="19" fillId="0" borderId="0" xfId="69" applyFont="1"/>
    <xf numFmtId="0" fontId="34" fillId="0" borderId="0" xfId="69" applyFont="1"/>
    <xf numFmtId="0" fontId="34" fillId="0" borderId="0" xfId="69" applyFont="1" applyAlignment="1">
      <alignment horizontal="center"/>
    </xf>
    <xf numFmtId="0" fontId="34" fillId="0" borderId="0" xfId="69" applyFont="1" applyAlignment="1"/>
    <xf numFmtId="0" fontId="34" fillId="0" borderId="0" xfId="69" applyFont="1" applyAlignment="1" applyProtection="1">
      <alignment horizontal="center"/>
    </xf>
    <xf numFmtId="0" fontId="37" fillId="0" borderId="0" xfId="69" applyFont="1" applyAlignment="1" applyProtection="1">
      <alignment horizontal="center"/>
    </xf>
    <xf numFmtId="0" fontId="37" fillId="0" borderId="0" xfId="69" applyFont="1"/>
    <xf numFmtId="0" fontId="37" fillId="0" borderId="0" xfId="69" applyFont="1" applyAlignment="1">
      <alignment horizontal="center"/>
    </xf>
    <xf numFmtId="39" fontId="1" fillId="0" borderId="0" xfId="69" applyNumberFormat="1"/>
    <xf numFmtId="0" fontId="1" fillId="0" borderId="0" xfId="69"/>
    <xf numFmtId="185" fontId="34" fillId="0" borderId="0" xfId="69" applyNumberFormat="1" applyFont="1" applyAlignment="1">
      <alignment horizontal="center"/>
    </xf>
    <xf numFmtId="0" fontId="19" fillId="0" borderId="0" xfId="69" applyFont="1" applyAlignment="1" applyProtection="1">
      <alignment horizontal="center"/>
    </xf>
    <xf numFmtId="0" fontId="1" fillId="0" borderId="0" xfId="69" applyBorder="1"/>
    <xf numFmtId="171" fontId="78" fillId="0" borderId="0" xfId="69" applyNumberFormat="1" applyFont="1" applyBorder="1"/>
    <xf numFmtId="37" fontId="1" fillId="0" borderId="0" xfId="69" applyNumberFormat="1"/>
    <xf numFmtId="37" fontId="1" fillId="0" borderId="0" xfId="69" applyNumberFormat="1" applyBorder="1"/>
    <xf numFmtId="37" fontId="78" fillId="0" borderId="0" xfId="69" applyNumberFormat="1" applyFont="1" applyFill="1" applyBorder="1"/>
    <xf numFmtId="37" fontId="34" fillId="0" borderId="0" xfId="38" applyNumberFormat="1" applyFont="1" applyBorder="1"/>
    <xf numFmtId="0" fontId="19" fillId="0" borderId="0" xfId="69" applyFont="1" applyAlignment="1" applyProtection="1">
      <alignment horizontal="left"/>
    </xf>
    <xf numFmtId="37" fontId="19" fillId="0" borderId="0" xfId="69" applyNumberFormat="1" applyFont="1"/>
    <xf numFmtId="0" fontId="34" fillId="0" borderId="0" xfId="68" applyFont="1" applyAlignment="1"/>
    <xf numFmtId="37" fontId="25" fillId="0" borderId="0" xfId="55" applyFont="1" applyAlignment="1"/>
    <xf numFmtId="37" fontId="19" fillId="0" borderId="5" xfId="55" applyFont="1" applyBorder="1" applyAlignment="1">
      <alignment horizontal="right"/>
    </xf>
    <xf numFmtId="0" fontId="19" fillId="0" borderId="5" xfId="68" applyFont="1" applyBorder="1"/>
    <xf numFmtId="0" fontId="1" fillId="0" borderId="0" xfId="68" applyFont="1"/>
    <xf numFmtId="37" fontId="79" fillId="0" borderId="0" xfId="69" applyNumberFormat="1" applyFont="1"/>
    <xf numFmtId="37" fontId="19" fillId="0" borderId="0" xfId="38" applyNumberFormat="1" applyFont="1" applyBorder="1"/>
    <xf numFmtId="0" fontId="19" fillId="0" borderId="5" xfId="69" applyFont="1" applyBorder="1"/>
    <xf numFmtId="37" fontId="19" fillId="0" borderId="0" xfId="55" applyFont="1" applyAlignment="1"/>
    <xf numFmtId="0" fontId="1" fillId="0" borderId="0" xfId="66" applyFont="1"/>
    <xf numFmtId="0" fontId="19" fillId="0" borderId="5" xfId="67" applyFont="1" applyBorder="1"/>
    <xf numFmtId="37" fontId="8" fillId="0" borderId="0" xfId="49" applyNumberFormat="1" applyFill="1"/>
    <xf numFmtId="37" fontId="19" fillId="0" borderId="7" xfId="49" applyNumberFormat="1" applyFont="1" applyFill="1" applyBorder="1"/>
    <xf numFmtId="39" fontId="19" fillId="0" borderId="0" xfId="49" applyNumberFormat="1" applyFont="1" applyFill="1"/>
    <xf numFmtId="0" fontId="8" fillId="0" borderId="0" xfId="49" applyFill="1"/>
    <xf numFmtId="0" fontId="8" fillId="0" borderId="0" xfId="49" applyFill="1" applyBorder="1"/>
    <xf numFmtId="37" fontId="25" fillId="0" borderId="5" xfId="53" applyFont="1" applyFill="1" applyBorder="1"/>
    <xf numFmtId="37" fontId="25" fillId="0" borderId="0" xfId="54" applyFont="1" applyAlignment="1">
      <alignment horizontal="right"/>
    </xf>
    <xf numFmtId="37" fontId="25" fillId="0" borderId="0" xfId="54" applyNumberFormat="1" applyFont="1" applyFill="1" applyAlignment="1">
      <alignment horizontal="right"/>
    </xf>
    <xf numFmtId="37" fontId="35" fillId="0" borderId="0" xfId="54" applyNumberFormat="1" applyFont="1" applyFill="1" applyAlignment="1">
      <alignment horizontal="right"/>
    </xf>
    <xf numFmtId="37" fontId="19" fillId="0" borderId="0" xfId="54" applyNumberFormat="1" applyFont="1" applyFill="1" applyAlignment="1">
      <alignment horizontal="right"/>
    </xf>
    <xf numFmtId="37" fontId="25" fillId="0" borderId="5" xfId="71" applyNumberFormat="1" applyFont="1" applyFill="1" applyBorder="1"/>
    <xf numFmtId="37" fontId="19" fillId="0" borderId="7" xfId="71" applyNumberFormat="1" applyFont="1" applyFill="1" applyBorder="1"/>
    <xf numFmtId="0" fontId="1" fillId="0" borderId="0" xfId="67" applyFont="1"/>
    <xf numFmtId="0" fontId="77" fillId="0" borderId="0" xfId="0" applyFont="1"/>
    <xf numFmtId="0" fontId="80" fillId="0" borderId="0" xfId="0" applyFont="1"/>
    <xf numFmtId="0" fontId="77" fillId="0" borderId="0" xfId="0" applyFont="1" applyAlignment="1" applyProtection="1"/>
    <xf numFmtId="0" fontId="80" fillId="0" borderId="0" xfId="0" applyFont="1" applyAlignment="1" applyProtection="1"/>
    <xf numFmtId="0" fontId="80" fillId="0" borderId="0" xfId="0" applyFont="1" applyAlignment="1" applyProtection="1">
      <alignment horizontal="left"/>
    </xf>
    <xf numFmtId="0" fontId="80" fillId="0" borderId="6" xfId="0" applyFont="1" applyBorder="1" applyAlignment="1" applyProtection="1">
      <alignment horizontal="left"/>
    </xf>
    <xf numFmtId="0" fontId="80" fillId="0" borderId="0" xfId="0" applyFont="1" applyBorder="1" applyAlignment="1" applyProtection="1">
      <alignment horizontal="left"/>
    </xf>
    <xf numFmtId="0" fontId="77" fillId="0" borderId="0" xfId="0" applyFont="1" applyBorder="1" applyAlignment="1" applyProtection="1">
      <alignment horizontal="left"/>
    </xf>
    <xf numFmtId="0" fontId="80" fillId="0" borderId="0" xfId="0" applyFont="1" applyBorder="1"/>
    <xf numFmtId="0" fontId="77" fillId="0" borderId="0" xfId="0" applyFont="1" applyBorder="1"/>
    <xf numFmtId="0" fontId="80" fillId="0" borderId="0" xfId="0" applyFont="1" applyAlignment="1" applyProtection="1">
      <alignment horizontal="center"/>
    </xf>
    <xf numFmtId="0" fontId="80" fillId="6" borderId="0" xfId="0" applyFont="1" applyFill="1" applyAlignment="1" applyProtection="1"/>
    <xf numFmtId="0" fontId="80" fillId="6" borderId="6" xfId="0" applyFont="1" applyFill="1" applyBorder="1" applyAlignment="1" applyProtection="1">
      <alignment horizontal="left"/>
    </xf>
    <xf numFmtId="37" fontId="25" fillId="6" borderId="0" xfId="43" applyNumberFormat="1" applyFont="1" applyFill="1" applyProtection="1"/>
    <xf numFmtId="37" fontId="25" fillId="6" borderId="5" xfId="43" applyNumberFormat="1" applyFont="1" applyFill="1" applyBorder="1" applyProtection="1"/>
    <xf numFmtId="37" fontId="25" fillId="6" borderId="6" xfId="43" applyNumberFormat="1" applyFont="1" applyFill="1" applyBorder="1" applyProtection="1"/>
    <xf numFmtId="37" fontId="19" fillId="6" borderId="0" xfId="43" applyNumberFormat="1" applyFont="1" applyFill="1" applyProtection="1"/>
    <xf numFmtId="37" fontId="25" fillId="6" borderId="0" xfId="49" applyNumberFormat="1" applyFont="1" applyFill="1" applyProtection="1"/>
    <xf numFmtId="37" fontId="25" fillId="6" borderId="6" xfId="49" applyNumberFormat="1" applyFont="1" applyFill="1" applyBorder="1" applyProtection="1"/>
    <xf numFmtId="37" fontId="25" fillId="6" borderId="0" xfId="49" applyNumberFormat="1" applyFont="1" applyFill="1" applyBorder="1"/>
    <xf numFmtId="37" fontId="25" fillId="6" borderId="0" xfId="0" applyNumberFormat="1" applyFont="1" applyFill="1" applyAlignment="1">
      <alignment horizontal="right"/>
    </xf>
    <xf numFmtId="0" fontId="19" fillId="6" borderId="0" xfId="49" applyFont="1" applyFill="1"/>
    <xf numFmtId="170" fontId="25" fillId="6" borderId="0" xfId="49" applyNumberFormat="1" applyFont="1" applyFill="1" applyProtection="1"/>
    <xf numFmtId="0" fontId="25" fillId="6" borderId="0" xfId="49" applyFont="1" applyFill="1"/>
    <xf numFmtId="0" fontId="25" fillId="6" borderId="0" xfId="49" applyFont="1" applyFill="1" applyAlignment="1" applyProtection="1">
      <alignment horizontal="right"/>
    </xf>
    <xf numFmtId="37" fontId="19" fillId="6" borderId="0" xfId="49" applyNumberFormat="1" applyFont="1" applyFill="1" applyProtection="1"/>
    <xf numFmtId="0" fontId="19" fillId="6" borderId="0" xfId="49" applyFont="1" applyFill="1" applyAlignment="1">
      <alignment horizontal="right"/>
    </xf>
    <xf numFmtId="37" fontId="25" fillId="6" borderId="0" xfId="49" applyNumberFormat="1" applyFont="1" applyFill="1"/>
    <xf numFmtId="170" fontId="25" fillId="6" borderId="0" xfId="49" applyNumberFormat="1" applyFont="1" applyFill="1"/>
    <xf numFmtId="0" fontId="25" fillId="6" borderId="0" xfId="49" applyFont="1" applyFill="1" applyAlignment="1">
      <alignment horizontal="right"/>
    </xf>
    <xf numFmtId="37" fontId="19" fillId="6" borderId="0" xfId="49" applyNumberFormat="1" applyFont="1" applyFill="1"/>
    <xf numFmtId="170" fontId="25" fillId="6" borderId="0" xfId="49" applyNumberFormat="1" applyFont="1" applyFill="1" applyAlignment="1" applyProtection="1">
      <alignment horizontal="right"/>
    </xf>
    <xf numFmtId="39" fontId="25" fillId="6" borderId="0" xfId="49" applyNumberFormat="1" applyFont="1" applyFill="1" applyProtection="1"/>
    <xf numFmtId="37" fontId="19" fillId="6" borderId="0" xfId="50" applyFont="1" applyFill="1"/>
    <xf numFmtId="37" fontId="25" fillId="6" borderId="0" xfId="50" applyFont="1" applyFill="1" applyProtection="1"/>
    <xf numFmtId="37" fontId="25" fillId="6" borderId="5" xfId="50" applyFont="1" applyFill="1" applyBorder="1" applyProtection="1"/>
    <xf numFmtId="37" fontId="25" fillId="6" borderId="0" xfId="50" applyNumberFormat="1" applyFont="1" applyFill="1" applyProtection="1"/>
    <xf numFmtId="37" fontId="25" fillId="6" borderId="5" xfId="50" applyNumberFormat="1" applyFont="1" applyFill="1" applyBorder="1" applyProtection="1"/>
    <xf numFmtId="171" fontId="0" fillId="0" borderId="0" xfId="38" applyNumberFormat="1" applyFont="1"/>
    <xf numFmtId="37" fontId="19" fillId="6" borderId="6" xfId="63" applyFont="1" applyFill="1" applyBorder="1"/>
    <xf numFmtId="37" fontId="19" fillId="6" borderId="6" xfId="63" applyFont="1" applyFill="1" applyBorder="1" applyAlignment="1">
      <alignment horizontal="right"/>
    </xf>
    <xf numFmtId="37" fontId="25" fillId="6" borderId="0" xfId="63" applyFont="1" applyFill="1"/>
    <xf numFmtId="37" fontId="25" fillId="6" borderId="5" xfId="63" applyFont="1" applyFill="1" applyBorder="1"/>
    <xf numFmtId="37" fontId="19" fillId="6" borderId="0" xfId="63" applyFont="1" applyFill="1"/>
    <xf numFmtId="37" fontId="25" fillId="6" borderId="6" xfId="63" applyFont="1" applyFill="1" applyBorder="1"/>
    <xf numFmtId="10" fontId="19" fillId="7" borderId="0" xfId="75" applyNumberFormat="1" applyFont="1" applyFill="1" applyProtection="1"/>
    <xf numFmtId="37" fontId="19" fillId="0" borderId="0" xfId="70" applyFont="1" applyAlignment="1" applyProtection="1">
      <alignment horizontal="center"/>
    </xf>
    <xf numFmtId="37" fontId="2" fillId="0" borderId="0" xfId="70" applyFont="1"/>
    <xf numFmtId="37" fontId="2" fillId="0" borderId="0" xfId="70" applyFont="1" applyBorder="1"/>
    <xf numFmtId="37" fontId="2" fillId="0" borderId="0" xfId="70" applyNumberFormat="1" applyFont="1" applyProtection="1"/>
    <xf numFmtId="10" fontId="2" fillId="0" borderId="0" xfId="70" applyNumberFormat="1" applyFont="1" applyProtection="1"/>
    <xf numFmtId="37" fontId="82" fillId="0" borderId="0" xfId="0" applyNumberFormat="1" applyFont="1" applyFill="1" applyProtection="1">
      <protection locked="0"/>
    </xf>
    <xf numFmtId="37" fontId="83" fillId="0" borderId="0" xfId="0" applyNumberFormat="1" applyFont="1" applyFill="1" applyProtection="1">
      <protection locked="0"/>
    </xf>
    <xf numFmtId="0" fontId="1" fillId="0" borderId="0" xfId="0" applyFont="1"/>
    <xf numFmtId="37" fontId="1" fillId="0" borderId="0" xfId="70" applyFont="1"/>
    <xf numFmtId="0" fontId="19" fillId="0" borderId="0" xfId="64" applyFont="1" applyBorder="1"/>
    <xf numFmtId="37" fontId="19" fillId="0" borderId="16" xfId="70" applyNumberFormat="1" applyFont="1" applyBorder="1" applyProtection="1"/>
    <xf numFmtId="37" fontId="21" fillId="0" borderId="0" xfId="70" applyNumberFormat="1" applyFont="1" applyProtection="1"/>
    <xf numFmtId="37" fontId="1" fillId="0" borderId="0" xfId="70" applyFont="1" applyAlignment="1" applyProtection="1">
      <alignment horizontal="left"/>
    </xf>
    <xf numFmtId="37" fontId="19" fillId="6" borderId="0" xfId="70" applyNumberFormat="1" applyFont="1" applyFill="1" applyProtection="1"/>
    <xf numFmtId="37" fontId="83" fillId="0" borderId="0" xfId="70" applyNumberFormat="1" applyFont="1" applyProtection="1"/>
    <xf numFmtId="0" fontId="1" fillId="0" borderId="5" xfId="73" quotePrefix="1" applyFont="1" applyBorder="1" applyAlignment="1" applyProtection="1">
      <alignment horizontal="center"/>
    </xf>
    <xf numFmtId="37" fontId="48" fillId="6" borderId="0" xfId="72" applyNumberFormat="1" applyFont="1" applyFill="1" applyProtection="1"/>
    <xf numFmtId="37" fontId="48" fillId="6" borderId="0" xfId="38" applyNumberFormat="1" applyFont="1" applyFill="1"/>
    <xf numFmtId="37" fontId="25" fillId="6" borderId="0" xfId="73" applyNumberFormat="1" applyFont="1" applyFill="1" applyProtection="1"/>
    <xf numFmtId="37" fontId="25" fillId="6" borderId="0" xfId="73" applyNumberFormat="1" applyFont="1" applyFill="1"/>
    <xf numFmtId="17" fontId="52" fillId="6" borderId="0" xfId="0" applyNumberFormat="1" applyFont="1" applyFill="1"/>
    <xf numFmtId="0" fontId="49" fillId="6" borderId="0" xfId="0" applyFont="1" applyFill="1"/>
    <xf numFmtId="37" fontId="49" fillId="6" borderId="0" xfId="0" applyNumberFormat="1" applyFont="1" applyFill="1"/>
    <xf numFmtId="37" fontId="52" fillId="6" borderId="0" xfId="0" applyNumberFormat="1" applyFont="1" applyFill="1"/>
    <xf numFmtId="177" fontId="49" fillId="6" borderId="0" xfId="0" applyNumberFormat="1" applyFont="1" applyFill="1"/>
    <xf numFmtId="17" fontId="49" fillId="6" borderId="0" xfId="0" applyNumberFormat="1" applyFont="1" applyFill="1"/>
    <xf numFmtId="177" fontId="52" fillId="6" borderId="0" xfId="0" applyNumberFormat="1" applyFont="1" applyFill="1"/>
    <xf numFmtId="17" fontId="52" fillId="6" borderId="0" xfId="0" applyNumberFormat="1" applyFont="1" applyFill="1" applyAlignment="1">
      <alignment horizontal="right"/>
    </xf>
    <xf numFmtId="0" fontId="9" fillId="6" borderId="0" xfId="73" applyFill="1"/>
    <xf numFmtId="0" fontId="49" fillId="6" borderId="0" xfId="0" applyFont="1" applyFill="1" applyBorder="1" applyAlignment="1">
      <alignment horizontal="center"/>
    </xf>
    <xf numFmtId="37" fontId="49" fillId="6" borderId="0" xfId="0" applyNumberFormat="1" applyFont="1" applyFill="1" applyBorder="1" applyAlignment="1">
      <alignment horizontal="center"/>
    </xf>
    <xf numFmtId="37" fontId="25" fillId="6" borderId="0" xfId="74" applyNumberFormat="1" applyFont="1" applyFill="1" applyProtection="1"/>
    <xf numFmtId="37" fontId="25" fillId="6" borderId="5" xfId="74" applyNumberFormat="1" applyFont="1" applyFill="1" applyBorder="1" applyProtection="1"/>
    <xf numFmtId="37" fontId="25" fillId="6" borderId="5" xfId="74" applyNumberFormat="1" applyFont="1" applyFill="1" applyBorder="1"/>
    <xf numFmtId="37" fontId="25" fillId="6" borderId="0" xfId="74" applyNumberFormat="1" applyFont="1" applyFill="1" applyBorder="1" applyProtection="1"/>
    <xf numFmtId="5" fontId="25" fillId="6" borderId="0" xfId="74" applyNumberFormat="1" applyFont="1" applyFill="1" applyProtection="1"/>
    <xf numFmtId="0" fontId="25" fillId="6" borderId="0" xfId="74" applyFont="1" applyFill="1"/>
    <xf numFmtId="5" fontId="25" fillId="6" borderId="0" xfId="74" applyNumberFormat="1" applyFont="1" applyFill="1" applyBorder="1" applyProtection="1"/>
    <xf numFmtId="0" fontId="25" fillId="6" borderId="0" xfId="74" applyFont="1" applyFill="1" applyBorder="1"/>
    <xf numFmtId="37" fontId="25" fillId="6" borderId="0" xfId="74" applyNumberFormat="1" applyFont="1" applyFill="1"/>
    <xf numFmtId="5" fontId="19" fillId="6" borderId="0" xfId="74" applyNumberFormat="1" applyFont="1" applyFill="1" applyProtection="1"/>
    <xf numFmtId="5" fontId="19" fillId="6" borderId="0" xfId="74" applyNumberFormat="1" applyFont="1" applyFill="1" applyBorder="1" applyProtection="1"/>
    <xf numFmtId="37" fontId="19" fillId="6" borderId="0" xfId="74" applyNumberFormat="1" applyFont="1" applyFill="1"/>
    <xf numFmtId="37" fontId="25" fillId="6" borderId="0" xfId="72" applyNumberFormat="1" applyFont="1" applyFill="1" applyProtection="1"/>
    <xf numFmtId="37" fontId="19" fillId="0" borderId="0" xfId="70" applyNumberFormat="1" applyFont="1" applyFill="1" applyProtection="1"/>
    <xf numFmtId="10" fontId="1" fillId="0" borderId="0" xfId="70" applyNumberFormat="1" applyFont="1" applyProtection="1"/>
    <xf numFmtId="37" fontId="81" fillId="8" borderId="0" xfId="0" applyNumberFormat="1" applyFont="1" applyFill="1" applyProtection="1"/>
    <xf numFmtId="187" fontId="19" fillId="0" borderId="0" xfId="75" applyNumberFormat="1" applyFont="1"/>
    <xf numFmtId="37" fontId="1" fillId="0" borderId="0" xfId="63" applyFont="1"/>
    <xf numFmtId="173" fontId="19" fillId="8" borderId="0" xfId="70" applyNumberFormat="1" applyFont="1" applyFill="1" applyProtection="1"/>
    <xf numFmtId="37" fontId="84" fillId="0" borderId="0" xfId="63" applyFont="1"/>
    <xf numFmtId="0" fontId="85" fillId="0" borderId="0" xfId="0" applyFont="1" applyAlignment="1">
      <alignment horizontal="center"/>
    </xf>
    <xf numFmtId="0" fontId="85" fillId="0" borderId="0" xfId="0" applyFont="1"/>
    <xf numFmtId="0" fontId="85" fillId="0" borderId="0" xfId="0" applyFont="1" applyAlignment="1" applyProtection="1">
      <alignment horizontal="right"/>
    </xf>
    <xf numFmtId="0" fontId="85" fillId="0" borderId="0" xfId="0" applyFont="1" applyAlignment="1" applyProtection="1">
      <alignment horizontal="right"/>
      <protection locked="0"/>
    </xf>
    <xf numFmtId="0" fontId="85" fillId="0" borderId="0" xfId="0" applyFont="1" applyAlignment="1" applyProtection="1">
      <protection locked="0"/>
    </xf>
    <xf numFmtId="0" fontId="85" fillId="0" borderId="0" xfId="0" applyFont="1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</xf>
    <xf numFmtId="0" fontId="85" fillId="0" borderId="6" xfId="0" applyFont="1" applyBorder="1" applyAlignment="1" applyProtection="1">
      <alignment horizontal="center"/>
      <protection locked="0"/>
    </xf>
    <xf numFmtId="0" fontId="85" fillId="0" borderId="6" xfId="0" applyFont="1" applyBorder="1"/>
    <xf numFmtId="0" fontId="85" fillId="0" borderId="6" xfId="0" applyFont="1" applyBorder="1" applyAlignment="1" applyProtection="1">
      <alignment horizontal="center"/>
    </xf>
    <xf numFmtId="0" fontId="86" fillId="0" borderId="0" xfId="0" applyFont="1"/>
    <xf numFmtId="0" fontId="85" fillId="0" borderId="0" xfId="0" applyFont="1" applyAlignment="1" applyProtection="1">
      <alignment horizontal="left"/>
    </xf>
    <xf numFmtId="37" fontId="87" fillId="0" borderId="0" xfId="0" applyNumberFormat="1" applyFont="1" applyFill="1" applyProtection="1">
      <protection locked="0"/>
    </xf>
    <xf numFmtId="0" fontId="86" fillId="0" borderId="0" xfId="0" applyFont="1" applyProtection="1">
      <protection locked="0"/>
    </xf>
    <xf numFmtId="37" fontId="85" fillId="0" borderId="0" xfId="0" applyNumberFormat="1" applyFont="1" applyProtection="1">
      <protection locked="0"/>
    </xf>
    <xf numFmtId="10" fontId="85" fillId="0" borderId="0" xfId="0" applyNumberFormat="1" applyFont="1" applyProtection="1"/>
    <xf numFmtId="0" fontId="85" fillId="0" borderId="0" xfId="0" applyFont="1" applyAlignment="1" applyProtection="1">
      <alignment horizontal="left"/>
      <protection locked="0"/>
    </xf>
    <xf numFmtId="37" fontId="87" fillId="0" borderId="0" xfId="0" applyNumberFormat="1" applyFont="1" applyFill="1" applyProtection="1"/>
    <xf numFmtId="165" fontId="85" fillId="0" borderId="0" xfId="0" applyNumberFormat="1" applyFont="1" applyProtection="1"/>
    <xf numFmtId="37" fontId="85" fillId="0" borderId="0" xfId="0" applyNumberFormat="1" applyFont="1" applyProtection="1"/>
    <xf numFmtId="37" fontId="88" fillId="0" borderId="0" xfId="0" applyNumberFormat="1" applyFont="1" applyFill="1" applyProtection="1"/>
    <xf numFmtId="37" fontId="87" fillId="0" borderId="5" xfId="0" applyNumberFormat="1" applyFont="1" applyFill="1" applyBorder="1" applyProtection="1"/>
    <xf numFmtId="37" fontId="85" fillId="0" borderId="7" xfId="0" applyNumberFormat="1" applyFont="1" applyBorder="1" applyProtection="1"/>
    <xf numFmtId="37" fontId="85" fillId="0" borderId="0" xfId="0" applyNumberFormat="1" applyFont="1" applyBorder="1" applyProtection="1"/>
    <xf numFmtId="0" fontId="86" fillId="0" borderId="0" xfId="0" applyFont="1" applyAlignment="1">
      <alignment horizontal="left"/>
    </xf>
    <xf numFmtId="10" fontId="85" fillId="0" borderId="0" xfId="75" applyNumberFormat="1" applyFont="1" applyProtection="1"/>
    <xf numFmtId="37" fontId="85" fillId="0" borderId="1" xfId="0" applyNumberFormat="1" applyFont="1" applyFill="1" applyBorder="1" applyProtection="1"/>
    <xf numFmtId="189" fontId="85" fillId="0" borderId="0" xfId="0" applyNumberFormat="1" applyFont="1" applyBorder="1" applyProtection="1"/>
    <xf numFmtId="37" fontId="85" fillId="0" borderId="8" xfId="0" applyNumberFormat="1" applyFont="1" applyBorder="1" applyProtection="1"/>
    <xf numFmtId="37" fontId="85" fillId="0" borderId="0" xfId="0" applyNumberFormat="1" applyFont="1" applyAlignment="1" applyProtection="1">
      <alignment horizontal="center"/>
    </xf>
    <xf numFmtId="0" fontId="85" fillId="0" borderId="17" xfId="0" applyFont="1" applyBorder="1"/>
    <xf numFmtId="0" fontId="85" fillId="0" borderId="3" xfId="0" applyFont="1" applyBorder="1" applyAlignment="1" applyProtection="1">
      <alignment horizontal="left"/>
      <protection locked="0"/>
    </xf>
    <xf numFmtId="0" fontId="85" fillId="0" borderId="3" xfId="0" applyFont="1" applyBorder="1"/>
    <xf numFmtId="187" fontId="85" fillId="0" borderId="3" xfId="75" applyNumberFormat="1" applyFont="1" applyBorder="1" applyProtection="1"/>
    <xf numFmtId="0" fontId="85" fillId="0" borderId="18" xfId="0" applyFont="1" applyBorder="1"/>
    <xf numFmtId="0" fontId="85" fillId="0" borderId="0" xfId="0" applyFont="1" applyBorder="1" applyAlignment="1" applyProtection="1">
      <alignment horizontal="left"/>
      <protection locked="0"/>
    </xf>
    <xf numFmtId="0" fontId="85" fillId="0" borderId="0" xfId="0" applyFont="1" applyBorder="1"/>
    <xf numFmtId="187" fontId="85" fillId="0" borderId="0" xfId="75" applyNumberFormat="1" applyFont="1" applyBorder="1" applyProtection="1"/>
    <xf numFmtId="165" fontId="85" fillId="0" borderId="0" xfId="75" applyNumberFormat="1" applyFont="1" applyBorder="1" applyProtection="1"/>
    <xf numFmtId="0" fontId="85" fillId="0" borderId="19" xfId="0" applyFont="1" applyBorder="1"/>
    <xf numFmtId="0" fontId="85" fillId="0" borderId="5" xfId="0" applyFont="1" applyBorder="1" applyAlignment="1" applyProtection="1">
      <alignment horizontal="left"/>
      <protection locked="0"/>
    </xf>
    <xf numFmtId="0" fontId="85" fillId="0" borderId="5" xfId="0" applyFont="1" applyBorder="1"/>
    <xf numFmtId="187" fontId="85" fillId="0" borderId="5" xfId="75" applyNumberFormat="1" applyFont="1" applyBorder="1" applyProtection="1"/>
    <xf numFmtId="0" fontId="85" fillId="0" borderId="17" xfId="0" applyFont="1" applyBorder="1" applyAlignment="1" applyProtection="1">
      <alignment horizontal="left"/>
      <protection locked="0"/>
    </xf>
    <xf numFmtId="0" fontId="85" fillId="0" borderId="18" xfId="0" applyFont="1" applyBorder="1" applyAlignment="1" applyProtection="1">
      <alignment horizontal="left"/>
      <protection locked="0"/>
    </xf>
    <xf numFmtId="176" fontId="85" fillId="0" borderId="0" xfId="75" applyNumberFormat="1" applyFont="1" applyBorder="1" applyProtection="1"/>
    <xf numFmtId="176" fontId="85" fillId="0" borderId="5" xfId="75" applyNumberFormat="1" applyFont="1" applyBorder="1" applyProtection="1"/>
    <xf numFmtId="10" fontId="85" fillId="0" borderId="0" xfId="75" applyNumberFormat="1" applyFont="1" applyBorder="1" applyProtection="1"/>
    <xf numFmtId="10" fontId="85" fillId="0" borderId="5" xfId="75" applyNumberFormat="1" applyFont="1" applyBorder="1" applyProtection="1"/>
    <xf numFmtId="0" fontId="85" fillId="0" borderId="0" xfId="0" applyFont="1" applyProtection="1">
      <protection locked="0"/>
    </xf>
    <xf numFmtId="0" fontId="85" fillId="0" borderId="19" xfId="0" applyFont="1" applyBorder="1" applyAlignment="1" applyProtection="1">
      <alignment horizontal="left"/>
      <protection locked="0"/>
    </xf>
    <xf numFmtId="188" fontId="85" fillId="0" borderId="5" xfId="0" applyNumberFormat="1" applyFont="1" applyBorder="1" applyAlignment="1" applyProtection="1">
      <alignment horizontal="right"/>
      <protection locked="0"/>
    </xf>
    <xf numFmtId="188" fontId="85" fillId="0" borderId="20" xfId="0" applyNumberFormat="1" applyFont="1" applyBorder="1" applyAlignment="1" applyProtection="1">
      <alignment horizontal="right"/>
      <protection locked="0"/>
    </xf>
    <xf numFmtId="37" fontId="19" fillId="0" borderId="0" xfId="7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19" fillId="0" borderId="0" xfId="42" applyFont="1" applyAlignment="1" applyProtection="1">
      <alignment horizontal="center"/>
    </xf>
    <xf numFmtId="0" fontId="25" fillId="0" borderId="0" xfId="42" applyFont="1" applyAlignment="1" applyProtection="1">
      <alignment horizontal="center"/>
    </xf>
    <xf numFmtId="0" fontId="19" fillId="0" borderId="12" xfId="43" applyFont="1" applyBorder="1" applyAlignment="1" applyProtection="1">
      <alignment horizontal="center"/>
    </xf>
    <xf numFmtId="0" fontId="19" fillId="0" borderId="0" xfId="44" applyFont="1" applyAlignment="1" applyProtection="1">
      <alignment horizontal="center"/>
    </xf>
    <xf numFmtId="0" fontId="21" fillId="0" borderId="12" xfId="43" applyFont="1" applyBorder="1" applyAlignment="1" applyProtection="1">
      <alignment horizontal="center"/>
    </xf>
    <xf numFmtId="0" fontId="19" fillId="0" borderId="0" xfId="45" applyFont="1" applyAlignment="1" applyProtection="1">
      <alignment horizontal="center"/>
    </xf>
    <xf numFmtId="0" fontId="19" fillId="0" borderId="0" xfId="46" applyFont="1" applyAlignment="1">
      <alignment horizontal="center"/>
    </xf>
    <xf numFmtId="0" fontId="19" fillId="0" borderId="0" xfId="48" applyFont="1" applyAlignment="1" applyProtection="1">
      <alignment horizontal="center"/>
    </xf>
    <xf numFmtId="0" fontId="25" fillId="0" borderId="0" xfId="49" applyFont="1" applyAlignment="1" applyProtection="1">
      <alignment horizontal="center"/>
    </xf>
    <xf numFmtId="0" fontId="19" fillId="0" borderId="0" xfId="49" applyFont="1" applyFill="1" applyAlignment="1" applyProtection="1">
      <alignment horizontal="center"/>
    </xf>
    <xf numFmtId="0" fontId="19" fillId="0" borderId="0" xfId="49" applyFont="1" applyAlignment="1" applyProtection="1">
      <alignment horizontal="center"/>
    </xf>
    <xf numFmtId="0" fontId="25" fillId="0" borderId="0" xfId="49" applyFont="1" applyFill="1" applyAlignment="1" applyProtection="1">
      <alignment horizontal="center"/>
    </xf>
    <xf numFmtId="0" fontId="19" fillId="0" borderId="11" xfId="49" applyFont="1" applyBorder="1" applyAlignment="1">
      <alignment horizontal="center"/>
    </xf>
    <xf numFmtId="0" fontId="25" fillId="0" borderId="0" xfId="51" applyFont="1" applyAlignment="1" applyProtection="1">
      <alignment horizontal="center"/>
    </xf>
    <xf numFmtId="37" fontId="19" fillId="0" borderId="0" xfId="50" applyFont="1" applyAlignment="1" applyProtection="1">
      <alignment horizontal="center"/>
    </xf>
    <xf numFmtId="37" fontId="25" fillId="0" borderId="0" xfId="50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25" fillId="0" borderId="0" xfId="52" applyFont="1" applyAlignment="1" applyProtection="1">
      <alignment horizontal="center"/>
      <protection locked="0"/>
    </xf>
    <xf numFmtId="0" fontId="19" fillId="0" borderId="0" xfId="52" applyFont="1" applyAlignment="1" applyProtection="1">
      <alignment horizontal="center"/>
      <protection locked="0"/>
    </xf>
    <xf numFmtId="0" fontId="19" fillId="0" borderId="12" xfId="52" applyFont="1" applyBorder="1" applyAlignment="1" applyProtection="1">
      <alignment horizontal="center"/>
      <protection locked="0"/>
    </xf>
    <xf numFmtId="0" fontId="50" fillId="0" borderId="14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34" fillId="0" borderId="0" xfId="74" applyFont="1" applyBorder="1" applyAlignment="1">
      <alignment horizontal="center"/>
    </xf>
    <xf numFmtId="0" fontId="34" fillId="0" borderId="5" xfId="74" applyFont="1" applyBorder="1" applyAlignment="1">
      <alignment horizontal="center"/>
    </xf>
    <xf numFmtId="0" fontId="19" fillId="0" borderId="0" xfId="74" applyFont="1" applyAlignment="1" applyProtection="1">
      <alignment horizontal="center"/>
    </xf>
    <xf numFmtId="0" fontId="19" fillId="0" borderId="0" xfId="74" quotePrefix="1" applyFont="1" applyBorder="1" applyAlignment="1" applyProtection="1">
      <alignment horizontal="center"/>
    </xf>
    <xf numFmtId="0" fontId="34" fillId="0" borderId="1" xfId="74" applyFont="1" applyBorder="1" applyAlignment="1">
      <alignment horizontal="center"/>
    </xf>
    <xf numFmtId="0" fontId="34" fillId="0" borderId="3" xfId="74" applyFont="1" applyBorder="1" applyAlignment="1">
      <alignment horizontal="center"/>
    </xf>
    <xf numFmtId="0" fontId="85" fillId="0" borderId="0" xfId="0" applyFont="1" applyAlignment="1" applyProtection="1">
      <alignment horizontal="center"/>
      <protection locked="0"/>
    </xf>
    <xf numFmtId="0" fontId="85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/>
    <xf numFmtId="0" fontId="18" fillId="0" borderId="10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37" fontId="19" fillId="0" borderId="0" xfId="65" applyFont="1" applyAlignment="1">
      <alignment horizontal="center"/>
    </xf>
    <xf numFmtId="14" fontId="19" fillId="0" borderId="0" xfId="65" applyNumberFormat="1" applyFont="1" applyAlignment="1">
      <alignment horizontal="center"/>
    </xf>
    <xf numFmtId="37" fontId="19" fillId="0" borderId="12" xfId="65" applyFont="1" applyBorder="1" applyAlignment="1">
      <alignment horizontal="center"/>
    </xf>
    <xf numFmtId="37" fontId="25" fillId="0" borderId="0" xfId="53" applyFont="1" applyAlignment="1">
      <alignment horizontal="center"/>
    </xf>
    <xf numFmtId="37" fontId="32" fillId="0" borderId="0" xfId="53" applyFont="1" applyAlignment="1">
      <alignment horizontal="center"/>
    </xf>
    <xf numFmtId="37" fontId="25" fillId="0" borderId="0" xfId="58" applyFont="1" applyAlignment="1">
      <alignment horizontal="center"/>
    </xf>
    <xf numFmtId="37" fontId="32" fillId="0" borderId="0" xfId="58" applyFont="1" applyAlignment="1">
      <alignment horizontal="center"/>
    </xf>
    <xf numFmtId="37" fontId="25" fillId="0" borderId="0" xfId="60" applyFont="1" applyAlignment="1">
      <alignment horizontal="center"/>
    </xf>
    <xf numFmtId="37" fontId="32" fillId="0" borderId="0" xfId="60" applyFont="1" applyAlignment="1">
      <alignment horizontal="center"/>
    </xf>
    <xf numFmtId="37" fontId="19" fillId="0" borderId="0" xfId="59" applyFont="1" applyAlignment="1">
      <alignment horizontal="center"/>
    </xf>
    <xf numFmtId="37" fontId="25" fillId="0" borderId="0" xfId="59" applyFont="1" applyAlignment="1">
      <alignment horizontal="center"/>
    </xf>
    <xf numFmtId="37" fontId="32" fillId="0" borderId="0" xfId="59" applyFont="1" applyAlignment="1">
      <alignment horizontal="center"/>
    </xf>
    <xf numFmtId="37" fontId="19" fillId="0" borderId="0" xfId="61" applyFont="1" applyAlignment="1">
      <alignment horizontal="center"/>
    </xf>
    <xf numFmtId="37" fontId="25" fillId="0" borderId="0" xfId="61" applyFont="1" applyAlignment="1">
      <alignment horizontal="center"/>
    </xf>
    <xf numFmtId="37" fontId="32" fillId="0" borderId="0" xfId="61" applyFont="1" applyAlignment="1">
      <alignment horizontal="center"/>
    </xf>
    <xf numFmtId="37" fontId="19" fillId="0" borderId="0" xfId="54" applyFont="1" applyAlignment="1">
      <alignment horizontal="center"/>
    </xf>
    <xf numFmtId="37" fontId="25" fillId="0" borderId="0" xfId="54" applyFont="1" applyAlignment="1">
      <alignment horizontal="center"/>
    </xf>
    <xf numFmtId="37" fontId="32" fillId="0" borderId="0" xfId="54" applyFont="1" applyAlignment="1">
      <alignment horizontal="center"/>
    </xf>
    <xf numFmtId="37" fontId="19" fillId="0" borderId="0" xfId="57" applyFont="1" applyAlignment="1">
      <alignment horizontal="center"/>
    </xf>
    <xf numFmtId="37" fontId="25" fillId="0" borderId="0" xfId="57" applyFont="1" applyAlignment="1">
      <alignment horizontal="center"/>
    </xf>
    <xf numFmtId="37" fontId="32" fillId="0" borderId="0" xfId="57" applyFont="1" applyAlignment="1">
      <alignment horizontal="center"/>
    </xf>
    <xf numFmtId="37" fontId="19" fillId="0" borderId="0" xfId="55" applyFont="1" applyAlignment="1">
      <alignment horizontal="center"/>
    </xf>
    <xf numFmtId="37" fontId="25" fillId="0" borderId="0" xfId="55" applyFont="1" applyAlignment="1">
      <alignment horizontal="center"/>
    </xf>
    <xf numFmtId="37" fontId="32" fillId="0" borderId="0" xfId="55" applyFont="1" applyAlignment="1">
      <alignment horizontal="center"/>
    </xf>
    <xf numFmtId="37" fontId="19" fillId="0" borderId="0" xfId="63" applyFont="1" applyAlignment="1">
      <alignment horizontal="center"/>
    </xf>
    <xf numFmtId="37" fontId="19" fillId="0" borderId="11" xfId="63" applyFont="1" applyBorder="1" applyAlignment="1">
      <alignment horizontal="center"/>
    </xf>
    <xf numFmtId="37" fontId="19" fillId="0" borderId="0" xfId="63" applyFont="1" applyAlignment="1" applyProtection="1">
      <alignment horizontal="center"/>
    </xf>
    <xf numFmtId="37" fontId="19" fillId="0" borderId="0" xfId="63" quotePrefix="1" applyFont="1" applyAlignment="1" applyProtection="1">
      <alignment horizontal="center"/>
    </xf>
    <xf numFmtId="0" fontId="19" fillId="0" borderId="0" xfId="64" applyFont="1" applyAlignment="1" applyProtection="1">
      <alignment horizontal="center"/>
    </xf>
    <xf numFmtId="0" fontId="19" fillId="0" borderId="0" xfId="71" applyFont="1" applyAlignment="1">
      <alignment horizontal="center"/>
    </xf>
    <xf numFmtId="0" fontId="19" fillId="0" borderId="0" xfId="0" applyFont="1" applyFill="1" applyBorder="1" applyAlignment="1" applyProtection="1">
      <alignment horizontal="center"/>
    </xf>
  </cellXfs>
  <cellStyles count="114">
    <cellStyle name="%" xfId="1"/>
    <cellStyle name="_Ebill Paper Bill ARC Recovery" xfId="2"/>
    <cellStyle name="_MTC Resource Unit Baseline by state 050920 v2" xfId="3"/>
    <cellStyle name="_Term for Change of Control" xfId="4"/>
    <cellStyle name="_Term for Convenience" xfId="5"/>
    <cellStyle name="_Transformation Projects Cap vs Exp Master" xfId="6"/>
    <cellStyle name="C00A" xfId="7"/>
    <cellStyle name="C00B" xfId="8"/>
    <cellStyle name="C00L" xfId="9"/>
    <cellStyle name="C01A" xfId="10"/>
    <cellStyle name="C01B" xfId="11"/>
    <cellStyle name="C01H" xfId="12"/>
    <cellStyle name="C01L" xfId="13"/>
    <cellStyle name="C02A" xfId="14"/>
    <cellStyle name="C02B" xfId="15"/>
    <cellStyle name="C02H" xfId="16"/>
    <cellStyle name="C02L" xfId="17"/>
    <cellStyle name="C03A" xfId="18"/>
    <cellStyle name="C03B" xfId="19"/>
    <cellStyle name="C03H" xfId="20"/>
    <cellStyle name="C03L" xfId="21"/>
    <cellStyle name="C04A" xfId="22"/>
    <cellStyle name="C04B" xfId="23"/>
    <cellStyle name="C04H" xfId="24"/>
    <cellStyle name="C04L" xfId="25"/>
    <cellStyle name="C05A" xfId="26"/>
    <cellStyle name="C05B" xfId="27"/>
    <cellStyle name="C05H" xfId="28"/>
    <cellStyle name="C05L" xfId="29"/>
    <cellStyle name="C06A" xfId="30"/>
    <cellStyle name="C06B" xfId="31"/>
    <cellStyle name="C06H" xfId="32"/>
    <cellStyle name="C06L" xfId="33"/>
    <cellStyle name="C07A" xfId="34"/>
    <cellStyle name="C07B" xfId="35"/>
    <cellStyle name="C07H" xfId="36"/>
    <cellStyle name="C07L" xfId="37"/>
    <cellStyle name="Comma" xfId="38" builtinId="3"/>
    <cellStyle name="Currency" xfId="39" builtinId="4"/>
    <cellStyle name="Hyperlink" xfId="40" builtinId="8"/>
    <cellStyle name="Normal" xfId="0" builtinId="0"/>
    <cellStyle name="Normal_B-1" xfId="41"/>
    <cellStyle name="Normal_B-2" xfId="42"/>
    <cellStyle name="Normal_B-2 Plant &amp; Property" xfId="43"/>
    <cellStyle name="Normal_B-2x2" xfId="44"/>
    <cellStyle name="Normal_B-2x4" xfId="45"/>
    <cellStyle name="Normal_B-2x5" xfId="46"/>
    <cellStyle name="Normal_B-2x6" xfId="47"/>
    <cellStyle name="Normal_B-2x7" xfId="48"/>
    <cellStyle name="Normal_B-3 Depreciation" xfId="49"/>
    <cellStyle name="Normal_B-4" xfId="50"/>
    <cellStyle name="Normal_B-4 CWIP" xfId="51"/>
    <cellStyle name="Normal_B-8 Comparative" xfId="52"/>
    <cellStyle name="Normal_D-2.1" xfId="53"/>
    <cellStyle name="Normal_D-2.10" xfId="54"/>
    <cellStyle name="Normal_D-2.11" xfId="55"/>
    <cellStyle name="Normal_D-2.2" xfId="56"/>
    <cellStyle name="Normal_D-2.3" xfId="57"/>
    <cellStyle name="Normal_D-2.4" xfId="58"/>
    <cellStyle name="Normal_D-2.5" xfId="59"/>
    <cellStyle name="Normal_D-2.6" xfId="60"/>
    <cellStyle name="Normal_D-2.8" xfId="61"/>
    <cellStyle name="Normal_D-2.9" xfId="62"/>
    <cellStyle name="Normal_E-1 Income Taxes" xfId="63"/>
    <cellStyle name="Normal_H-1 GR Conversion Factor" xfId="64"/>
    <cellStyle name="Normal_Index &amp; D-1 (Summary)" xfId="65"/>
    <cellStyle name="Normal_NCSC IBM" xfId="66"/>
    <cellStyle name="Normal_NCSC Incentive Copensation" xfId="67"/>
    <cellStyle name="Normal_NCSC Labor" xfId="68"/>
    <cellStyle name="Normal_NCSC Pension" xfId="69"/>
    <cellStyle name="Normal_Revenue Requirements" xfId="70"/>
    <cellStyle name="Normal_Schedule J" xfId="71"/>
    <cellStyle name="Normal_WPB-5.1" xfId="72"/>
    <cellStyle name="Normal_WPB-5.1 Working Capital Componets" xfId="73"/>
    <cellStyle name="Normal_WPB-6 - Deferred Credits &amp; Accumulated Deferred Income Taxes" xfId="74"/>
    <cellStyle name="Percent" xfId="75" builtinId="5"/>
    <cellStyle name="PSChar" xfId="76"/>
    <cellStyle name="PSDate" xfId="77"/>
    <cellStyle name="PSDec" xfId="78"/>
    <cellStyle name="PSHeading" xfId="79"/>
    <cellStyle name="PSInt" xfId="80"/>
    <cellStyle name="PSSpacer" xfId="81"/>
    <cellStyle name="R00A" xfId="82"/>
    <cellStyle name="R00B" xfId="83"/>
    <cellStyle name="R00L" xfId="84"/>
    <cellStyle name="R01A" xfId="85"/>
    <cellStyle name="R01B" xfId="86"/>
    <cellStyle name="R01H" xfId="87"/>
    <cellStyle name="R01L" xfId="88"/>
    <cellStyle name="R02A" xfId="89"/>
    <cellStyle name="R02B" xfId="90"/>
    <cellStyle name="R02H" xfId="91"/>
    <cellStyle name="R02L" xfId="92"/>
    <cellStyle name="R03A" xfId="93"/>
    <cellStyle name="R03B" xfId="94"/>
    <cellStyle name="R03H" xfId="95"/>
    <cellStyle name="R03L" xfId="96"/>
    <cellStyle name="R04A" xfId="97"/>
    <cellStyle name="R04B" xfId="98"/>
    <cellStyle name="R04H" xfId="99"/>
    <cellStyle name="R04L" xfId="100"/>
    <cellStyle name="R05A" xfId="101"/>
    <cellStyle name="R05B" xfId="102"/>
    <cellStyle name="R05H" xfId="103"/>
    <cellStyle name="R05L" xfId="104"/>
    <cellStyle name="R06A" xfId="105"/>
    <cellStyle name="R06B" xfId="106"/>
    <cellStyle name="R06H" xfId="107"/>
    <cellStyle name="R06L" xfId="108"/>
    <cellStyle name="R07A" xfId="109"/>
    <cellStyle name="R07B" xfId="110"/>
    <cellStyle name="R07H" xfId="111"/>
    <cellStyle name="R07L" xfId="112"/>
    <cellStyle name="Style 1" xfId="113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6.xml"/><Relationship Id="rId89" Type="http://schemas.openxmlformats.org/officeDocument/2006/relationships/externalLink" Target="externalLinks/externalLink11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1.xml"/><Relationship Id="rId87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4.xml"/><Relationship Id="rId90" Type="http://schemas.openxmlformats.org/officeDocument/2006/relationships/externalLink" Target="externalLinks/externalLink12.xml"/><Relationship Id="rId95" Type="http://schemas.openxmlformats.org/officeDocument/2006/relationships/externalLink" Target="externalLinks/externalLink17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2.xml"/><Relationship Id="rId85" Type="http://schemas.openxmlformats.org/officeDocument/2006/relationships/externalLink" Target="externalLinks/externalLink7.xml"/><Relationship Id="rId93" Type="http://schemas.openxmlformats.org/officeDocument/2006/relationships/externalLink" Target="externalLinks/externalLink15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5.xml"/><Relationship Id="rId88" Type="http://schemas.openxmlformats.org/officeDocument/2006/relationships/externalLink" Target="externalLinks/externalLink10.xml"/><Relationship Id="rId91" Type="http://schemas.openxmlformats.org/officeDocument/2006/relationships/externalLink" Target="externalLinks/externalLink13.xml"/><Relationship Id="rId96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externalLink" Target="externalLinks/externalLink3.xml"/><Relationship Id="rId86" Type="http://schemas.openxmlformats.org/officeDocument/2006/relationships/externalLink" Target="externalLinks/externalLink8.xml"/><Relationship Id="rId94" Type="http://schemas.openxmlformats.org/officeDocument/2006/relationships/externalLink" Target="externalLinks/externalLink16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E%20-%20Income%20Taxes\E-1%20Income%20Tax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louJ\Local%20Settings\Temporary%20Internet%20Files\OLK8\208522\0901Wellpoi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s%20A%20thru%20L%20Cost%20of%20Service%20September%2030,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KY\Ratecase%20-%202002\Schedules\Schedule%20B\B-2%20Plant%20&amp;%20Propert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\data\Schedule%20B%20-%20Rate%20Base%20&amp;%20Balance%20Sheet\B-2%20Plant%20&amp;%20Propert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rler\My%20Documents\Cendant\Denver%20Resource%20Baselines\Asset%20Tracking%2010_16_01.Lee1%20Rev%20P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Nisource%20-%20MTC%20Financial%20Management%20Tool%20v20%20(11.1.0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2006-08-08%20Nisource%20-%20IT%20Financial%20Management%20Tool_Amendment%203%20Updat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loyd%20Spann\My%20Documents\Excel\2004\BCBSRI\Governance%20Financial%20Management\Service%20Credits\BCBSRI%20Service%20Level%20Credit%20Tracking%20Draft_v11_LDS_0128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yorConsolidated\Accounts\Blue%20Cross\Financials\2003\05\PYR_SVC_BLUERI_AP%20IMAG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Models\IT\IT%20Financial%20Model%20Tool\Financial%20Models\Nisource%20-%20Customer%20Contact%20Center%20Financial%20Management%20Tool%20v1%20(10.18.05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%20Return%20on%20Rate%20Base\2003\2003%203rd%20Qtr\NH%20Return%20on%20Rate%20Base%20ReportFiled%20-%2009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,B-7, B-7.1, B-7.2 NA"/>
      <sheetName val="Comparative Bal Sheets B-8"/>
      <sheetName val="Operating Income Sum Index C"/>
      <sheetName val="Operating Income Summary C-1"/>
      <sheetName val="Adj Operating Income Sum C-2"/>
      <sheetName val="Oper Rev&amp;Exp by Accts C2.1p1-4"/>
      <sheetName val="Total Co Accts Activ C2.2p1-10"/>
      <sheetName val="Adj to Operating Income Index D"/>
      <sheetName val="Sum Adj  Oper Inc D-1, Sht 1-2"/>
      <sheetName val="Ann of Sales Rev D-2.1, Sht 1-5"/>
      <sheetName val="Various Expense Adj D-2.2"/>
      <sheetName val="Rate Case Expense D-2.3"/>
      <sheetName val="Labor Adj D-2.4"/>
      <sheetName val="Benefits Adj D-2.5"/>
      <sheetName val="Postage Adj D-2.6"/>
      <sheetName val="Corporate Services Adj D-2.7"/>
      <sheetName val="Merge Cost Adj D-2.8"/>
      <sheetName val="CAP Adj D-2.9"/>
      <sheetName val="Depr Exp Adj D-2.10"/>
      <sheetName val="Payroll Tax Adj D-2.11"/>
      <sheetName val="D-3, D-4, D-5 NA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Imbedded Cost of STD J-2"/>
      <sheetName val="Imbedded Cost of LTD J-3"/>
      <sheetName val="Imbedded Cost of Pre Stock J-4"/>
      <sheetName val="Financial Data Index K"/>
      <sheetName val="Rates &amp; Tariffs Index L"/>
      <sheetName val="Sch. L"/>
      <sheetName val="Return Comparison "/>
      <sheetName val="Rate Base Comparison"/>
      <sheetName val="B-7"/>
      <sheetName val="B-7.1"/>
      <sheetName val="B-7.2"/>
      <sheetName val="Oper Rev&amp;Exp by Accts C2.1p1-2"/>
      <sheetName val="Bonus Accrual-Incen Comp  D-2.6"/>
      <sheetName val="Rent Exp. Civic Cent Bldg D-2.8"/>
      <sheetName val="Corporate Insurance  D-2.9"/>
      <sheetName val="Depr Exp Adj D-2.10 p2"/>
      <sheetName val="Payroll Tax Adj D-2.12"/>
      <sheetName val="D-3"/>
      <sheetName val="D-4"/>
      <sheetName val="D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hyperlink" Target="mailto:JURIS@100%25" TargetMode="External"/><Relationship Id="rId1" Type="http://schemas.openxmlformats.org/officeDocument/2006/relationships/hyperlink" Target="mailto:JURIS@100%25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workbookViewId="0">
      <selection activeCell="E25" sqref="E25"/>
    </sheetView>
  </sheetViews>
  <sheetFormatPr defaultColWidth="9.33203125" defaultRowHeight="14.25" x14ac:dyDescent="0.2"/>
  <cols>
    <col min="1" max="1" width="62.5" style="1240" bestFit="1" customWidth="1"/>
    <col min="2" max="2" width="1.83203125" style="1240" customWidth="1"/>
    <col min="3" max="3" width="62" style="1240" customWidth="1"/>
    <col min="4" max="4" width="1.83203125" style="1240" customWidth="1"/>
    <col min="5" max="5" width="27.5" style="1240" bestFit="1" customWidth="1"/>
    <col min="6" max="16384" width="9.33203125" style="1240"/>
  </cols>
  <sheetData>
    <row r="2" spans="1:5" x14ac:dyDescent="0.2">
      <c r="C2" s="1241" t="s">
        <v>993</v>
      </c>
    </row>
    <row r="3" spans="1:5" x14ac:dyDescent="0.2">
      <c r="A3" s="1242"/>
      <c r="C3" s="1241"/>
    </row>
    <row r="4" spans="1:5" x14ac:dyDescent="0.2">
      <c r="C4" s="1251" t="s">
        <v>1777</v>
      </c>
    </row>
    <row r="5" spans="1:5" x14ac:dyDescent="0.2">
      <c r="C5" s="1241"/>
    </row>
    <row r="6" spans="1:5" x14ac:dyDescent="0.2">
      <c r="C6" s="1244" t="s">
        <v>1778</v>
      </c>
    </row>
    <row r="7" spans="1:5" x14ac:dyDescent="0.2">
      <c r="C7" s="1243" t="s">
        <v>1779</v>
      </c>
    </row>
    <row r="8" spans="1:5" x14ac:dyDescent="0.2">
      <c r="C8" s="1241" t="s">
        <v>1780</v>
      </c>
    </row>
    <row r="9" spans="1:5" x14ac:dyDescent="0.2">
      <c r="C9" s="1241" t="s">
        <v>1781</v>
      </c>
      <c r="E9" s="1241"/>
    </row>
    <row r="10" spans="1:5" x14ac:dyDescent="0.2">
      <c r="A10" s="1244" t="s">
        <v>839</v>
      </c>
      <c r="C10" s="1241" t="s">
        <v>1782</v>
      </c>
      <c r="E10" s="1244" t="s">
        <v>479</v>
      </c>
    </row>
    <row r="11" spans="1:5" x14ac:dyDescent="0.2">
      <c r="A11" s="1244" t="s">
        <v>490</v>
      </c>
      <c r="C11" s="1241" t="s">
        <v>1783</v>
      </c>
      <c r="E11" s="1241"/>
    </row>
    <row r="12" spans="1:5" x14ac:dyDescent="0.2">
      <c r="A12" s="1245" t="s">
        <v>840</v>
      </c>
      <c r="C12" s="1241" t="s">
        <v>1784</v>
      </c>
      <c r="E12" s="1244" t="s">
        <v>1007</v>
      </c>
    </row>
    <row r="13" spans="1:5" x14ac:dyDescent="0.2">
      <c r="C13" s="1244" t="s">
        <v>1785</v>
      </c>
      <c r="E13" s="1241"/>
    </row>
    <row r="14" spans="1:5" x14ac:dyDescent="0.2">
      <c r="C14" s="1241"/>
      <c r="E14" s="1246"/>
    </row>
    <row r="15" spans="1:5" x14ac:dyDescent="0.2">
      <c r="A15" s="1247"/>
      <c r="C15" s="1241"/>
      <c r="E15" s="1248"/>
    </row>
    <row r="16" spans="1:5" x14ac:dyDescent="0.2">
      <c r="A16" s="1247"/>
      <c r="C16" s="1241" t="s">
        <v>1786</v>
      </c>
      <c r="E16" s="1246"/>
    </row>
    <row r="17" spans="1:5" x14ac:dyDescent="0.2">
      <c r="A17" s="1247"/>
      <c r="C17" s="1241"/>
      <c r="E17" s="1249"/>
    </row>
    <row r="18" spans="1:5" x14ac:dyDescent="0.2">
      <c r="A18" s="1249"/>
      <c r="C18" s="1250" t="s">
        <v>1787</v>
      </c>
    </row>
    <row r="19" spans="1:5" x14ac:dyDescent="0.2">
      <c r="C19" s="1241"/>
    </row>
    <row r="20" spans="1:5" x14ac:dyDescent="0.2">
      <c r="C20" s="1241"/>
    </row>
    <row r="21" spans="1:5" x14ac:dyDescent="0.2">
      <c r="C21" s="1251" t="s">
        <v>1788</v>
      </c>
    </row>
    <row r="22" spans="1:5" x14ac:dyDescent="0.2">
      <c r="C22" s="1241"/>
    </row>
    <row r="23" spans="1:5" x14ac:dyDescent="0.2">
      <c r="C23" s="1241" t="s">
        <v>1789</v>
      </c>
    </row>
    <row r="24" spans="1:5" x14ac:dyDescent="0.2">
      <c r="C24" s="1241"/>
    </row>
    <row r="27" spans="1:5" x14ac:dyDescent="0.2">
      <c r="E27" s="1245" t="s">
        <v>1790</v>
      </c>
    </row>
    <row r="28" spans="1:5" x14ac:dyDescent="0.2">
      <c r="E28" s="1241"/>
    </row>
    <row r="29" spans="1:5" x14ac:dyDescent="0.2">
      <c r="E29" s="1252" t="s">
        <v>912</v>
      </c>
    </row>
    <row r="30" spans="1:5" x14ac:dyDescent="0.2">
      <c r="E30" s="1241"/>
    </row>
    <row r="31" spans="1:5" x14ac:dyDescent="0.2">
      <c r="E31" s="1252" t="s">
        <v>1008</v>
      </c>
    </row>
    <row r="32" spans="1:5" x14ac:dyDescent="0.2">
      <c r="E32" s="1241"/>
    </row>
    <row r="33" spans="5:5" x14ac:dyDescent="0.2">
      <c r="E33" s="1252" t="s">
        <v>1015</v>
      </c>
    </row>
    <row r="34" spans="5:5" x14ac:dyDescent="0.2">
      <c r="E34" s="1241"/>
    </row>
    <row r="35" spans="5:5" x14ac:dyDescent="0.2">
      <c r="E35" s="1252" t="s">
        <v>1016</v>
      </c>
    </row>
    <row r="36" spans="5:5" x14ac:dyDescent="0.2">
      <c r="E36" s="1241"/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O28"/>
  <sheetViews>
    <sheetView zoomScaleNormal="100" workbookViewId="0">
      <selection activeCell="O9" sqref="O9"/>
    </sheetView>
  </sheetViews>
  <sheetFormatPr defaultColWidth="9.83203125" defaultRowHeight="10.5" x14ac:dyDescent="0.15"/>
  <cols>
    <col min="1" max="1" width="7.83203125" style="26" customWidth="1"/>
    <col min="2" max="2" width="3.83203125" style="26" customWidth="1"/>
    <col min="3" max="3" width="9.83203125" style="26"/>
    <col min="4" max="4" width="3.83203125" style="26" customWidth="1"/>
    <col min="5" max="5" width="15.83203125" style="26" customWidth="1"/>
    <col min="6" max="6" width="3.83203125" style="26" customWidth="1"/>
    <col min="7" max="7" width="15.5" style="26" bestFit="1" customWidth="1"/>
    <col min="8" max="8" width="3.83203125" style="26" customWidth="1"/>
    <col min="9" max="9" width="17.5" style="26" customWidth="1"/>
    <col min="10" max="10" width="3.83203125" style="26" customWidth="1"/>
    <col min="11" max="11" width="18.5" style="26" bestFit="1" customWidth="1"/>
    <col min="12" max="12" width="3.83203125" style="26" customWidth="1"/>
    <col min="13" max="13" width="19.33203125" style="26" bestFit="1" customWidth="1"/>
    <col min="14" max="14" width="3.83203125" style="26" customWidth="1"/>
    <col min="15" max="15" width="21.83203125" style="26" customWidth="1"/>
    <col min="16" max="16384" width="9.83203125" style="26"/>
  </cols>
  <sheetData>
    <row r="1" spans="1:15" ht="12.75" x14ac:dyDescent="0.2">
      <c r="A1" s="1393" t="s">
        <v>477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</row>
    <row r="2" spans="1:15" ht="12.75" x14ac:dyDescent="0.2">
      <c r="A2" s="1392" t="str">
        <f>Input!C4</f>
        <v>CASE NO. 2017-xxxxx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</row>
    <row r="3" spans="1:15" ht="12.75" x14ac:dyDescent="0.2">
      <c r="A3" s="1393" t="s">
        <v>1229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</row>
    <row r="4" spans="1:15" ht="12.75" x14ac:dyDescent="0.2">
      <c r="A4" s="1392" t="str">
        <f>Input!C8</f>
        <v>FOR THE TWELVE MONTHS ENDED DECEMBER 31, 2017</v>
      </c>
      <c r="B4" s="1392"/>
      <c r="C4" s="1392"/>
      <c r="D4" s="1392"/>
      <c r="E4" s="1392"/>
      <c r="F4" s="1392"/>
      <c r="G4" s="1392"/>
      <c r="H4" s="1392"/>
      <c r="I4" s="1392"/>
      <c r="J4" s="1392"/>
      <c r="K4" s="1392"/>
      <c r="L4" s="1392"/>
      <c r="M4" s="1392"/>
      <c r="N4" s="1392"/>
      <c r="O4" s="1392"/>
    </row>
    <row r="5" spans="1:15" ht="12.75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</row>
    <row r="6" spans="1:15" ht="12.75" x14ac:dyDescent="0.2">
      <c r="A6" s="137" t="s">
        <v>839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3"/>
      <c r="N6" s="192"/>
      <c r="O6" s="139" t="s">
        <v>1230</v>
      </c>
    </row>
    <row r="7" spans="1:15" ht="12.75" x14ac:dyDescent="0.2">
      <c r="A7" s="137" t="s">
        <v>490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3"/>
      <c r="N7" s="192"/>
      <c r="O7" s="139" t="s">
        <v>491</v>
      </c>
    </row>
    <row r="8" spans="1:15" ht="12.75" x14ac:dyDescent="0.2">
      <c r="A8" s="140" t="s">
        <v>840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194"/>
      <c r="O8" s="144" t="str">
        <f>Input!E27</f>
        <v>WITNESS:  C. Y. LAI</v>
      </c>
    </row>
    <row r="9" spans="1:15" ht="12.75" x14ac:dyDescent="0.2">
      <c r="A9" s="192"/>
      <c r="B9" s="192"/>
      <c r="C9" s="192"/>
      <c r="D9" s="192"/>
      <c r="E9" s="192"/>
      <c r="F9" s="192"/>
      <c r="G9" s="196" t="s">
        <v>525</v>
      </c>
      <c r="H9" s="192"/>
      <c r="I9" s="192"/>
      <c r="J9" s="192"/>
      <c r="K9" s="192"/>
      <c r="L9" s="192"/>
      <c r="M9" s="192"/>
      <c r="N9" s="192"/>
      <c r="O9" s="197" t="s">
        <v>1231</v>
      </c>
    </row>
    <row r="10" spans="1:15" ht="12.75" x14ac:dyDescent="0.2">
      <c r="A10" s="196" t="s">
        <v>493</v>
      </c>
      <c r="B10" s="192"/>
      <c r="C10" s="196" t="s">
        <v>1143</v>
      </c>
      <c r="D10" s="192"/>
      <c r="E10" s="196" t="s">
        <v>524</v>
      </c>
      <c r="F10" s="192"/>
      <c r="G10" s="196" t="s">
        <v>982</v>
      </c>
      <c r="H10" s="192"/>
      <c r="I10" s="196" t="s">
        <v>523</v>
      </c>
      <c r="J10" s="192"/>
      <c r="K10" s="196" t="s">
        <v>523</v>
      </c>
      <c r="L10" s="192"/>
      <c r="M10" s="196" t="s">
        <v>1232</v>
      </c>
      <c r="N10" s="192"/>
      <c r="O10" s="196" t="s">
        <v>1233</v>
      </c>
    </row>
    <row r="11" spans="1:15" ht="12.75" x14ac:dyDescent="0.2">
      <c r="A11" s="198" t="s">
        <v>496</v>
      </c>
      <c r="B11" s="194"/>
      <c r="C11" s="198" t="s">
        <v>496</v>
      </c>
      <c r="D11" s="194"/>
      <c r="E11" s="198" t="s">
        <v>1234</v>
      </c>
      <c r="F11" s="194"/>
      <c r="G11" s="198" t="s">
        <v>1235</v>
      </c>
      <c r="H11" s="194"/>
      <c r="I11" s="198" t="s">
        <v>983</v>
      </c>
      <c r="J11" s="194"/>
      <c r="K11" s="198" t="s">
        <v>842</v>
      </c>
      <c r="L11" s="194"/>
      <c r="M11" s="198" t="s">
        <v>1236</v>
      </c>
      <c r="N11" s="194"/>
      <c r="O11" s="198" t="s">
        <v>1235</v>
      </c>
    </row>
    <row r="12" spans="1:15" ht="12.75" x14ac:dyDescent="0.2">
      <c r="A12" s="192"/>
      <c r="B12" s="192"/>
      <c r="C12" s="192"/>
      <c r="D12" s="192"/>
      <c r="E12" s="192"/>
      <c r="F12" s="192"/>
      <c r="G12" s="196" t="s">
        <v>500</v>
      </c>
      <c r="H12" s="192"/>
      <c r="I12" s="192"/>
      <c r="J12" s="192"/>
      <c r="K12" s="196" t="s">
        <v>500</v>
      </c>
      <c r="L12" s="192"/>
      <c r="M12" s="192"/>
      <c r="N12" s="192"/>
      <c r="O12" s="192"/>
    </row>
    <row r="13" spans="1:15" ht="12.75" x14ac:dyDescent="0.2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</row>
    <row r="14" spans="1:15" ht="12.75" x14ac:dyDescent="0.2">
      <c r="A14" s="192"/>
      <c r="B14" s="192"/>
      <c r="C14" s="192"/>
      <c r="D14" s="192"/>
      <c r="E14" s="192"/>
      <c r="F14" s="192"/>
      <c r="G14" s="199"/>
      <c r="H14" s="192"/>
      <c r="I14" s="200"/>
      <c r="J14" s="199"/>
      <c r="K14" s="199"/>
      <c r="L14" s="199"/>
      <c r="M14" s="199"/>
      <c r="N14" s="192"/>
      <c r="O14" s="199"/>
    </row>
    <row r="15" spans="1:15" ht="12.75" x14ac:dyDescent="0.2">
      <c r="A15" s="192"/>
      <c r="B15" s="192"/>
      <c r="C15" s="192"/>
      <c r="D15" s="192"/>
      <c r="E15" s="192"/>
      <c r="F15" s="192"/>
      <c r="G15" s="199"/>
      <c r="H15" s="192"/>
      <c r="I15" s="192"/>
      <c r="J15" s="199"/>
      <c r="K15" s="199"/>
      <c r="L15" s="199"/>
      <c r="M15" s="199"/>
      <c r="N15" s="192"/>
      <c r="O15" s="192"/>
    </row>
    <row r="16" spans="1:15" ht="12.75" x14ac:dyDescent="0.2">
      <c r="A16" s="1395" t="s">
        <v>1237</v>
      </c>
      <c r="B16" s="1395"/>
      <c r="C16" s="1395"/>
      <c r="D16" s="1395"/>
      <c r="E16" s="1395"/>
      <c r="F16" s="1395"/>
      <c r="G16" s="1395"/>
      <c r="H16" s="1395"/>
      <c r="I16" s="1395"/>
      <c r="J16" s="1395"/>
      <c r="K16" s="1395"/>
      <c r="L16" s="1395"/>
      <c r="M16" s="1395"/>
      <c r="N16" s="1395"/>
      <c r="O16" s="1395"/>
    </row>
    <row r="17" spans="1:15" ht="12.75" x14ac:dyDescent="0.2">
      <c r="A17" s="192"/>
      <c r="B17" s="192"/>
      <c r="C17" s="192"/>
      <c r="D17" s="192"/>
      <c r="E17" s="192"/>
      <c r="F17" s="192"/>
      <c r="G17" s="199"/>
      <c r="H17" s="192"/>
      <c r="I17" s="192"/>
      <c r="J17" s="199"/>
      <c r="K17" s="199"/>
      <c r="L17" s="199"/>
      <c r="M17" s="192"/>
      <c r="N17" s="192"/>
      <c r="O17" s="199"/>
    </row>
    <row r="18" spans="1:15" ht="11.25" x14ac:dyDescent="0.2">
      <c r="A18" s="193"/>
      <c r="B18" s="193"/>
      <c r="C18" s="193"/>
      <c r="D18" s="193"/>
      <c r="E18" s="193"/>
      <c r="F18" s="193"/>
      <c r="G18" s="201"/>
      <c r="H18" s="193"/>
      <c r="I18" s="202"/>
      <c r="J18" s="201"/>
      <c r="K18" s="201"/>
      <c r="L18" s="201"/>
      <c r="M18" s="201"/>
      <c r="N18" s="193"/>
      <c r="O18" s="201"/>
    </row>
    <row r="19" spans="1:15" x14ac:dyDescent="0.15">
      <c r="G19" s="27"/>
      <c r="J19" s="27"/>
      <c r="K19" s="27"/>
      <c r="L19" s="27"/>
      <c r="M19" s="27"/>
      <c r="O19" s="27"/>
    </row>
    <row r="20" spans="1:15" x14ac:dyDescent="0.15">
      <c r="G20" s="27"/>
      <c r="I20" s="28"/>
      <c r="J20" s="27"/>
      <c r="K20" s="27"/>
      <c r="L20" s="27"/>
      <c r="M20" s="27"/>
      <c r="O20" s="27"/>
    </row>
    <row r="21" spans="1:15" x14ac:dyDescent="0.15">
      <c r="G21" s="27"/>
      <c r="J21" s="27"/>
      <c r="K21" s="27"/>
      <c r="L21" s="27"/>
      <c r="M21" s="27"/>
      <c r="O21" s="27"/>
    </row>
    <row r="22" spans="1:15" x14ac:dyDescent="0.15">
      <c r="G22" s="27"/>
      <c r="I22" s="28"/>
      <c r="J22" s="27"/>
      <c r="K22" s="27"/>
      <c r="L22" s="27"/>
      <c r="M22" s="27"/>
      <c r="O22" s="27"/>
    </row>
    <row r="23" spans="1:15" x14ac:dyDescent="0.15">
      <c r="G23" s="27"/>
      <c r="J23" s="27"/>
      <c r="K23" s="27"/>
      <c r="L23" s="27"/>
      <c r="M23" s="27"/>
      <c r="O23" s="27"/>
    </row>
    <row r="24" spans="1:15" x14ac:dyDescent="0.15">
      <c r="G24" s="27"/>
      <c r="I24" s="28"/>
      <c r="J24" s="27"/>
      <c r="K24" s="27"/>
      <c r="L24" s="27"/>
      <c r="M24" s="27"/>
      <c r="O24" s="27"/>
    </row>
    <row r="25" spans="1:15" x14ac:dyDescent="0.15">
      <c r="G25" s="27"/>
      <c r="J25" s="27"/>
      <c r="K25" s="27"/>
      <c r="L25" s="27"/>
      <c r="M25" s="27"/>
      <c r="O25" s="27"/>
    </row>
    <row r="26" spans="1:15" x14ac:dyDescent="0.15">
      <c r="G26" s="27"/>
      <c r="I26" s="28"/>
      <c r="J26" s="27"/>
      <c r="K26" s="27"/>
      <c r="L26" s="27"/>
      <c r="M26" s="27"/>
      <c r="O26" s="27"/>
    </row>
    <row r="27" spans="1:15" x14ac:dyDescent="0.15">
      <c r="G27" s="27"/>
      <c r="J27" s="27"/>
      <c r="K27" s="27"/>
      <c r="L27" s="27"/>
      <c r="M27" s="27"/>
      <c r="O27" s="27"/>
    </row>
    <row r="28" spans="1:15" x14ac:dyDescent="0.15">
      <c r="G28" s="27"/>
      <c r="I28" s="28"/>
      <c r="J28" s="27"/>
      <c r="K28" s="27"/>
      <c r="L28" s="27"/>
      <c r="M28" s="27"/>
      <c r="O28" s="27"/>
    </row>
  </sheetData>
  <mergeCells count="5">
    <mergeCell ref="A16:O16"/>
    <mergeCell ref="A1:O1"/>
    <mergeCell ref="A2:O2"/>
    <mergeCell ref="A3:O3"/>
    <mergeCell ref="A4:O4"/>
  </mergeCells>
  <phoneticPr fontId="3" type="noConversion"/>
  <printOptions horizontalCentered="1"/>
  <pageMargins left="0.25" right="0.25" top="1" bottom="0.2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V239"/>
  <sheetViews>
    <sheetView zoomScaleNormal="125" zoomScaleSheetLayoutView="75" workbookViewId="0">
      <selection activeCell="E25" sqref="E25"/>
    </sheetView>
  </sheetViews>
  <sheetFormatPr defaultColWidth="8.33203125" defaultRowHeight="9" x14ac:dyDescent="0.15"/>
  <cols>
    <col min="1" max="1" width="5" style="23" customWidth="1"/>
    <col min="2" max="2" width="2.5" style="23" customWidth="1"/>
    <col min="3" max="3" width="8.6640625" style="23" customWidth="1"/>
    <col min="4" max="4" width="2.5" style="23" customWidth="1"/>
    <col min="5" max="5" width="51.1640625" style="23" bestFit="1" customWidth="1"/>
    <col min="6" max="6" width="3.33203125" style="23" customWidth="1"/>
    <col min="7" max="7" width="14.83203125" style="23" customWidth="1"/>
    <col min="8" max="8" width="3.33203125" style="23" customWidth="1"/>
    <col min="9" max="9" width="13.33203125" style="23" bestFit="1" customWidth="1"/>
    <col min="10" max="10" width="3.33203125" style="23" customWidth="1"/>
    <col min="11" max="11" width="17.6640625" style="23" bestFit="1" customWidth="1"/>
    <col min="12" max="12" width="3.33203125" style="23" customWidth="1"/>
    <col min="13" max="13" width="8.33203125" style="23"/>
    <col min="14" max="14" width="3.33203125" style="23" customWidth="1"/>
    <col min="15" max="15" width="19.5" style="23" bestFit="1" customWidth="1"/>
    <col min="16" max="16" width="3.33203125" style="23" customWidth="1"/>
    <col min="17" max="17" width="21.33203125" style="23" bestFit="1" customWidth="1"/>
    <col min="18" max="18" width="3.33203125" style="23" customWidth="1"/>
    <col min="19" max="19" width="14.83203125" style="23" customWidth="1"/>
    <col min="20" max="16384" width="8.33203125" style="23"/>
  </cols>
  <sheetData>
    <row r="1" spans="1:22" ht="12.75" x14ac:dyDescent="0.2">
      <c r="A1" s="1393" t="s">
        <v>477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89"/>
      <c r="U1" s="189"/>
    </row>
    <row r="2" spans="1:22" ht="12.75" x14ac:dyDescent="0.2">
      <c r="A2" s="1392" t="str">
        <f>Input!C4</f>
        <v>CASE NO. 2017-xxxxx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  <c r="Q2" s="1392"/>
      <c r="R2" s="1392"/>
      <c r="S2" s="1392"/>
      <c r="T2" s="189"/>
      <c r="U2" s="189"/>
    </row>
    <row r="3" spans="1:22" ht="12.75" x14ac:dyDescent="0.2">
      <c r="A3" s="1393" t="s">
        <v>950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89"/>
      <c r="U3" s="189"/>
    </row>
    <row r="4" spans="1:22" ht="12.75" x14ac:dyDescent="0.2">
      <c r="A4" s="1392" t="str">
        <f>Input!C10</f>
        <v>FROM DECEMBER 31, 2016 TO DECEMBER 31, 2017</v>
      </c>
      <c r="B4" s="1392"/>
      <c r="C4" s="1392"/>
      <c r="D4" s="1392"/>
      <c r="E4" s="1392"/>
      <c r="F4" s="1392"/>
      <c r="G4" s="1392"/>
      <c r="H4" s="1392"/>
      <c r="I4" s="1392"/>
      <c r="J4" s="1392"/>
      <c r="K4" s="1392"/>
      <c r="L4" s="1392"/>
      <c r="M4" s="1392"/>
      <c r="N4" s="1392"/>
      <c r="O4" s="1392"/>
      <c r="P4" s="1392"/>
      <c r="Q4" s="1392"/>
      <c r="R4" s="1392"/>
      <c r="S4" s="1392"/>
      <c r="T4" s="189"/>
      <c r="U4" s="189"/>
    </row>
    <row r="5" spans="1:22" ht="12.75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89"/>
      <c r="U5" s="189"/>
    </row>
    <row r="6" spans="1:22" ht="12.75" x14ac:dyDescent="0.2">
      <c r="A6" s="137" t="s">
        <v>839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R6" s="160"/>
      <c r="S6" s="139" t="s">
        <v>1238</v>
      </c>
      <c r="T6" s="189"/>
      <c r="U6" s="189"/>
    </row>
    <row r="7" spans="1:22" ht="12.75" x14ac:dyDescent="0.2">
      <c r="A7" s="137" t="s">
        <v>490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R7" s="160"/>
      <c r="S7" s="139" t="s">
        <v>1239</v>
      </c>
      <c r="T7" s="189"/>
      <c r="U7" s="189"/>
    </row>
    <row r="8" spans="1:22" ht="12.75" x14ac:dyDescent="0.2">
      <c r="A8" s="140" t="s">
        <v>840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R8" s="161"/>
      <c r="S8" s="144" t="str">
        <f>Input!E27</f>
        <v>WITNESS:  C. Y. LAI</v>
      </c>
      <c r="T8" s="189"/>
      <c r="U8" s="674"/>
      <c r="V8" s="24"/>
    </row>
    <row r="9" spans="1:22" ht="12.75" x14ac:dyDescent="0.2">
      <c r="A9" s="185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396" t="s">
        <v>1240</v>
      </c>
      <c r="N9" s="1396"/>
      <c r="O9" s="1396"/>
      <c r="P9" s="1396"/>
      <c r="Q9" s="1396"/>
      <c r="R9" s="203"/>
      <c r="S9" s="203"/>
      <c r="T9" s="189"/>
      <c r="U9" s="189"/>
      <c r="V9" s="24"/>
    </row>
    <row r="10" spans="1:22" ht="12.75" x14ac:dyDescent="0.2">
      <c r="A10" s="164" t="s">
        <v>493</v>
      </c>
      <c r="B10" s="160"/>
      <c r="C10" s="164" t="s">
        <v>1143</v>
      </c>
      <c r="D10" s="160"/>
      <c r="E10" s="160"/>
      <c r="F10" s="160"/>
      <c r="G10" s="164" t="s">
        <v>1241</v>
      </c>
      <c r="H10" s="160"/>
      <c r="I10" s="160"/>
      <c r="J10" s="160"/>
      <c r="K10" s="160"/>
      <c r="L10" s="160"/>
      <c r="M10" s="160"/>
      <c r="N10" s="160"/>
      <c r="O10" s="164" t="s">
        <v>1242</v>
      </c>
      <c r="P10" s="160"/>
      <c r="Q10" s="164" t="s">
        <v>1243</v>
      </c>
      <c r="R10" s="160"/>
      <c r="S10" s="164" t="s">
        <v>1244</v>
      </c>
      <c r="T10" s="189"/>
      <c r="U10" s="189"/>
      <c r="V10" s="24"/>
    </row>
    <row r="11" spans="1:22" ht="12.75" x14ac:dyDescent="0.2">
      <c r="A11" s="165" t="s">
        <v>496</v>
      </c>
      <c r="B11" s="161"/>
      <c r="C11" s="165" t="s">
        <v>496</v>
      </c>
      <c r="D11" s="161"/>
      <c r="E11" s="140" t="s">
        <v>841</v>
      </c>
      <c r="F11" s="161"/>
      <c r="G11" s="165" t="s">
        <v>1245</v>
      </c>
      <c r="H11" s="161"/>
      <c r="I11" s="165" t="s">
        <v>1246</v>
      </c>
      <c r="J11" s="161"/>
      <c r="K11" s="165" t="s">
        <v>1247</v>
      </c>
      <c r="L11" s="161"/>
      <c r="M11" s="165" t="s">
        <v>1248</v>
      </c>
      <c r="N11" s="161"/>
      <c r="O11" s="165" t="s">
        <v>1249</v>
      </c>
      <c r="P11" s="161"/>
      <c r="Q11" s="165" t="s">
        <v>1250</v>
      </c>
      <c r="R11" s="161"/>
      <c r="S11" s="165" t="s">
        <v>1245</v>
      </c>
      <c r="T11" s="189"/>
      <c r="U11" s="189"/>
      <c r="V11" s="24"/>
    </row>
    <row r="12" spans="1:22" ht="12.75" x14ac:dyDescent="0.2">
      <c r="A12" s="167"/>
      <c r="B12" s="160"/>
      <c r="C12" s="160"/>
      <c r="D12" s="160"/>
      <c r="E12" s="160"/>
      <c r="F12" s="160"/>
      <c r="G12" s="164" t="s">
        <v>500</v>
      </c>
      <c r="H12" s="160"/>
      <c r="I12" s="164" t="s">
        <v>500</v>
      </c>
      <c r="J12" s="160"/>
      <c r="K12" s="164" t="s">
        <v>500</v>
      </c>
      <c r="L12" s="160"/>
      <c r="M12" s="164" t="s">
        <v>500</v>
      </c>
      <c r="N12" s="160"/>
      <c r="O12" s="160"/>
      <c r="P12" s="160"/>
      <c r="Q12" s="160"/>
      <c r="R12" s="160"/>
      <c r="S12" s="164" t="s">
        <v>500</v>
      </c>
      <c r="T12" s="189"/>
      <c r="U12" s="189"/>
      <c r="V12" s="24"/>
    </row>
    <row r="13" spans="1:22" ht="12.75" x14ac:dyDescent="0.2">
      <c r="A13" s="672">
        <v>1</v>
      </c>
      <c r="B13" s="160"/>
      <c r="C13" s="204" t="s">
        <v>1251</v>
      </c>
      <c r="D13" s="203"/>
      <c r="E13" s="203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89"/>
      <c r="U13" s="189"/>
      <c r="V13" s="24"/>
    </row>
    <row r="14" spans="1:22" ht="12.75" x14ac:dyDescent="0.2">
      <c r="A14" s="672">
        <f t="shared" ref="A14:A20" si="0">A13+1</f>
        <v>2</v>
      </c>
      <c r="B14" s="160"/>
      <c r="C14" s="160"/>
      <c r="D14" s="160"/>
      <c r="E14" s="204" t="s">
        <v>1149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89"/>
      <c r="U14" s="189"/>
      <c r="V14" s="24"/>
    </row>
    <row r="15" spans="1:22" ht="12.75" x14ac:dyDescent="0.2">
      <c r="A15" s="672">
        <f t="shared" si="0"/>
        <v>3</v>
      </c>
      <c r="B15" s="160"/>
      <c r="C15" s="205">
        <v>301</v>
      </c>
      <c r="D15" s="160"/>
      <c r="E15" s="137" t="s">
        <v>1252</v>
      </c>
      <c r="F15" s="160"/>
      <c r="G15" s="1253">
        <v>521.20000000000005</v>
      </c>
      <c r="H15" s="728"/>
      <c r="I15" s="1253">
        <v>0</v>
      </c>
      <c r="J15" s="728"/>
      <c r="K15" s="1253">
        <v>0</v>
      </c>
      <c r="L15" s="728"/>
      <c r="M15" s="1253">
        <v>0</v>
      </c>
      <c r="N15" s="172"/>
      <c r="O15" s="172"/>
      <c r="P15" s="172"/>
      <c r="Q15" s="172"/>
      <c r="R15" s="172"/>
      <c r="S15" s="172">
        <f>G15+I15-K15+M15</f>
        <v>521.20000000000005</v>
      </c>
      <c r="T15" s="191"/>
      <c r="U15" s="191"/>
      <c r="V15" s="24"/>
    </row>
    <row r="16" spans="1:22" ht="12.75" x14ac:dyDescent="0.2">
      <c r="A16" s="672">
        <f t="shared" si="0"/>
        <v>4</v>
      </c>
      <c r="B16" s="160"/>
      <c r="C16" s="205">
        <v>303</v>
      </c>
      <c r="D16" s="160"/>
      <c r="E16" s="137" t="s">
        <v>1253</v>
      </c>
      <c r="F16" s="160"/>
      <c r="G16" s="1253">
        <v>164630.54</v>
      </c>
      <c r="H16" s="728"/>
      <c r="I16" s="1253">
        <v>0</v>
      </c>
      <c r="J16" s="728"/>
      <c r="K16" s="1253">
        <v>0</v>
      </c>
      <c r="L16" s="728"/>
      <c r="M16" s="1253">
        <v>0</v>
      </c>
      <c r="N16" s="172"/>
      <c r="O16" s="172"/>
      <c r="P16" s="172"/>
      <c r="Q16" s="172"/>
      <c r="R16" s="172"/>
      <c r="S16" s="172">
        <f>G16+I16-K16+M16</f>
        <v>164630.54</v>
      </c>
      <c r="T16" s="191"/>
      <c r="U16" s="191"/>
    </row>
    <row r="17" spans="1:21" ht="12.75" x14ac:dyDescent="0.2">
      <c r="A17" s="672">
        <f t="shared" si="0"/>
        <v>5</v>
      </c>
      <c r="B17" s="160"/>
      <c r="C17" s="205">
        <v>303.10000000000002</v>
      </c>
      <c r="D17" s="160"/>
      <c r="E17" s="137" t="s">
        <v>1254</v>
      </c>
      <c r="F17" s="160"/>
      <c r="G17" s="1253">
        <v>0</v>
      </c>
      <c r="H17" s="728"/>
      <c r="I17" s="1253">
        <v>0</v>
      </c>
      <c r="J17" s="728"/>
      <c r="K17" s="1253">
        <v>0</v>
      </c>
      <c r="L17" s="728"/>
      <c r="M17" s="1253">
        <v>0</v>
      </c>
      <c r="N17" s="172"/>
      <c r="O17" s="172"/>
      <c r="P17" s="172"/>
      <c r="Q17" s="172"/>
      <c r="R17" s="172"/>
      <c r="S17" s="172">
        <f>G17+I17-K17+M17</f>
        <v>0</v>
      </c>
      <c r="T17" s="191"/>
      <c r="U17" s="191"/>
    </row>
    <row r="18" spans="1:21" ht="12.75" x14ac:dyDescent="0.2">
      <c r="A18" s="672">
        <f t="shared" si="0"/>
        <v>6</v>
      </c>
      <c r="B18" s="160"/>
      <c r="C18" s="205">
        <v>303.2</v>
      </c>
      <c r="D18" s="160"/>
      <c r="E18" s="137" t="s">
        <v>1255</v>
      </c>
      <c r="F18" s="160"/>
      <c r="G18" s="1253">
        <v>0</v>
      </c>
      <c r="H18" s="728"/>
      <c r="I18" s="1253">
        <v>0</v>
      </c>
      <c r="J18" s="728"/>
      <c r="K18" s="1253">
        <v>0</v>
      </c>
      <c r="L18" s="728"/>
      <c r="M18" s="1253">
        <v>0</v>
      </c>
      <c r="N18" s="172"/>
      <c r="O18" s="172"/>
      <c r="P18" s="172"/>
      <c r="Q18" s="172"/>
      <c r="R18" s="172"/>
      <c r="S18" s="172">
        <f>G18+I18-K18+M18</f>
        <v>0</v>
      </c>
      <c r="T18" s="191"/>
      <c r="U18" s="191"/>
    </row>
    <row r="19" spans="1:21" ht="12.75" x14ac:dyDescent="0.2">
      <c r="A19" s="672">
        <f t="shared" si="0"/>
        <v>7</v>
      </c>
      <c r="B19" s="160"/>
      <c r="C19" s="205">
        <v>303.3</v>
      </c>
      <c r="D19" s="160"/>
      <c r="E19" s="137" t="s">
        <v>1256</v>
      </c>
      <c r="F19" s="160"/>
      <c r="G19" s="1255">
        <v>1204056.3700000001</v>
      </c>
      <c r="H19" s="728"/>
      <c r="I19" s="1254">
        <v>215608.48</v>
      </c>
      <c r="J19" s="728"/>
      <c r="K19" s="1255">
        <v>273809.59000000003</v>
      </c>
      <c r="L19" s="728"/>
      <c r="M19" s="1255">
        <v>0</v>
      </c>
      <c r="N19" s="172"/>
      <c r="O19" s="172"/>
      <c r="P19" s="172"/>
      <c r="Q19" s="172"/>
      <c r="R19" s="172"/>
      <c r="S19" s="176">
        <f>G19+I19-K19+M19</f>
        <v>1145855.26</v>
      </c>
      <c r="T19" s="191"/>
      <c r="U19" s="191"/>
    </row>
    <row r="20" spans="1:21" ht="12.75" x14ac:dyDescent="0.2">
      <c r="A20" s="672">
        <f t="shared" si="0"/>
        <v>8</v>
      </c>
      <c r="B20" s="160"/>
      <c r="C20" s="160"/>
      <c r="D20" s="160"/>
      <c r="E20" s="137" t="s">
        <v>1155</v>
      </c>
      <c r="F20" s="160"/>
      <c r="G20" s="172">
        <f>SUM(G15:G19)</f>
        <v>1369208.11</v>
      </c>
      <c r="H20" s="172"/>
      <c r="I20" s="172">
        <f>SUM(I15:I19)</f>
        <v>215608.48</v>
      </c>
      <c r="J20" s="172"/>
      <c r="K20" s="172">
        <f>SUM(K15:K19)</f>
        <v>273809.59000000003</v>
      </c>
      <c r="L20" s="172"/>
      <c r="M20" s="172">
        <f>SUM(M15:M19)</f>
        <v>0</v>
      </c>
      <c r="N20" s="172"/>
      <c r="O20" s="172"/>
      <c r="P20" s="172"/>
      <c r="Q20" s="172"/>
      <c r="R20" s="172"/>
      <c r="S20" s="172">
        <f>SUM(S15:S19)</f>
        <v>1311007</v>
      </c>
      <c r="T20" s="191"/>
      <c r="U20" s="191"/>
    </row>
    <row r="21" spans="1:21" ht="12.75" x14ac:dyDescent="0.2">
      <c r="A21" s="167"/>
      <c r="B21" s="160"/>
      <c r="C21" s="160"/>
      <c r="D21" s="160"/>
      <c r="E21" s="160"/>
      <c r="F21" s="160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91"/>
      <c r="U21" s="191"/>
    </row>
    <row r="22" spans="1:21" ht="12.75" x14ac:dyDescent="0.2">
      <c r="A22" s="672">
        <f>A20+1</f>
        <v>9</v>
      </c>
      <c r="B22" s="160"/>
      <c r="C22" s="160"/>
      <c r="D22" s="160"/>
      <c r="E22" s="204" t="s">
        <v>1156</v>
      </c>
      <c r="F22" s="160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91"/>
      <c r="U22" s="191"/>
    </row>
    <row r="23" spans="1:21" ht="12.75" x14ac:dyDescent="0.2">
      <c r="A23" s="672">
        <f>A22+1</f>
        <v>10</v>
      </c>
      <c r="B23" s="160"/>
      <c r="C23" s="205">
        <v>304.10000000000002</v>
      </c>
      <c r="D23" s="160"/>
      <c r="E23" s="137" t="s">
        <v>1257</v>
      </c>
      <c r="F23" s="160"/>
      <c r="G23" s="1254">
        <v>7678.39</v>
      </c>
      <c r="H23" s="728"/>
      <c r="I23" s="1254">
        <v>0</v>
      </c>
      <c r="J23" s="728"/>
      <c r="K23" s="1254">
        <v>0</v>
      </c>
      <c r="L23" s="728"/>
      <c r="M23" s="1254">
        <v>0</v>
      </c>
      <c r="N23" s="172"/>
      <c r="O23" s="172"/>
      <c r="P23" s="172"/>
      <c r="Q23" s="172"/>
      <c r="R23" s="172"/>
      <c r="S23" s="178">
        <f>G23+I23-K23+M23</f>
        <v>7678.39</v>
      </c>
      <c r="T23" s="191"/>
      <c r="U23" s="191"/>
    </row>
    <row r="24" spans="1:21" ht="12.75" x14ac:dyDescent="0.2">
      <c r="A24" s="672">
        <f>A23+1</f>
        <v>11</v>
      </c>
      <c r="B24" s="160"/>
      <c r="C24" s="160"/>
      <c r="D24" s="160"/>
      <c r="E24" s="137" t="s">
        <v>1158</v>
      </c>
      <c r="F24" s="160"/>
      <c r="G24" s="172">
        <f>SUM(G23:G23)</f>
        <v>7678.39</v>
      </c>
      <c r="H24" s="172"/>
      <c r="I24" s="172">
        <f>SUM(I23:I23)</f>
        <v>0</v>
      </c>
      <c r="J24" s="172"/>
      <c r="K24" s="172">
        <f>SUM(K23:K23)</f>
        <v>0</v>
      </c>
      <c r="L24" s="172"/>
      <c r="M24" s="172">
        <f>SUM(M23:M23)</f>
        <v>0</v>
      </c>
      <c r="N24" s="172"/>
      <c r="O24" s="172"/>
      <c r="P24" s="172"/>
      <c r="Q24" s="172"/>
      <c r="R24" s="172"/>
      <c r="S24" s="172">
        <f>SUM(S23:S23)</f>
        <v>7678.39</v>
      </c>
      <c r="T24" s="191"/>
      <c r="U24" s="191"/>
    </row>
    <row r="25" spans="1:21" ht="12.75" x14ac:dyDescent="0.2">
      <c r="A25" s="672"/>
      <c r="B25" s="160"/>
      <c r="C25" s="160"/>
      <c r="D25" s="160"/>
      <c r="E25" s="160"/>
      <c r="F25" s="160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91"/>
      <c r="U25" s="191"/>
    </row>
    <row r="26" spans="1:21" ht="12.75" x14ac:dyDescent="0.2">
      <c r="A26" s="167">
        <f>A24+1</f>
        <v>12</v>
      </c>
      <c r="B26" s="160"/>
      <c r="C26" s="160"/>
      <c r="D26" s="160"/>
      <c r="E26" s="204" t="s">
        <v>1159</v>
      </c>
      <c r="F26" s="160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91"/>
      <c r="U26" s="191"/>
    </row>
    <row r="27" spans="1:21" ht="12.75" x14ac:dyDescent="0.2">
      <c r="A27" s="672">
        <f t="shared" ref="A27:A47" si="1">A26+1</f>
        <v>13</v>
      </c>
      <c r="B27" s="160"/>
      <c r="C27" s="205">
        <v>374.1</v>
      </c>
      <c r="D27" s="160"/>
      <c r="E27" s="137" t="s">
        <v>1258</v>
      </c>
      <c r="F27" s="160"/>
      <c r="G27" s="1253">
        <v>206</v>
      </c>
      <c r="H27" s="728"/>
      <c r="I27" s="1253">
        <v>0</v>
      </c>
      <c r="J27" s="728"/>
      <c r="K27" s="1253">
        <v>0</v>
      </c>
      <c r="L27" s="728"/>
      <c r="M27" s="1253">
        <v>0</v>
      </c>
      <c r="N27" s="172"/>
      <c r="O27" s="172"/>
      <c r="P27" s="172"/>
      <c r="Q27" s="172"/>
      <c r="R27" s="172"/>
      <c r="S27" s="172">
        <f t="shared" ref="S27:S47" si="2">G27+I27-K27+M27</f>
        <v>206</v>
      </c>
      <c r="T27" s="191"/>
      <c r="U27" s="191"/>
    </row>
    <row r="28" spans="1:21" ht="12.75" x14ac:dyDescent="0.2">
      <c r="A28" s="672">
        <f t="shared" si="1"/>
        <v>14</v>
      </c>
      <c r="B28" s="160"/>
      <c r="C28" s="205">
        <v>374.2</v>
      </c>
      <c r="D28" s="160"/>
      <c r="E28" s="137" t="s">
        <v>1259</v>
      </c>
      <c r="F28" s="160"/>
      <c r="G28" s="1253">
        <v>873471.06</v>
      </c>
      <c r="H28" s="728"/>
      <c r="I28" s="1253">
        <v>0</v>
      </c>
      <c r="J28" s="728"/>
      <c r="K28" s="1253">
        <v>0</v>
      </c>
      <c r="L28" s="728"/>
      <c r="M28" s="1253">
        <v>0</v>
      </c>
      <c r="N28" s="172"/>
      <c r="O28" s="172"/>
      <c r="P28" s="172"/>
      <c r="Q28" s="172"/>
      <c r="R28" s="172"/>
      <c r="S28" s="172">
        <f t="shared" si="2"/>
        <v>873471.06</v>
      </c>
      <c r="T28" s="191"/>
      <c r="U28" s="191"/>
    </row>
    <row r="29" spans="1:21" ht="12.75" x14ac:dyDescent="0.2">
      <c r="A29" s="672">
        <f t="shared" si="1"/>
        <v>15</v>
      </c>
      <c r="B29" s="160"/>
      <c r="C29" s="205">
        <v>374.4</v>
      </c>
      <c r="D29" s="160"/>
      <c r="E29" s="137" t="s">
        <v>1260</v>
      </c>
      <c r="F29" s="160"/>
      <c r="G29" s="1253">
        <v>474715.59</v>
      </c>
      <c r="H29" s="728"/>
      <c r="I29" s="1253">
        <v>6839.03</v>
      </c>
      <c r="J29" s="728"/>
      <c r="K29" s="1253">
        <v>0</v>
      </c>
      <c r="L29" s="728"/>
      <c r="M29" s="1253">
        <v>0</v>
      </c>
      <c r="N29" s="172"/>
      <c r="O29" s="172"/>
      <c r="P29" s="172"/>
      <c r="Q29" s="172"/>
      <c r="R29" s="172"/>
      <c r="S29" s="172">
        <f t="shared" si="2"/>
        <v>481554.62000000005</v>
      </c>
      <c r="T29" s="191"/>
      <c r="U29" s="191"/>
    </row>
    <row r="30" spans="1:21" ht="12.75" x14ac:dyDescent="0.2">
      <c r="A30" s="672">
        <f t="shared" si="1"/>
        <v>16</v>
      </c>
      <c r="B30" s="160"/>
      <c r="C30" s="205">
        <v>374.5</v>
      </c>
      <c r="D30" s="160"/>
      <c r="E30" s="137" t="s">
        <v>1261</v>
      </c>
      <c r="F30" s="160"/>
      <c r="G30" s="1253">
        <v>2673209.7200000002</v>
      </c>
      <c r="H30" s="728"/>
      <c r="I30" s="1253">
        <v>0</v>
      </c>
      <c r="J30" s="728"/>
      <c r="K30" s="1253">
        <v>0</v>
      </c>
      <c r="L30" s="728"/>
      <c r="M30" s="1253">
        <v>0</v>
      </c>
      <c r="N30" s="172"/>
      <c r="O30" s="172"/>
      <c r="P30" s="172"/>
      <c r="Q30" s="172"/>
      <c r="R30" s="172"/>
      <c r="S30" s="172">
        <f t="shared" si="2"/>
        <v>2673209.7200000002</v>
      </c>
      <c r="T30" s="191"/>
      <c r="U30" s="191"/>
    </row>
    <row r="31" spans="1:21" ht="12.75" x14ac:dyDescent="0.2">
      <c r="A31" s="672">
        <f t="shared" si="1"/>
        <v>17</v>
      </c>
      <c r="B31" s="160"/>
      <c r="C31" s="205">
        <v>375.2</v>
      </c>
      <c r="D31" s="160"/>
      <c r="E31" s="137" t="s">
        <v>1262</v>
      </c>
      <c r="F31" s="160"/>
      <c r="G31" s="1253">
        <v>5249.05</v>
      </c>
      <c r="H31" s="728"/>
      <c r="I31" s="1253">
        <v>0</v>
      </c>
      <c r="J31" s="728"/>
      <c r="K31" s="1253">
        <v>0</v>
      </c>
      <c r="L31" s="728"/>
      <c r="M31" s="1253">
        <v>0</v>
      </c>
      <c r="N31" s="172"/>
      <c r="O31" s="172"/>
      <c r="P31" s="172"/>
      <c r="Q31" s="172"/>
      <c r="R31" s="172"/>
      <c r="S31" s="172">
        <f t="shared" si="2"/>
        <v>5249.05</v>
      </c>
      <c r="T31" s="191"/>
      <c r="U31" s="191"/>
    </row>
    <row r="32" spans="1:21" ht="12.75" x14ac:dyDescent="0.2">
      <c r="A32" s="672">
        <f t="shared" si="1"/>
        <v>18</v>
      </c>
      <c r="B32" s="160"/>
      <c r="C32" s="205">
        <v>375.3</v>
      </c>
      <c r="D32" s="160"/>
      <c r="E32" s="137" t="s">
        <v>1263</v>
      </c>
      <c r="F32" s="160"/>
      <c r="G32" s="1253">
        <v>10848.26</v>
      </c>
      <c r="H32" s="728"/>
      <c r="I32" s="1253">
        <v>0</v>
      </c>
      <c r="J32" s="728"/>
      <c r="K32" s="1253">
        <v>0</v>
      </c>
      <c r="L32" s="728"/>
      <c r="M32" s="1253">
        <v>0</v>
      </c>
      <c r="N32" s="172"/>
      <c r="O32" s="172"/>
      <c r="P32" s="172"/>
      <c r="Q32" s="172"/>
      <c r="R32" s="172"/>
      <c r="S32" s="172">
        <f t="shared" si="2"/>
        <v>10848.26</v>
      </c>
      <c r="T32" s="191"/>
      <c r="U32" s="191"/>
    </row>
    <row r="33" spans="1:21" ht="12.75" x14ac:dyDescent="0.2">
      <c r="A33" s="672">
        <f t="shared" si="1"/>
        <v>19</v>
      </c>
      <c r="B33" s="160"/>
      <c r="C33" s="205">
        <v>375.4</v>
      </c>
      <c r="D33" s="160"/>
      <c r="E33" s="137" t="s">
        <v>1264</v>
      </c>
      <c r="F33" s="160"/>
      <c r="G33" s="1253">
        <v>583096.80000000005</v>
      </c>
      <c r="H33" s="728"/>
      <c r="I33" s="1253">
        <v>17163.53</v>
      </c>
      <c r="J33" s="728"/>
      <c r="K33" s="1253">
        <v>1434</v>
      </c>
      <c r="L33" s="728"/>
      <c r="M33" s="1253">
        <v>0</v>
      </c>
      <c r="N33" s="172"/>
      <c r="O33" s="172"/>
      <c r="P33" s="172"/>
      <c r="Q33" s="172"/>
      <c r="R33" s="172"/>
      <c r="S33" s="172">
        <f t="shared" si="2"/>
        <v>598826.33000000007</v>
      </c>
      <c r="T33" s="191"/>
      <c r="U33" s="191"/>
    </row>
    <row r="34" spans="1:21" ht="12.75" x14ac:dyDescent="0.2">
      <c r="A34" s="672">
        <f t="shared" si="1"/>
        <v>20</v>
      </c>
      <c r="B34" s="160"/>
      <c r="C34" s="205">
        <v>375.6</v>
      </c>
      <c r="D34" s="160"/>
      <c r="E34" s="137" t="s">
        <v>1265</v>
      </c>
      <c r="F34" s="160"/>
      <c r="G34" s="1253">
        <v>88210.2</v>
      </c>
      <c r="H34" s="728"/>
      <c r="I34" s="1253">
        <v>0</v>
      </c>
      <c r="J34" s="728"/>
      <c r="K34" s="1253">
        <v>0</v>
      </c>
      <c r="L34" s="728"/>
      <c r="M34" s="1253">
        <v>0</v>
      </c>
      <c r="N34" s="172"/>
      <c r="O34" s="172"/>
      <c r="P34" s="172"/>
      <c r="Q34" s="172"/>
      <c r="R34" s="172"/>
      <c r="S34" s="172">
        <f t="shared" si="2"/>
        <v>88210.2</v>
      </c>
      <c r="T34" s="191"/>
      <c r="U34" s="191"/>
    </row>
    <row r="35" spans="1:21" ht="12.75" x14ac:dyDescent="0.2">
      <c r="A35" s="672">
        <f t="shared" si="1"/>
        <v>21</v>
      </c>
      <c r="B35" s="160"/>
      <c r="C35" s="205">
        <v>375.7</v>
      </c>
      <c r="D35" s="160"/>
      <c r="E35" s="137" t="s">
        <v>1266</v>
      </c>
      <c r="F35" s="160"/>
      <c r="G35" s="1253">
        <v>7139095.9000000004</v>
      </c>
      <c r="H35" s="728"/>
      <c r="I35" s="1253">
        <v>62610.68</v>
      </c>
      <c r="J35" s="728"/>
      <c r="K35" s="1253">
        <v>0</v>
      </c>
      <c r="L35" s="728"/>
      <c r="M35" s="1253">
        <v>0</v>
      </c>
      <c r="N35" s="172"/>
      <c r="O35" s="172"/>
      <c r="P35" s="172"/>
      <c r="Q35" s="172"/>
      <c r="R35" s="172"/>
      <c r="S35" s="172">
        <f t="shared" si="2"/>
        <v>7201706.5800000001</v>
      </c>
      <c r="T35" s="191"/>
      <c r="U35" s="191"/>
    </row>
    <row r="36" spans="1:21" ht="12.75" x14ac:dyDescent="0.2">
      <c r="A36" s="672">
        <f t="shared" si="1"/>
        <v>22</v>
      </c>
      <c r="B36" s="160"/>
      <c r="C36" s="205">
        <v>375.71</v>
      </c>
      <c r="D36" s="160"/>
      <c r="E36" s="137" t="s">
        <v>1269</v>
      </c>
      <c r="F36" s="160"/>
      <c r="G36" s="1253">
        <v>74308.31</v>
      </c>
      <c r="H36" s="728"/>
      <c r="I36" s="1253">
        <v>0</v>
      </c>
      <c r="J36" s="728"/>
      <c r="K36" s="1253">
        <v>74308.31</v>
      </c>
      <c r="L36" s="728"/>
      <c r="M36" s="1253">
        <v>0</v>
      </c>
      <c r="N36" s="172"/>
      <c r="O36" s="172"/>
      <c r="P36" s="172"/>
      <c r="Q36" s="172"/>
      <c r="R36" s="172"/>
      <c r="S36" s="172">
        <f t="shared" si="2"/>
        <v>0</v>
      </c>
      <c r="T36" s="191"/>
      <c r="U36" s="191"/>
    </row>
    <row r="37" spans="1:21" ht="12.75" x14ac:dyDescent="0.2">
      <c r="A37" s="672">
        <f t="shared" si="1"/>
        <v>23</v>
      </c>
      <c r="B37" s="160"/>
      <c r="C37" s="205">
        <v>375.8</v>
      </c>
      <c r="D37" s="160"/>
      <c r="E37" s="137" t="s">
        <v>1290</v>
      </c>
      <c r="F37" s="160"/>
      <c r="G37" s="1253">
        <v>33260.58</v>
      </c>
      <c r="H37" s="728"/>
      <c r="I37" s="1253">
        <v>0</v>
      </c>
      <c r="J37" s="728"/>
      <c r="K37" s="1253">
        <v>0</v>
      </c>
      <c r="L37" s="728"/>
      <c r="M37" s="1253">
        <v>0</v>
      </c>
      <c r="N37" s="172"/>
      <c r="O37" s="172"/>
      <c r="P37" s="172"/>
      <c r="Q37" s="172"/>
      <c r="R37" s="172"/>
      <c r="S37" s="172">
        <f t="shared" si="2"/>
        <v>33260.58</v>
      </c>
      <c r="T37" s="191"/>
      <c r="U37" s="191"/>
    </row>
    <row r="38" spans="1:21" ht="12.75" x14ac:dyDescent="0.2">
      <c r="A38" s="672">
        <f t="shared" si="1"/>
        <v>24</v>
      </c>
      <c r="B38" s="160"/>
      <c r="C38" s="205">
        <v>376</v>
      </c>
      <c r="D38" s="160"/>
      <c r="E38" s="137" t="s">
        <v>1291</v>
      </c>
      <c r="F38" s="160"/>
      <c r="G38" s="1253">
        <v>136359779.71000001</v>
      </c>
      <c r="H38" s="728"/>
      <c r="I38" s="1253">
        <v>7224597.0099999998</v>
      </c>
      <c r="J38" s="728"/>
      <c r="K38" s="1253">
        <v>896714.26</v>
      </c>
      <c r="L38" s="728"/>
      <c r="M38" s="1253">
        <v>0</v>
      </c>
      <c r="N38" s="172"/>
      <c r="O38" s="172"/>
      <c r="P38" s="172"/>
      <c r="Q38" s="172"/>
      <c r="R38" s="172"/>
      <c r="S38" s="172">
        <f t="shared" si="2"/>
        <v>142687662.46000001</v>
      </c>
      <c r="T38" s="191"/>
      <c r="U38" s="191"/>
    </row>
    <row r="39" spans="1:21" ht="12.75" x14ac:dyDescent="0.2">
      <c r="A39" s="672">
        <f t="shared" si="1"/>
        <v>25</v>
      </c>
      <c r="B39" s="160"/>
      <c r="C39" s="205">
        <v>378.1</v>
      </c>
      <c r="D39" s="160"/>
      <c r="E39" s="137" t="s">
        <v>1292</v>
      </c>
      <c r="F39" s="160"/>
      <c r="G39" s="1253">
        <v>251814.94</v>
      </c>
      <c r="H39" s="728"/>
      <c r="I39" s="1253">
        <v>0</v>
      </c>
      <c r="J39" s="728"/>
      <c r="K39" s="1253">
        <v>1222.27</v>
      </c>
      <c r="L39" s="728"/>
      <c r="M39" s="1253">
        <v>0</v>
      </c>
      <c r="N39" s="172"/>
      <c r="O39" s="172"/>
      <c r="P39" s="172"/>
      <c r="Q39" s="172"/>
      <c r="R39" s="172"/>
      <c r="S39" s="172">
        <f t="shared" si="2"/>
        <v>250592.67</v>
      </c>
      <c r="T39" s="191"/>
      <c r="U39" s="191"/>
    </row>
    <row r="40" spans="1:21" ht="12.75" x14ac:dyDescent="0.2">
      <c r="A40" s="672">
        <f t="shared" si="1"/>
        <v>26</v>
      </c>
      <c r="B40" s="160"/>
      <c r="C40" s="205">
        <v>378.2</v>
      </c>
      <c r="D40" s="160"/>
      <c r="E40" s="137" t="s">
        <v>1293</v>
      </c>
      <c r="F40" s="160"/>
      <c r="G40" s="1253">
        <v>4362038.0199999996</v>
      </c>
      <c r="H40" s="728"/>
      <c r="I40" s="1253">
        <v>86593.18</v>
      </c>
      <c r="J40" s="728"/>
      <c r="K40" s="1253">
        <v>35952.19</v>
      </c>
      <c r="L40" s="728"/>
      <c r="M40" s="1253">
        <v>-2189</v>
      </c>
      <c r="N40" s="172"/>
      <c r="O40" s="172"/>
      <c r="P40" s="172"/>
      <c r="Q40" s="172"/>
      <c r="R40" s="172"/>
      <c r="S40" s="172">
        <f t="shared" si="2"/>
        <v>4410490.0099999988</v>
      </c>
      <c r="T40" s="191"/>
      <c r="U40" s="191"/>
    </row>
    <row r="41" spans="1:21" ht="12.75" x14ac:dyDescent="0.2">
      <c r="A41" s="672">
        <f t="shared" si="1"/>
        <v>27</v>
      </c>
      <c r="B41" s="160"/>
      <c r="C41" s="205">
        <v>378.3</v>
      </c>
      <c r="D41" s="160"/>
      <c r="E41" s="137" t="s">
        <v>1294</v>
      </c>
      <c r="F41" s="160"/>
      <c r="G41" s="1253">
        <v>54309.72</v>
      </c>
      <c r="H41" s="728"/>
      <c r="I41" s="1253">
        <v>0</v>
      </c>
      <c r="J41" s="728"/>
      <c r="K41" s="1253">
        <v>-436.92</v>
      </c>
      <c r="L41" s="728"/>
      <c r="M41" s="1253">
        <v>0</v>
      </c>
      <c r="N41" s="172"/>
      <c r="O41" s="172"/>
      <c r="P41" s="172"/>
      <c r="Q41" s="172"/>
      <c r="R41" s="172"/>
      <c r="S41" s="172">
        <f t="shared" si="2"/>
        <v>54746.64</v>
      </c>
      <c r="T41" s="191"/>
      <c r="U41" s="191"/>
    </row>
    <row r="42" spans="1:21" ht="12.75" x14ac:dyDescent="0.2">
      <c r="A42" s="672">
        <f t="shared" si="1"/>
        <v>28</v>
      </c>
      <c r="B42" s="160"/>
      <c r="C42" s="205">
        <v>379.1</v>
      </c>
      <c r="D42" s="160"/>
      <c r="E42" s="137" t="s">
        <v>1295</v>
      </c>
      <c r="F42" s="160"/>
      <c r="G42" s="1253">
        <v>257908.74</v>
      </c>
      <c r="H42" s="728"/>
      <c r="I42" s="1253">
        <v>0</v>
      </c>
      <c r="J42" s="728"/>
      <c r="K42" s="1253">
        <v>0</v>
      </c>
      <c r="L42" s="728"/>
      <c r="M42" s="1253">
        <v>0</v>
      </c>
      <c r="N42" s="172"/>
      <c r="O42" s="172"/>
      <c r="P42" s="172"/>
      <c r="Q42" s="172"/>
      <c r="R42" s="172"/>
      <c r="S42" s="172">
        <f t="shared" si="2"/>
        <v>257908.74</v>
      </c>
      <c r="T42" s="191"/>
      <c r="U42" s="191"/>
    </row>
    <row r="43" spans="1:21" ht="12.75" x14ac:dyDescent="0.2">
      <c r="A43" s="672">
        <f t="shared" si="1"/>
        <v>29</v>
      </c>
      <c r="B43" s="160"/>
      <c r="C43" s="205">
        <v>380</v>
      </c>
      <c r="D43" s="160"/>
      <c r="E43" s="137" t="s">
        <v>1296</v>
      </c>
      <c r="F43" s="160"/>
      <c r="G43" s="1253">
        <v>77295711.150000006</v>
      </c>
      <c r="H43" s="728"/>
      <c r="I43" s="1253">
        <v>3731541.49</v>
      </c>
      <c r="J43" s="728"/>
      <c r="K43" s="1253">
        <v>515199.35</v>
      </c>
      <c r="L43" s="728"/>
      <c r="M43" s="1253">
        <v>0</v>
      </c>
      <c r="N43" s="172"/>
      <c r="O43" s="172"/>
      <c r="P43" s="172"/>
      <c r="Q43" s="206"/>
      <c r="R43" s="172"/>
      <c r="S43" s="172">
        <f t="shared" si="2"/>
        <v>80512053.290000007</v>
      </c>
      <c r="T43" s="191"/>
      <c r="U43" s="191"/>
    </row>
    <row r="44" spans="1:21" ht="12.75" x14ac:dyDescent="0.2">
      <c r="A44" s="672">
        <f t="shared" si="1"/>
        <v>30</v>
      </c>
      <c r="B44" s="160"/>
      <c r="C44" s="205">
        <v>381</v>
      </c>
      <c r="D44" s="160"/>
      <c r="E44" s="137" t="s">
        <v>1297</v>
      </c>
      <c r="F44" s="160"/>
      <c r="G44" s="1253">
        <v>9636087.0099999998</v>
      </c>
      <c r="H44" s="728"/>
      <c r="I44" s="1253">
        <v>2228417.85</v>
      </c>
      <c r="J44" s="728"/>
      <c r="K44" s="1253">
        <v>156469.76000000001</v>
      </c>
      <c r="L44" s="728"/>
      <c r="M44" s="1253">
        <v>0</v>
      </c>
      <c r="N44" s="172"/>
      <c r="O44" s="172"/>
      <c r="P44" s="172"/>
      <c r="Q44" s="206"/>
      <c r="R44" s="172"/>
      <c r="S44" s="172">
        <f t="shared" si="2"/>
        <v>11708035.1</v>
      </c>
      <c r="T44" s="191"/>
      <c r="U44" s="191"/>
    </row>
    <row r="45" spans="1:21" ht="12.75" x14ac:dyDescent="0.2">
      <c r="A45" s="672">
        <f t="shared" si="1"/>
        <v>31</v>
      </c>
      <c r="B45" s="160"/>
      <c r="C45" s="205">
        <v>382</v>
      </c>
      <c r="D45" s="160"/>
      <c r="E45" s="137" t="s">
        <v>1298</v>
      </c>
      <c r="F45" s="160"/>
      <c r="G45" s="1253">
        <v>7745718.0199999996</v>
      </c>
      <c r="H45" s="728"/>
      <c r="I45" s="1253">
        <v>148594.76999999999</v>
      </c>
      <c r="J45" s="728"/>
      <c r="K45" s="1253">
        <v>75055.19</v>
      </c>
      <c r="L45" s="728"/>
      <c r="M45" s="1253">
        <v>0</v>
      </c>
      <c r="N45" s="172"/>
      <c r="O45" s="172"/>
      <c r="P45" s="172"/>
      <c r="Q45" s="206"/>
      <c r="R45" s="172"/>
      <c r="S45" s="172">
        <f t="shared" si="2"/>
        <v>7819257.5999999987</v>
      </c>
      <c r="T45" s="191"/>
      <c r="U45" s="191"/>
    </row>
    <row r="46" spans="1:21" ht="12.75" x14ac:dyDescent="0.2">
      <c r="A46" s="672">
        <f t="shared" si="1"/>
        <v>32</v>
      </c>
      <c r="B46" s="160"/>
      <c r="C46" s="205">
        <v>383</v>
      </c>
      <c r="D46" s="160"/>
      <c r="E46" s="137" t="s">
        <v>1299</v>
      </c>
      <c r="F46" s="160"/>
      <c r="G46" s="1253">
        <v>3303721</v>
      </c>
      <c r="H46" s="728"/>
      <c r="I46" s="1253">
        <v>362515.89</v>
      </c>
      <c r="J46" s="728"/>
      <c r="K46" s="1253">
        <v>7980.67</v>
      </c>
      <c r="L46" s="728"/>
      <c r="M46" s="1253">
        <v>0</v>
      </c>
      <c r="N46" s="172"/>
      <c r="O46" s="172"/>
      <c r="P46" s="172"/>
      <c r="Q46" s="172"/>
      <c r="R46" s="172"/>
      <c r="S46" s="172">
        <f t="shared" si="2"/>
        <v>3658256.22</v>
      </c>
      <c r="T46" s="191"/>
      <c r="U46" s="191"/>
    </row>
    <row r="47" spans="1:21" ht="12.75" x14ac:dyDescent="0.2">
      <c r="A47" s="672">
        <f t="shared" si="1"/>
        <v>33</v>
      </c>
      <c r="B47" s="160"/>
      <c r="C47" s="205">
        <v>384</v>
      </c>
      <c r="D47" s="160"/>
      <c r="E47" s="137" t="s">
        <v>1300</v>
      </c>
      <c r="F47" s="160"/>
      <c r="G47" s="1253">
        <v>2204787.71</v>
      </c>
      <c r="H47" s="728"/>
      <c r="I47" s="1253">
        <v>0</v>
      </c>
      <c r="J47" s="728"/>
      <c r="K47" s="1253">
        <v>-123200.61</v>
      </c>
      <c r="L47" s="728"/>
      <c r="M47" s="1253">
        <v>0</v>
      </c>
      <c r="N47" s="172"/>
      <c r="O47" s="172"/>
      <c r="P47" s="172"/>
      <c r="Q47" s="172"/>
      <c r="R47" s="172"/>
      <c r="S47" s="172">
        <f t="shared" si="2"/>
        <v>2327988.3199999998</v>
      </c>
      <c r="T47" s="191"/>
      <c r="U47" s="191"/>
    </row>
    <row r="48" spans="1:21" ht="12.75" x14ac:dyDescent="0.2">
      <c r="A48" s="167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89"/>
      <c r="U48" s="189"/>
    </row>
    <row r="49" spans="1:21" ht="12.75" x14ac:dyDescent="0.2">
      <c r="A49" s="1393" t="s">
        <v>477</v>
      </c>
      <c r="B49" s="1393"/>
      <c r="C49" s="1393"/>
      <c r="D49" s="1393"/>
      <c r="E49" s="1393"/>
      <c r="F49" s="1393"/>
      <c r="G49" s="1393"/>
      <c r="H49" s="1393"/>
      <c r="I49" s="1393"/>
      <c r="J49" s="1393"/>
      <c r="K49" s="1393"/>
      <c r="L49" s="1393"/>
      <c r="M49" s="1393"/>
      <c r="N49" s="1393"/>
      <c r="O49" s="1393"/>
      <c r="P49" s="1393"/>
      <c r="Q49" s="1393"/>
      <c r="R49" s="1393"/>
      <c r="S49" s="1393"/>
      <c r="T49" s="189"/>
      <c r="U49" s="189"/>
    </row>
    <row r="50" spans="1:21" ht="12.75" x14ac:dyDescent="0.2">
      <c r="A50" s="1392" t="str">
        <f>Input!C4</f>
        <v>CASE NO. 2017-xxxxx</v>
      </c>
      <c r="B50" s="1392"/>
      <c r="C50" s="1392"/>
      <c r="D50" s="1392"/>
      <c r="E50" s="1392"/>
      <c r="F50" s="1392"/>
      <c r="G50" s="1392"/>
      <c r="H50" s="1392"/>
      <c r="I50" s="1392"/>
      <c r="J50" s="1392"/>
      <c r="K50" s="1392"/>
      <c r="L50" s="1392"/>
      <c r="M50" s="1392"/>
      <c r="N50" s="1392"/>
      <c r="O50" s="1392"/>
      <c r="P50" s="1392"/>
      <c r="Q50" s="1392"/>
      <c r="R50" s="1392"/>
      <c r="S50" s="1392"/>
      <c r="T50" s="189"/>
      <c r="U50" s="189"/>
    </row>
    <row r="51" spans="1:21" ht="12.75" x14ac:dyDescent="0.2">
      <c r="A51" s="1393" t="s">
        <v>950</v>
      </c>
      <c r="B51" s="1393"/>
      <c r="C51" s="1393"/>
      <c r="D51" s="1393"/>
      <c r="E51" s="1393"/>
      <c r="F51" s="1393"/>
      <c r="G51" s="1393"/>
      <c r="H51" s="1393"/>
      <c r="I51" s="1393"/>
      <c r="J51" s="1393"/>
      <c r="K51" s="1393"/>
      <c r="L51" s="1393"/>
      <c r="M51" s="1393"/>
      <c r="N51" s="1393"/>
      <c r="O51" s="1393"/>
      <c r="P51" s="1393"/>
      <c r="Q51" s="1393"/>
      <c r="R51" s="1393"/>
      <c r="S51" s="1393"/>
      <c r="T51" s="189"/>
      <c r="U51" s="189"/>
    </row>
    <row r="52" spans="1:21" ht="12.75" x14ac:dyDescent="0.2">
      <c r="A52" s="1392" t="str">
        <f>Input!C10</f>
        <v>FROM DECEMBER 31, 2016 TO DECEMBER 31, 2017</v>
      </c>
      <c r="B52" s="1392"/>
      <c r="C52" s="1392"/>
      <c r="D52" s="1392"/>
      <c r="E52" s="1392"/>
      <c r="F52" s="1392"/>
      <c r="G52" s="1392"/>
      <c r="H52" s="1392"/>
      <c r="I52" s="1392"/>
      <c r="J52" s="1392"/>
      <c r="K52" s="1392"/>
      <c r="L52" s="1392"/>
      <c r="M52" s="1392"/>
      <c r="N52" s="1392"/>
      <c r="O52" s="1392"/>
      <c r="P52" s="1392"/>
      <c r="Q52" s="1392"/>
      <c r="R52" s="1392"/>
      <c r="S52" s="1392"/>
      <c r="T52" s="189"/>
      <c r="U52" s="189"/>
    </row>
    <row r="53" spans="1:21" ht="12.75" x14ac:dyDescent="0.2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89"/>
      <c r="U53" s="189"/>
    </row>
    <row r="54" spans="1:21" ht="12.75" x14ac:dyDescent="0.2">
      <c r="A54" s="137" t="s">
        <v>839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R54" s="160"/>
      <c r="S54" s="139" t="s">
        <v>1238</v>
      </c>
      <c r="T54" s="189"/>
      <c r="U54" s="189"/>
    </row>
    <row r="55" spans="1:21" ht="12.75" x14ac:dyDescent="0.2">
      <c r="A55" s="137" t="s">
        <v>490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R55" s="160"/>
      <c r="S55" s="139" t="s">
        <v>1301</v>
      </c>
      <c r="T55" s="189"/>
      <c r="U55" s="189"/>
    </row>
    <row r="56" spans="1:21" ht="12.75" x14ac:dyDescent="0.2">
      <c r="A56" s="140" t="s">
        <v>840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R56" s="161"/>
      <c r="S56" s="144" t="str">
        <f>Input!E27</f>
        <v>WITNESS:  C. Y. LAI</v>
      </c>
      <c r="T56" s="189"/>
      <c r="U56" s="189"/>
    </row>
    <row r="57" spans="1:21" ht="12.75" x14ac:dyDescent="0.2">
      <c r="A57" s="185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396" t="s">
        <v>1240</v>
      </c>
      <c r="N57" s="1396"/>
      <c r="O57" s="1396"/>
      <c r="P57" s="1396"/>
      <c r="Q57" s="1396"/>
      <c r="R57" s="203"/>
      <c r="S57" s="203"/>
      <c r="T57" s="189"/>
      <c r="U57" s="189"/>
    </row>
    <row r="58" spans="1:21" ht="12.75" x14ac:dyDescent="0.2">
      <c r="A58" s="164" t="s">
        <v>493</v>
      </c>
      <c r="B58" s="160"/>
      <c r="C58" s="164" t="s">
        <v>1143</v>
      </c>
      <c r="D58" s="160"/>
      <c r="E58" s="160"/>
      <c r="F58" s="160"/>
      <c r="G58" s="164" t="s">
        <v>1241</v>
      </c>
      <c r="H58" s="160"/>
      <c r="I58" s="160"/>
      <c r="J58" s="160"/>
      <c r="K58" s="160"/>
      <c r="L58" s="160"/>
      <c r="M58" s="160"/>
      <c r="N58" s="160"/>
      <c r="O58" s="164" t="s">
        <v>1242</v>
      </c>
      <c r="P58" s="160"/>
      <c r="Q58" s="164" t="s">
        <v>1243</v>
      </c>
      <c r="R58" s="160"/>
      <c r="S58" s="164" t="s">
        <v>1244</v>
      </c>
      <c r="T58" s="189"/>
      <c r="U58" s="189"/>
    </row>
    <row r="59" spans="1:21" ht="12.75" x14ac:dyDescent="0.2">
      <c r="A59" s="165" t="s">
        <v>496</v>
      </c>
      <c r="B59" s="161"/>
      <c r="C59" s="165" t="s">
        <v>496</v>
      </c>
      <c r="D59" s="161"/>
      <c r="E59" s="140" t="s">
        <v>841</v>
      </c>
      <c r="F59" s="161"/>
      <c r="G59" s="165" t="s">
        <v>1245</v>
      </c>
      <c r="H59" s="161"/>
      <c r="I59" s="165" t="s">
        <v>1246</v>
      </c>
      <c r="J59" s="161"/>
      <c r="K59" s="165" t="s">
        <v>1247</v>
      </c>
      <c r="L59" s="161"/>
      <c r="M59" s="165" t="s">
        <v>1248</v>
      </c>
      <c r="N59" s="161"/>
      <c r="O59" s="165" t="s">
        <v>1249</v>
      </c>
      <c r="P59" s="161"/>
      <c r="Q59" s="165" t="s">
        <v>1250</v>
      </c>
      <c r="R59" s="161"/>
      <c r="S59" s="165" t="s">
        <v>1245</v>
      </c>
      <c r="T59" s="189"/>
      <c r="U59" s="189"/>
    </row>
    <row r="60" spans="1:21" ht="12.75" x14ac:dyDescent="0.2">
      <c r="A60" s="167"/>
      <c r="B60" s="160"/>
      <c r="C60" s="160"/>
      <c r="D60" s="160"/>
      <c r="E60" s="160"/>
      <c r="F60" s="160"/>
      <c r="G60" s="164" t="s">
        <v>500</v>
      </c>
      <c r="H60" s="160"/>
      <c r="I60" s="164" t="s">
        <v>500</v>
      </c>
      <c r="J60" s="160"/>
      <c r="K60" s="164" t="s">
        <v>500</v>
      </c>
      <c r="L60" s="160"/>
      <c r="M60" s="164" t="s">
        <v>500</v>
      </c>
      <c r="N60" s="160"/>
      <c r="O60" s="160"/>
      <c r="P60" s="160"/>
      <c r="Q60" s="160"/>
      <c r="R60" s="160"/>
      <c r="S60" s="164" t="s">
        <v>500</v>
      </c>
      <c r="T60" s="189"/>
      <c r="U60" s="189"/>
    </row>
    <row r="61" spans="1:21" ht="12.75" x14ac:dyDescent="0.2">
      <c r="A61" s="167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89"/>
      <c r="U61" s="189"/>
    </row>
    <row r="62" spans="1:21" ht="12.75" x14ac:dyDescent="0.2">
      <c r="A62" s="672">
        <v>1</v>
      </c>
      <c r="B62" s="160"/>
      <c r="C62" s="205">
        <v>385</v>
      </c>
      <c r="D62" s="160"/>
      <c r="E62" s="137" t="s">
        <v>1302</v>
      </c>
      <c r="F62" s="160"/>
      <c r="G62" s="1253">
        <v>2634294.2400000002</v>
      </c>
      <c r="H62" s="728"/>
      <c r="I62" s="1253">
        <v>182628.72</v>
      </c>
      <c r="J62" s="728"/>
      <c r="K62" s="1253">
        <v>73550.98</v>
      </c>
      <c r="L62" s="728"/>
      <c r="M62" s="1253">
        <v>2189</v>
      </c>
      <c r="N62" s="172"/>
      <c r="O62" s="172"/>
      <c r="P62" s="172"/>
      <c r="Q62" s="206"/>
      <c r="R62" s="172"/>
      <c r="S62" s="172">
        <f t="shared" ref="S62:S68" si="3">G62+I62-K62+M62</f>
        <v>2745560.9800000004</v>
      </c>
      <c r="T62" s="191"/>
      <c r="U62" s="191"/>
    </row>
    <row r="63" spans="1:21" ht="12.75" x14ac:dyDescent="0.2">
      <c r="A63" s="672">
        <f t="shared" ref="A63:A69" si="4">A62+1</f>
        <v>2</v>
      </c>
      <c r="B63" s="160"/>
      <c r="C63" s="205">
        <v>387.2</v>
      </c>
      <c r="D63" s="160"/>
      <c r="E63" s="137" t="s">
        <v>1303</v>
      </c>
      <c r="F63" s="160"/>
      <c r="G63" s="1253">
        <v>183023.18</v>
      </c>
      <c r="H63" s="728"/>
      <c r="I63" s="1253">
        <v>0</v>
      </c>
      <c r="J63" s="728"/>
      <c r="K63" s="1253">
        <v>154128.18</v>
      </c>
      <c r="L63" s="728"/>
      <c r="M63" s="1253">
        <v>0</v>
      </c>
      <c r="N63" s="172"/>
      <c r="O63" s="172"/>
      <c r="P63" s="172"/>
      <c r="Q63" s="172"/>
      <c r="R63" s="172"/>
      <c r="S63" s="172">
        <f t="shared" si="3"/>
        <v>28895</v>
      </c>
      <c r="T63" s="191"/>
      <c r="U63" s="191"/>
    </row>
    <row r="64" spans="1:21" ht="12.75" x14ac:dyDescent="0.2">
      <c r="A64" s="672">
        <f t="shared" si="4"/>
        <v>3</v>
      </c>
      <c r="B64" s="160"/>
      <c r="C64" s="205">
        <v>387.41</v>
      </c>
      <c r="D64" s="160"/>
      <c r="E64" s="137" t="s">
        <v>1304</v>
      </c>
      <c r="F64" s="160"/>
      <c r="G64" s="1253">
        <v>711145.89</v>
      </c>
      <c r="H64" s="728"/>
      <c r="I64" s="1253">
        <v>6.12</v>
      </c>
      <c r="J64" s="728"/>
      <c r="K64" s="1253">
        <v>0</v>
      </c>
      <c r="L64" s="728"/>
      <c r="M64" s="1253">
        <v>0</v>
      </c>
      <c r="N64" s="172"/>
      <c r="O64" s="172"/>
      <c r="P64" s="172"/>
      <c r="Q64" s="172"/>
      <c r="R64" s="172"/>
      <c r="S64" s="172">
        <f t="shared" si="3"/>
        <v>711152.01</v>
      </c>
      <c r="T64" s="191"/>
      <c r="U64" s="191"/>
    </row>
    <row r="65" spans="1:21" ht="12.75" x14ac:dyDescent="0.2">
      <c r="A65" s="672">
        <f t="shared" si="4"/>
        <v>4</v>
      </c>
      <c r="B65" s="160"/>
      <c r="C65" s="205">
        <v>387.42</v>
      </c>
      <c r="D65" s="160"/>
      <c r="E65" s="137" t="s">
        <v>1305</v>
      </c>
      <c r="F65" s="160"/>
      <c r="G65" s="1253">
        <v>871780.6</v>
      </c>
      <c r="H65" s="728"/>
      <c r="I65" s="1253">
        <v>0</v>
      </c>
      <c r="J65" s="728"/>
      <c r="K65" s="1253">
        <v>-978.48</v>
      </c>
      <c r="L65" s="728"/>
      <c r="M65" s="1253">
        <v>0</v>
      </c>
      <c r="N65" s="172"/>
      <c r="O65" s="172"/>
      <c r="P65" s="172"/>
      <c r="Q65" s="206"/>
      <c r="R65" s="172"/>
      <c r="S65" s="172">
        <f t="shared" si="3"/>
        <v>872759.08</v>
      </c>
      <c r="T65" s="191"/>
      <c r="U65" s="191"/>
    </row>
    <row r="66" spans="1:21" ht="12.75" x14ac:dyDescent="0.2">
      <c r="A66" s="672">
        <f t="shared" si="4"/>
        <v>5</v>
      </c>
      <c r="B66" s="160"/>
      <c r="C66" s="205">
        <v>387.44</v>
      </c>
      <c r="D66" s="160"/>
      <c r="E66" s="137" t="s">
        <v>1306</v>
      </c>
      <c r="F66" s="160"/>
      <c r="G66" s="1253">
        <v>140195.17000000001</v>
      </c>
      <c r="H66" s="728"/>
      <c r="I66" s="1253">
        <v>29622.27</v>
      </c>
      <c r="J66" s="728"/>
      <c r="K66" s="1253">
        <v>0</v>
      </c>
      <c r="L66" s="728"/>
      <c r="M66" s="1253">
        <v>0</v>
      </c>
      <c r="N66" s="172"/>
      <c r="O66" s="172"/>
      <c r="P66" s="172"/>
      <c r="Q66" s="172"/>
      <c r="R66" s="172"/>
      <c r="S66" s="172">
        <f t="shared" si="3"/>
        <v>169817.44</v>
      </c>
      <c r="T66" s="191"/>
      <c r="U66" s="191"/>
    </row>
    <row r="67" spans="1:21" ht="12.75" x14ac:dyDescent="0.2">
      <c r="A67" s="672">
        <f t="shared" si="4"/>
        <v>6</v>
      </c>
      <c r="B67" s="160"/>
      <c r="C67" s="205">
        <v>387.45</v>
      </c>
      <c r="D67" s="160"/>
      <c r="E67" s="137" t="s">
        <v>1307</v>
      </c>
      <c r="F67" s="160"/>
      <c r="G67" s="1253">
        <v>1294808.8600000001</v>
      </c>
      <c r="H67" s="728"/>
      <c r="I67" s="1253">
        <v>46316.81</v>
      </c>
      <c r="J67" s="728"/>
      <c r="K67" s="1253">
        <v>-36.72</v>
      </c>
      <c r="L67" s="728"/>
      <c r="M67" s="1253">
        <v>0</v>
      </c>
      <c r="N67" s="172"/>
      <c r="O67" s="172"/>
      <c r="P67" s="172"/>
      <c r="Q67" s="206"/>
      <c r="R67" s="172"/>
      <c r="S67" s="172">
        <f t="shared" si="3"/>
        <v>1341162.3900000001</v>
      </c>
      <c r="T67" s="191"/>
      <c r="U67" s="191"/>
    </row>
    <row r="68" spans="1:21" ht="12.75" x14ac:dyDescent="0.2">
      <c r="A68" s="672">
        <f t="shared" si="4"/>
        <v>7</v>
      </c>
      <c r="B68" s="160"/>
      <c r="C68" s="205">
        <v>387.46</v>
      </c>
      <c r="D68" s="160"/>
      <c r="E68" s="137" t="s">
        <v>1308</v>
      </c>
      <c r="F68" s="160"/>
      <c r="G68" s="1255">
        <v>127354.97</v>
      </c>
      <c r="H68" s="728"/>
      <c r="I68" s="1254">
        <v>0</v>
      </c>
      <c r="J68" s="728"/>
      <c r="K68" s="1255">
        <v>0</v>
      </c>
      <c r="L68" s="728"/>
      <c r="M68" s="1255">
        <v>0</v>
      </c>
      <c r="N68" s="172"/>
      <c r="O68" s="172"/>
      <c r="P68" s="172"/>
      <c r="Q68" s="172"/>
      <c r="R68" s="172"/>
      <c r="S68" s="176">
        <f t="shared" si="3"/>
        <v>127354.97</v>
      </c>
      <c r="T68" s="191"/>
      <c r="U68" s="191"/>
    </row>
    <row r="69" spans="1:21" ht="12.75" x14ac:dyDescent="0.2">
      <c r="A69" s="672">
        <f t="shared" si="4"/>
        <v>8</v>
      </c>
      <c r="B69" s="160"/>
      <c r="C69" s="160"/>
      <c r="D69" s="160"/>
      <c r="E69" s="137" t="s">
        <v>1199</v>
      </c>
      <c r="F69" s="160"/>
      <c r="G69" s="172">
        <f>SUM(G27:G47,G62:G68)</f>
        <v>259390150.40000004</v>
      </c>
      <c r="H69" s="172"/>
      <c r="I69" s="172">
        <f>SUM(I27:I47,I62:I68)</f>
        <v>14127447.35</v>
      </c>
      <c r="J69" s="172"/>
      <c r="K69" s="172">
        <f>SUM(K27:K47,K62:K68)</f>
        <v>1867362.4299999997</v>
      </c>
      <c r="L69" s="172"/>
      <c r="M69" s="172">
        <f>SUM(M27:M47,M62:M68)</f>
        <v>0</v>
      </c>
      <c r="N69" s="172"/>
      <c r="O69" s="172"/>
      <c r="P69" s="172"/>
      <c r="Q69" s="172"/>
      <c r="R69" s="172"/>
      <c r="S69" s="172">
        <f>SUM(S27:S47,S62:S68)</f>
        <v>271650235.31999993</v>
      </c>
      <c r="T69" s="191"/>
      <c r="U69" s="191"/>
    </row>
    <row r="70" spans="1:21" ht="12.75" x14ac:dyDescent="0.2">
      <c r="A70" s="167"/>
      <c r="B70" s="160"/>
      <c r="C70" s="160"/>
      <c r="D70" s="160"/>
      <c r="E70" s="160"/>
      <c r="F70" s="160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91"/>
      <c r="U70" s="191"/>
    </row>
    <row r="71" spans="1:21" ht="12.75" x14ac:dyDescent="0.2">
      <c r="A71" s="167">
        <f>A69+1</f>
        <v>9</v>
      </c>
      <c r="B71" s="160"/>
      <c r="C71" s="160"/>
      <c r="D71" s="160"/>
      <c r="E71" s="204" t="s">
        <v>1200</v>
      </c>
      <c r="F71" s="160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91"/>
      <c r="U71" s="191"/>
    </row>
    <row r="72" spans="1:21" ht="12.75" x14ac:dyDescent="0.2">
      <c r="A72" s="672">
        <f t="shared" ref="A72:A85" si="5">A71+1</f>
        <v>10</v>
      </c>
      <c r="B72" s="160"/>
      <c r="C72" s="205">
        <v>391.1</v>
      </c>
      <c r="D72" s="160"/>
      <c r="E72" s="137" t="s">
        <v>1309</v>
      </c>
      <c r="F72" s="160"/>
      <c r="G72" s="1253">
        <v>1219311.73</v>
      </c>
      <c r="H72" s="728"/>
      <c r="I72" s="1253">
        <v>0</v>
      </c>
      <c r="J72" s="728"/>
      <c r="K72" s="1253">
        <v>12308.28</v>
      </c>
      <c r="L72" s="728"/>
      <c r="M72" s="1253">
        <v>0</v>
      </c>
      <c r="N72" s="172"/>
      <c r="O72" s="172"/>
      <c r="P72" s="172"/>
      <c r="Q72" s="206"/>
      <c r="R72" s="172"/>
      <c r="S72" s="172">
        <f t="shared" ref="S72:S84" si="6">G72+I72-K72+M72</f>
        <v>1207003.45</v>
      </c>
      <c r="T72" s="191"/>
      <c r="U72" s="191"/>
    </row>
    <row r="73" spans="1:21" ht="12.75" x14ac:dyDescent="0.2">
      <c r="A73" s="672">
        <f t="shared" si="5"/>
        <v>11</v>
      </c>
      <c r="B73" s="160"/>
      <c r="C73" s="205">
        <v>391.11</v>
      </c>
      <c r="D73" s="160"/>
      <c r="E73" s="137" t="s">
        <v>1310</v>
      </c>
      <c r="F73" s="160"/>
      <c r="G73" s="1253">
        <v>27553.81</v>
      </c>
      <c r="H73" s="728"/>
      <c r="I73" s="1253">
        <v>0</v>
      </c>
      <c r="J73" s="728"/>
      <c r="K73" s="1253">
        <v>13737.8</v>
      </c>
      <c r="L73" s="728"/>
      <c r="M73" s="1253">
        <v>0</v>
      </c>
      <c r="N73" s="172"/>
      <c r="O73" s="172"/>
      <c r="P73" s="172"/>
      <c r="Q73" s="206"/>
      <c r="R73" s="172"/>
      <c r="S73" s="172">
        <f t="shared" si="6"/>
        <v>13816.010000000002</v>
      </c>
      <c r="T73" s="191"/>
      <c r="U73" s="191"/>
    </row>
    <row r="74" spans="1:21" ht="12.75" x14ac:dyDescent="0.2">
      <c r="A74" s="672">
        <f t="shared" si="5"/>
        <v>12</v>
      </c>
      <c r="B74" s="160"/>
      <c r="C74" s="205">
        <v>391.12</v>
      </c>
      <c r="D74" s="160"/>
      <c r="E74" s="137" t="s">
        <v>1311</v>
      </c>
      <c r="F74" s="160"/>
      <c r="G74" s="1253">
        <v>219895.2</v>
      </c>
      <c r="H74" s="728"/>
      <c r="I74" s="1253">
        <v>40271.94</v>
      </c>
      <c r="J74" s="728"/>
      <c r="K74" s="1253">
        <v>9532.2000000000007</v>
      </c>
      <c r="L74" s="728"/>
      <c r="M74" s="1253">
        <v>0</v>
      </c>
      <c r="N74" s="172"/>
      <c r="O74" s="172"/>
      <c r="P74" s="172"/>
      <c r="Q74" s="206"/>
      <c r="R74" s="172"/>
      <c r="S74" s="172">
        <f t="shared" si="6"/>
        <v>250634.94</v>
      </c>
      <c r="T74" s="191"/>
      <c r="U74" s="191"/>
    </row>
    <row r="75" spans="1:21" ht="12.75" x14ac:dyDescent="0.2">
      <c r="A75" s="672">
        <f t="shared" si="5"/>
        <v>13</v>
      </c>
      <c r="B75" s="160"/>
      <c r="C75" s="205">
        <v>392.2</v>
      </c>
      <c r="D75" s="160"/>
      <c r="E75" s="137" t="s">
        <v>1312</v>
      </c>
      <c r="F75" s="160"/>
      <c r="G75" s="1253">
        <v>129059.89</v>
      </c>
      <c r="H75" s="728"/>
      <c r="I75" s="1253">
        <v>0</v>
      </c>
      <c r="J75" s="728"/>
      <c r="K75" s="1253">
        <v>15839.91</v>
      </c>
      <c r="L75" s="728"/>
      <c r="M75" s="1253">
        <v>0</v>
      </c>
      <c r="N75" s="172"/>
      <c r="O75" s="172"/>
      <c r="P75" s="172"/>
      <c r="Q75" s="206"/>
      <c r="R75" s="172"/>
      <c r="S75" s="172">
        <f t="shared" si="6"/>
        <v>113219.98</v>
      </c>
      <c r="T75" s="191"/>
      <c r="U75" s="191"/>
    </row>
    <row r="76" spans="1:21" ht="12.75" x14ac:dyDescent="0.2">
      <c r="A76" s="672">
        <f t="shared" si="5"/>
        <v>14</v>
      </c>
      <c r="B76" s="160"/>
      <c r="C76" s="205">
        <v>392.21</v>
      </c>
      <c r="D76" s="160"/>
      <c r="E76" s="137" t="s">
        <v>1313</v>
      </c>
      <c r="F76" s="160"/>
      <c r="G76" s="1253">
        <v>3398.75</v>
      </c>
      <c r="H76" s="728"/>
      <c r="I76" s="1253">
        <v>0</v>
      </c>
      <c r="J76" s="728"/>
      <c r="K76" s="1253">
        <v>0</v>
      </c>
      <c r="L76" s="728"/>
      <c r="M76" s="1253">
        <v>0</v>
      </c>
      <c r="N76" s="172"/>
      <c r="O76" s="172"/>
      <c r="P76" s="172"/>
      <c r="Q76" s="172"/>
      <c r="R76" s="172"/>
      <c r="S76" s="172">
        <f t="shared" si="6"/>
        <v>3398.75</v>
      </c>
      <c r="T76" s="191"/>
      <c r="U76" s="191"/>
    </row>
    <row r="77" spans="1:21" ht="12.75" x14ac:dyDescent="0.2">
      <c r="A77" s="672">
        <f t="shared" si="5"/>
        <v>15</v>
      </c>
      <c r="B77" s="160"/>
      <c r="C77" s="205">
        <v>393</v>
      </c>
      <c r="D77" s="160"/>
      <c r="E77" s="137" t="s">
        <v>1314</v>
      </c>
      <c r="F77" s="160"/>
      <c r="G77" s="1253">
        <v>0</v>
      </c>
      <c r="H77" s="728"/>
      <c r="I77" s="1253">
        <v>0</v>
      </c>
      <c r="J77" s="728"/>
      <c r="K77" s="1253">
        <v>0</v>
      </c>
      <c r="L77" s="728"/>
      <c r="M77" s="1253">
        <v>0</v>
      </c>
      <c r="N77" s="172"/>
      <c r="O77" s="172"/>
      <c r="P77" s="172"/>
      <c r="Q77" s="172"/>
      <c r="R77" s="172"/>
      <c r="S77" s="172">
        <f t="shared" si="6"/>
        <v>0</v>
      </c>
      <c r="T77" s="191"/>
      <c r="U77" s="191"/>
    </row>
    <row r="78" spans="1:21" ht="12.75" x14ac:dyDescent="0.2">
      <c r="A78" s="672">
        <f t="shared" si="5"/>
        <v>16</v>
      </c>
      <c r="B78" s="160"/>
      <c r="C78" s="207">
        <v>394.1</v>
      </c>
      <c r="D78" s="160"/>
      <c r="E78" s="137" t="s">
        <v>1315</v>
      </c>
      <c r="F78" s="160"/>
      <c r="G78" s="1253">
        <v>26580.01</v>
      </c>
      <c r="H78" s="728"/>
      <c r="I78" s="1253">
        <v>0</v>
      </c>
      <c r="J78" s="728"/>
      <c r="K78" s="1253">
        <v>0</v>
      </c>
      <c r="L78" s="728"/>
      <c r="M78" s="1253">
        <v>0</v>
      </c>
      <c r="N78" s="172"/>
      <c r="O78" s="172"/>
      <c r="P78" s="172"/>
      <c r="Q78" s="172"/>
      <c r="R78" s="172"/>
      <c r="S78" s="172">
        <f t="shared" si="6"/>
        <v>26580.01</v>
      </c>
      <c r="T78" s="191"/>
      <c r="U78" s="191"/>
    </row>
    <row r="79" spans="1:21" ht="12.75" x14ac:dyDescent="0.2">
      <c r="A79" s="672">
        <f t="shared" si="5"/>
        <v>17</v>
      </c>
      <c r="B79" s="160"/>
      <c r="C79" s="207">
        <v>394.11</v>
      </c>
      <c r="D79" s="160"/>
      <c r="E79" s="137" t="s">
        <v>1316</v>
      </c>
      <c r="F79" s="160"/>
      <c r="G79" s="1253">
        <v>136515.63</v>
      </c>
      <c r="H79" s="728"/>
      <c r="I79" s="1253">
        <v>0</v>
      </c>
      <c r="J79" s="728"/>
      <c r="K79" s="1253">
        <v>-198792.44</v>
      </c>
      <c r="L79" s="728"/>
      <c r="M79" s="1253">
        <v>0</v>
      </c>
      <c r="N79" s="172"/>
      <c r="O79" s="172"/>
      <c r="P79" s="172"/>
      <c r="Q79" s="172"/>
      <c r="R79" s="172"/>
      <c r="S79" s="172">
        <f t="shared" si="6"/>
        <v>335308.07</v>
      </c>
      <c r="T79" s="191"/>
      <c r="U79" s="191"/>
    </row>
    <row r="80" spans="1:21" ht="12.75" x14ac:dyDescent="0.2">
      <c r="A80" s="672">
        <f t="shared" si="5"/>
        <v>18</v>
      </c>
      <c r="B80" s="160"/>
      <c r="C80" s="205">
        <v>394.2</v>
      </c>
      <c r="D80" s="160"/>
      <c r="E80" s="137" t="s">
        <v>1317</v>
      </c>
      <c r="F80" s="160"/>
      <c r="G80" s="1253">
        <v>0</v>
      </c>
      <c r="H80" s="728"/>
      <c r="I80" s="1253">
        <v>0</v>
      </c>
      <c r="J80" s="728"/>
      <c r="K80" s="1253">
        <v>0</v>
      </c>
      <c r="L80" s="728"/>
      <c r="M80" s="1253">
        <v>0</v>
      </c>
      <c r="N80" s="172"/>
      <c r="O80" s="172"/>
      <c r="P80" s="172"/>
      <c r="Q80" s="172"/>
      <c r="R80" s="172"/>
      <c r="S80" s="172">
        <f t="shared" si="6"/>
        <v>0</v>
      </c>
      <c r="T80" s="191"/>
      <c r="U80" s="191"/>
    </row>
    <row r="81" spans="1:21" ht="12.75" x14ac:dyDescent="0.2">
      <c r="A81" s="672">
        <f t="shared" si="5"/>
        <v>19</v>
      </c>
      <c r="B81" s="160"/>
      <c r="C81" s="205">
        <v>394.3</v>
      </c>
      <c r="D81" s="160"/>
      <c r="E81" s="137" t="s">
        <v>1318</v>
      </c>
      <c r="F81" s="160"/>
      <c r="G81" s="1253">
        <v>1677796.21</v>
      </c>
      <c r="H81" s="728"/>
      <c r="I81" s="1253">
        <v>274561.15999999997</v>
      </c>
      <c r="J81" s="728"/>
      <c r="K81" s="1253">
        <v>32342.74</v>
      </c>
      <c r="L81" s="728"/>
      <c r="M81" s="1253">
        <v>0</v>
      </c>
      <c r="N81" s="172"/>
      <c r="O81" s="172"/>
      <c r="P81" s="172"/>
      <c r="Q81" s="206"/>
      <c r="R81" s="172"/>
      <c r="S81" s="172">
        <f t="shared" si="6"/>
        <v>1920014.63</v>
      </c>
      <c r="T81" s="191"/>
      <c r="U81" s="191"/>
    </row>
    <row r="82" spans="1:21" ht="12.75" x14ac:dyDescent="0.2">
      <c r="A82" s="672">
        <f t="shared" si="5"/>
        <v>20</v>
      </c>
      <c r="B82" s="160"/>
      <c r="C82" s="205">
        <v>395</v>
      </c>
      <c r="D82" s="160"/>
      <c r="E82" s="137" t="s">
        <v>1319</v>
      </c>
      <c r="F82" s="160"/>
      <c r="G82" s="1253">
        <v>10307.98</v>
      </c>
      <c r="H82" s="728"/>
      <c r="I82" s="1253">
        <v>0</v>
      </c>
      <c r="J82" s="728"/>
      <c r="K82" s="1253">
        <v>0</v>
      </c>
      <c r="L82" s="728"/>
      <c r="M82" s="1253">
        <v>0</v>
      </c>
      <c r="N82" s="172"/>
      <c r="O82" s="172"/>
      <c r="P82" s="172"/>
      <c r="Q82" s="172"/>
      <c r="R82" s="172"/>
      <c r="S82" s="172">
        <f t="shared" si="6"/>
        <v>10307.98</v>
      </c>
      <c r="T82" s="191"/>
      <c r="U82" s="191"/>
    </row>
    <row r="83" spans="1:21" ht="12.75" x14ac:dyDescent="0.2">
      <c r="A83" s="672">
        <f t="shared" si="5"/>
        <v>21</v>
      </c>
      <c r="B83" s="160"/>
      <c r="C83" s="205">
        <v>396</v>
      </c>
      <c r="D83" s="160"/>
      <c r="E83" s="137" t="s">
        <v>1320</v>
      </c>
      <c r="F83" s="160"/>
      <c r="G83" s="1253">
        <v>653814.37</v>
      </c>
      <c r="H83" s="728"/>
      <c r="I83" s="1253">
        <v>0</v>
      </c>
      <c r="J83" s="728"/>
      <c r="K83" s="1253">
        <v>0</v>
      </c>
      <c r="L83" s="728"/>
      <c r="M83" s="1253">
        <v>0</v>
      </c>
      <c r="N83" s="172"/>
      <c r="O83" s="172"/>
      <c r="P83" s="172"/>
      <c r="Q83" s="172"/>
      <c r="R83" s="172"/>
      <c r="S83" s="172">
        <f t="shared" si="6"/>
        <v>653814.37</v>
      </c>
      <c r="T83" s="191"/>
      <c r="U83" s="191"/>
    </row>
    <row r="84" spans="1:21" ht="12.75" x14ac:dyDescent="0.2">
      <c r="A84" s="672">
        <f t="shared" si="5"/>
        <v>22</v>
      </c>
      <c r="B84" s="160"/>
      <c r="C84" s="205">
        <v>398</v>
      </c>
      <c r="D84" s="160"/>
      <c r="E84" s="137" t="s">
        <v>1321</v>
      </c>
      <c r="F84" s="160"/>
      <c r="G84" s="1255">
        <v>91475.08</v>
      </c>
      <c r="H84" s="728"/>
      <c r="I84" s="1254">
        <v>1508.23</v>
      </c>
      <c r="J84" s="728"/>
      <c r="K84" s="1255">
        <v>14051.14</v>
      </c>
      <c r="L84" s="728"/>
      <c r="M84" s="1255">
        <v>0</v>
      </c>
      <c r="N84" s="172"/>
      <c r="O84" s="172"/>
      <c r="P84" s="172"/>
      <c r="Q84" s="206"/>
      <c r="R84" s="172"/>
      <c r="S84" s="176">
        <f t="shared" si="6"/>
        <v>78932.17</v>
      </c>
      <c r="T84" s="191"/>
      <c r="U84" s="191"/>
    </row>
    <row r="85" spans="1:21" ht="12.75" x14ac:dyDescent="0.2">
      <c r="A85" s="672">
        <f t="shared" si="5"/>
        <v>23</v>
      </c>
      <c r="B85" s="160"/>
      <c r="C85" s="160"/>
      <c r="D85" s="160"/>
      <c r="E85" s="137" t="s">
        <v>1220</v>
      </c>
      <c r="F85" s="160"/>
      <c r="G85" s="172">
        <f>SUM(G72:G84)</f>
        <v>4195708.66</v>
      </c>
      <c r="H85" s="172"/>
      <c r="I85" s="172">
        <f>SUM(I72:I84)</f>
        <v>316341.32999999996</v>
      </c>
      <c r="J85" s="172"/>
      <c r="K85" s="172">
        <f>SUM(K72:K84)</f>
        <v>-100980.37</v>
      </c>
      <c r="L85" s="172"/>
      <c r="M85" s="172">
        <f>SUM(M72:M84)</f>
        <v>0</v>
      </c>
      <c r="N85" s="172"/>
      <c r="O85" s="172"/>
      <c r="P85" s="172"/>
      <c r="Q85" s="172"/>
      <c r="R85" s="172"/>
      <c r="S85" s="172">
        <f>SUM(S72:S84)</f>
        <v>4613030.3599999994</v>
      </c>
      <c r="T85" s="191"/>
      <c r="U85" s="191"/>
    </row>
    <row r="86" spans="1:21" ht="12.75" x14ac:dyDescent="0.2">
      <c r="A86" s="672"/>
      <c r="B86" s="160"/>
      <c r="C86" s="160"/>
      <c r="D86" s="160"/>
      <c r="E86" s="160"/>
      <c r="F86" s="160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91"/>
      <c r="U86" s="191"/>
    </row>
    <row r="87" spans="1:21" ht="13.5" thickBot="1" x14ac:dyDescent="0.25">
      <c r="A87" s="672">
        <f>A85+1</f>
        <v>24</v>
      </c>
      <c r="B87" s="160"/>
      <c r="C87" s="160"/>
      <c r="D87" s="160"/>
      <c r="E87" s="137" t="s">
        <v>1326</v>
      </c>
      <c r="F87" s="160"/>
      <c r="G87" s="187">
        <f>G20+G24+G69+G85</f>
        <v>264962745.56000003</v>
      </c>
      <c r="H87" s="172"/>
      <c r="I87" s="187">
        <f>I20+I24+I69+I85</f>
        <v>14659397.16</v>
      </c>
      <c r="J87" s="172"/>
      <c r="K87" s="187">
        <f>K20+K24+K69+K85</f>
        <v>2040191.6499999994</v>
      </c>
      <c r="L87" s="172"/>
      <c r="M87" s="188">
        <f>M20+M24+M69+M85</f>
        <v>0</v>
      </c>
      <c r="N87" s="172"/>
      <c r="O87" s="172"/>
      <c r="P87" s="172"/>
      <c r="Q87" s="172"/>
      <c r="R87" s="172"/>
      <c r="S87" s="187">
        <f>S20+S24+S69+S85</f>
        <v>277581951.06999993</v>
      </c>
      <c r="T87" s="191"/>
      <c r="U87" s="191"/>
    </row>
    <row r="88" spans="1:21" ht="13.5" thickTop="1" x14ac:dyDescent="0.2">
      <c r="A88" s="167"/>
      <c r="B88" s="160"/>
      <c r="C88" s="160"/>
      <c r="D88" s="160"/>
      <c r="E88" s="137"/>
      <c r="F88" s="160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89"/>
      <c r="U88" s="189"/>
    </row>
    <row r="89" spans="1:21" ht="12.75" x14ac:dyDescent="0.2">
      <c r="A89" s="1393" t="s">
        <v>477</v>
      </c>
      <c r="B89" s="1393"/>
      <c r="C89" s="1393"/>
      <c r="D89" s="1393"/>
      <c r="E89" s="1393"/>
      <c r="F89" s="1393"/>
      <c r="G89" s="1393"/>
      <c r="H89" s="1393"/>
      <c r="I89" s="1393"/>
      <c r="J89" s="1393"/>
      <c r="K89" s="1393"/>
      <c r="L89" s="1393"/>
      <c r="M89" s="1393"/>
      <c r="N89" s="1393"/>
      <c r="O89" s="1393"/>
      <c r="P89" s="1393"/>
      <c r="Q89" s="1393"/>
      <c r="R89" s="1393"/>
      <c r="S89" s="1393"/>
      <c r="T89" s="189"/>
      <c r="U89" s="189"/>
    </row>
    <row r="90" spans="1:21" ht="12.75" x14ac:dyDescent="0.2">
      <c r="A90" s="1392" t="str">
        <f>Input!C4</f>
        <v>CASE NO. 2017-xxxxx</v>
      </c>
      <c r="B90" s="1392"/>
      <c r="C90" s="1392"/>
      <c r="D90" s="1392"/>
      <c r="E90" s="1392"/>
      <c r="F90" s="1392"/>
      <c r="G90" s="1392"/>
      <c r="H90" s="1392"/>
      <c r="I90" s="1392"/>
      <c r="J90" s="1392"/>
      <c r="K90" s="1392"/>
      <c r="L90" s="1392"/>
      <c r="M90" s="1392"/>
      <c r="N90" s="1392"/>
      <c r="O90" s="1392"/>
      <c r="P90" s="1392"/>
      <c r="Q90" s="1392"/>
      <c r="R90" s="1392"/>
      <c r="S90" s="1392"/>
      <c r="T90" s="189"/>
      <c r="U90" s="189"/>
    </row>
    <row r="91" spans="1:21" ht="12.75" x14ac:dyDescent="0.2">
      <c r="A91" s="1393" t="s">
        <v>950</v>
      </c>
      <c r="B91" s="1393"/>
      <c r="C91" s="1393"/>
      <c r="D91" s="1393"/>
      <c r="E91" s="1393"/>
      <c r="F91" s="1393"/>
      <c r="G91" s="1393"/>
      <c r="H91" s="1393"/>
      <c r="I91" s="1393"/>
      <c r="J91" s="1393"/>
      <c r="K91" s="1393"/>
      <c r="L91" s="1393"/>
      <c r="M91" s="1393"/>
      <c r="N91" s="1393"/>
      <c r="O91" s="1393"/>
      <c r="P91" s="1393"/>
      <c r="Q91" s="1393"/>
      <c r="R91" s="1393"/>
      <c r="S91" s="1393"/>
      <c r="T91" s="189"/>
      <c r="U91" s="189"/>
    </row>
    <row r="92" spans="1:21" ht="12.75" x14ac:dyDescent="0.2">
      <c r="A92" s="1392" t="str">
        <f>Input!C10</f>
        <v>FROM DECEMBER 31, 2016 TO DECEMBER 31, 2017</v>
      </c>
      <c r="B92" s="1392"/>
      <c r="C92" s="1392"/>
      <c r="D92" s="1392"/>
      <c r="E92" s="1392"/>
      <c r="F92" s="1392"/>
      <c r="G92" s="1392"/>
      <c r="H92" s="1392"/>
      <c r="I92" s="1392"/>
      <c r="J92" s="1392"/>
      <c r="K92" s="1392"/>
      <c r="L92" s="1392"/>
      <c r="M92" s="1392"/>
      <c r="N92" s="1392"/>
      <c r="O92" s="1392"/>
      <c r="P92" s="1392"/>
      <c r="Q92" s="1392"/>
      <c r="R92" s="1392"/>
      <c r="S92" s="1392"/>
      <c r="T92" s="189"/>
      <c r="U92" s="189"/>
    </row>
    <row r="93" spans="1:21" ht="12.75" x14ac:dyDescent="0.2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89"/>
      <c r="U93" s="189"/>
    </row>
    <row r="94" spans="1:21" ht="12.75" x14ac:dyDescent="0.2">
      <c r="A94" s="137" t="s">
        <v>839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R94" s="160"/>
      <c r="S94" s="139" t="s">
        <v>1238</v>
      </c>
      <c r="T94" s="189"/>
      <c r="U94" s="189"/>
    </row>
    <row r="95" spans="1:21" ht="12.75" x14ac:dyDescent="0.2">
      <c r="A95" s="137" t="s">
        <v>490</v>
      </c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R95" s="160"/>
      <c r="S95" s="139" t="s">
        <v>1327</v>
      </c>
      <c r="T95" s="189"/>
      <c r="U95" s="189"/>
    </row>
    <row r="96" spans="1:21" ht="12.75" x14ac:dyDescent="0.2">
      <c r="A96" s="140" t="s">
        <v>840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R96" s="161"/>
      <c r="S96" s="144" t="str">
        <f>Input!E27</f>
        <v>WITNESS:  C. Y. LAI</v>
      </c>
      <c r="T96" s="189"/>
      <c r="U96" s="189"/>
    </row>
    <row r="97" spans="1:21" ht="12.75" x14ac:dyDescent="0.2">
      <c r="A97" s="185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396" t="s">
        <v>1240</v>
      </c>
      <c r="N97" s="1396"/>
      <c r="O97" s="1396"/>
      <c r="P97" s="1396"/>
      <c r="Q97" s="1396"/>
      <c r="R97" s="203"/>
      <c r="S97" s="203"/>
      <c r="T97" s="189"/>
      <c r="U97" s="189"/>
    </row>
    <row r="98" spans="1:21" ht="12.75" x14ac:dyDescent="0.2">
      <c r="A98" s="164" t="s">
        <v>493</v>
      </c>
      <c r="B98" s="160"/>
      <c r="C98" s="164" t="s">
        <v>1143</v>
      </c>
      <c r="D98" s="160"/>
      <c r="E98" s="160"/>
      <c r="F98" s="160"/>
      <c r="G98" s="164" t="s">
        <v>1241</v>
      </c>
      <c r="H98" s="160"/>
      <c r="I98" s="160"/>
      <c r="J98" s="160"/>
      <c r="K98" s="160"/>
      <c r="L98" s="160"/>
      <c r="M98" s="160"/>
      <c r="N98" s="160"/>
      <c r="O98" s="164" t="s">
        <v>1242</v>
      </c>
      <c r="P98" s="160"/>
      <c r="Q98" s="164" t="s">
        <v>1243</v>
      </c>
      <c r="R98" s="160"/>
      <c r="S98" s="164" t="s">
        <v>1244</v>
      </c>
      <c r="T98" s="189"/>
      <c r="U98" s="189"/>
    </row>
    <row r="99" spans="1:21" ht="12.75" x14ac:dyDescent="0.2">
      <c r="A99" s="165" t="s">
        <v>496</v>
      </c>
      <c r="B99" s="161"/>
      <c r="C99" s="165" t="s">
        <v>496</v>
      </c>
      <c r="D99" s="161"/>
      <c r="E99" s="140" t="s">
        <v>841</v>
      </c>
      <c r="F99" s="161"/>
      <c r="G99" s="165" t="s">
        <v>1245</v>
      </c>
      <c r="H99" s="161"/>
      <c r="I99" s="165" t="s">
        <v>1246</v>
      </c>
      <c r="J99" s="161"/>
      <c r="K99" s="165" t="s">
        <v>1247</v>
      </c>
      <c r="L99" s="161"/>
      <c r="M99" s="165" t="s">
        <v>1248</v>
      </c>
      <c r="N99" s="161"/>
      <c r="O99" s="165" t="s">
        <v>1249</v>
      </c>
      <c r="P99" s="161"/>
      <c r="Q99" s="165" t="s">
        <v>1250</v>
      </c>
      <c r="R99" s="161"/>
      <c r="S99" s="165" t="s">
        <v>1245</v>
      </c>
      <c r="T99" s="189"/>
      <c r="U99" s="189"/>
    </row>
    <row r="100" spans="1:21" ht="12.75" x14ac:dyDescent="0.2">
      <c r="A100" s="167"/>
      <c r="B100" s="160"/>
      <c r="C100" s="160"/>
      <c r="D100" s="160"/>
      <c r="E100" s="160"/>
      <c r="F100" s="160"/>
      <c r="G100" s="164" t="s">
        <v>500</v>
      </c>
      <c r="H100" s="160"/>
      <c r="I100" s="164" t="s">
        <v>500</v>
      </c>
      <c r="J100" s="160"/>
      <c r="K100" s="164" t="s">
        <v>500</v>
      </c>
      <c r="L100" s="160"/>
      <c r="M100" s="164" t="s">
        <v>500</v>
      </c>
      <c r="N100" s="160"/>
      <c r="O100" s="160"/>
      <c r="P100" s="160"/>
      <c r="Q100" s="160"/>
      <c r="R100" s="160"/>
      <c r="S100" s="164" t="s">
        <v>500</v>
      </c>
      <c r="T100" s="189"/>
      <c r="U100" s="189"/>
    </row>
    <row r="101" spans="1:21" ht="12.75" x14ac:dyDescent="0.2">
      <c r="A101" s="672">
        <v>1</v>
      </c>
      <c r="B101" s="160"/>
      <c r="C101" s="204" t="s">
        <v>1328</v>
      </c>
      <c r="D101" s="203"/>
      <c r="E101" s="203"/>
      <c r="F101" s="160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91"/>
      <c r="U101" s="191"/>
    </row>
    <row r="102" spans="1:21" ht="12.75" x14ac:dyDescent="0.2">
      <c r="A102" s="672">
        <f t="shared" ref="A102:A114" si="7">A101+1</f>
        <v>2</v>
      </c>
      <c r="B102" s="160"/>
      <c r="C102" s="204" t="s">
        <v>1329</v>
      </c>
      <c r="D102" s="203"/>
      <c r="E102" s="203"/>
      <c r="F102" s="160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91"/>
      <c r="U102" s="191"/>
    </row>
    <row r="103" spans="1:21" ht="12.75" x14ac:dyDescent="0.2">
      <c r="A103" s="672">
        <f t="shared" si="7"/>
        <v>3</v>
      </c>
      <c r="B103" s="160"/>
      <c r="C103" s="160"/>
      <c r="D103" s="160"/>
      <c r="E103" s="204" t="s">
        <v>1159</v>
      </c>
      <c r="F103" s="160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91"/>
      <c r="U103" s="191"/>
    </row>
    <row r="104" spans="1:21" ht="12.75" x14ac:dyDescent="0.2">
      <c r="A104" s="672">
        <v>4</v>
      </c>
      <c r="B104" s="160"/>
      <c r="C104" s="208" t="s">
        <v>758</v>
      </c>
      <c r="D104" s="160"/>
      <c r="E104" s="137" t="s">
        <v>759</v>
      </c>
      <c r="F104" s="160"/>
      <c r="G104" s="1253">
        <v>-6250</v>
      </c>
      <c r="H104" s="728"/>
      <c r="I104" s="1253">
        <v>0</v>
      </c>
      <c r="J104" s="728"/>
      <c r="K104" s="1253">
        <v>0</v>
      </c>
      <c r="L104" s="728"/>
      <c r="M104" s="1253">
        <v>0</v>
      </c>
      <c r="N104" s="172"/>
      <c r="O104" s="172"/>
      <c r="P104" s="172"/>
      <c r="Q104" s="172"/>
      <c r="R104" s="172"/>
      <c r="S104" s="172">
        <f>G104+I104-K104+M104</f>
        <v>-6250</v>
      </c>
      <c r="T104" s="191"/>
      <c r="U104" s="191"/>
    </row>
    <row r="105" spans="1:21" ht="12.75" x14ac:dyDescent="0.2">
      <c r="A105" s="672">
        <v>5</v>
      </c>
      <c r="B105" s="160"/>
      <c r="C105" s="205">
        <v>375.4</v>
      </c>
      <c r="D105" s="160"/>
      <c r="E105" s="137" t="s">
        <v>1264</v>
      </c>
      <c r="F105" s="160"/>
      <c r="G105" s="1253">
        <v>-1900</v>
      </c>
      <c r="H105" s="728"/>
      <c r="I105" s="1253">
        <v>0</v>
      </c>
      <c r="J105" s="728"/>
      <c r="K105" s="1253">
        <v>0</v>
      </c>
      <c r="L105" s="728"/>
      <c r="M105" s="1253">
        <v>0</v>
      </c>
      <c r="N105" s="172"/>
      <c r="O105" s="172"/>
      <c r="P105" s="172"/>
      <c r="Q105" s="172"/>
      <c r="R105" s="172"/>
      <c r="S105" s="172">
        <f t="shared" ref="S105:S113" si="8">G105+I105-K105+M105</f>
        <v>-1900</v>
      </c>
      <c r="T105" s="191"/>
      <c r="U105" s="191"/>
    </row>
    <row r="106" spans="1:21" ht="12.75" x14ac:dyDescent="0.2">
      <c r="A106" s="672">
        <f t="shared" si="7"/>
        <v>6</v>
      </c>
      <c r="B106" s="160"/>
      <c r="C106" s="205">
        <v>375.7</v>
      </c>
      <c r="D106" s="160"/>
      <c r="E106" s="137" t="s">
        <v>1330</v>
      </c>
      <c r="F106" s="160"/>
      <c r="G106" s="1253">
        <v>-20000</v>
      </c>
      <c r="H106" s="728"/>
      <c r="I106" s="1253">
        <v>0</v>
      </c>
      <c r="J106" s="728"/>
      <c r="K106" s="1253">
        <v>0</v>
      </c>
      <c r="L106" s="728"/>
      <c r="M106" s="1253">
        <v>0</v>
      </c>
      <c r="N106" s="172"/>
      <c r="O106" s="172"/>
      <c r="P106" s="172"/>
      <c r="Q106" s="172"/>
      <c r="R106" s="172"/>
      <c r="S106" s="172">
        <f t="shared" si="8"/>
        <v>-20000</v>
      </c>
      <c r="T106" s="191"/>
      <c r="U106" s="191"/>
    </row>
    <row r="107" spans="1:21" ht="12.75" x14ac:dyDescent="0.2">
      <c r="A107" s="672">
        <f t="shared" si="7"/>
        <v>7</v>
      </c>
      <c r="B107" s="160"/>
      <c r="C107" s="205">
        <v>376</v>
      </c>
      <c r="D107" s="160"/>
      <c r="E107" s="137" t="s">
        <v>1291</v>
      </c>
      <c r="F107" s="160"/>
      <c r="G107" s="1253">
        <v>-9554157.5899999999</v>
      </c>
      <c r="H107" s="728"/>
      <c r="I107" s="1253">
        <v>0</v>
      </c>
      <c r="J107" s="728"/>
      <c r="K107" s="1253">
        <v>0</v>
      </c>
      <c r="L107" s="728"/>
      <c r="M107" s="1253">
        <v>0</v>
      </c>
      <c r="N107" s="172"/>
      <c r="O107" s="172"/>
      <c r="P107" s="172"/>
      <c r="Q107" s="172"/>
      <c r="R107" s="172"/>
      <c r="S107" s="172">
        <f t="shared" si="8"/>
        <v>-9554157.5899999999</v>
      </c>
      <c r="T107" s="191"/>
      <c r="U107" s="191"/>
    </row>
    <row r="108" spans="1:21" ht="12.75" x14ac:dyDescent="0.2">
      <c r="A108" s="672">
        <f t="shared" si="7"/>
        <v>8</v>
      </c>
      <c r="B108" s="160"/>
      <c r="C108" s="205">
        <v>378.1</v>
      </c>
      <c r="D108" s="160"/>
      <c r="E108" s="137" t="s">
        <v>1331</v>
      </c>
      <c r="F108" s="160"/>
      <c r="G108" s="1253">
        <v>-69.569999999999993</v>
      </c>
      <c r="H108" s="728"/>
      <c r="I108" s="1253">
        <v>0</v>
      </c>
      <c r="J108" s="728"/>
      <c r="K108" s="1253">
        <v>0</v>
      </c>
      <c r="L108" s="728"/>
      <c r="M108" s="1253">
        <v>0</v>
      </c>
      <c r="N108" s="172"/>
      <c r="O108" s="172"/>
      <c r="P108" s="172"/>
      <c r="Q108" s="172"/>
      <c r="R108" s="172"/>
      <c r="S108" s="172">
        <f t="shared" si="8"/>
        <v>-69.569999999999993</v>
      </c>
      <c r="T108" s="191"/>
      <c r="U108" s="191"/>
    </row>
    <row r="109" spans="1:21" ht="12.75" x14ac:dyDescent="0.2">
      <c r="A109" s="672">
        <f t="shared" si="7"/>
        <v>9</v>
      </c>
      <c r="B109" s="160"/>
      <c r="C109" s="205">
        <v>378.3</v>
      </c>
      <c r="D109" s="160"/>
      <c r="E109" s="137" t="s">
        <v>1294</v>
      </c>
      <c r="F109" s="160"/>
      <c r="G109" s="1253">
        <v>-9303.56</v>
      </c>
      <c r="H109" s="728"/>
      <c r="I109" s="1253">
        <v>0</v>
      </c>
      <c r="J109" s="728"/>
      <c r="K109" s="1253">
        <v>0</v>
      </c>
      <c r="L109" s="728"/>
      <c r="M109" s="1253">
        <v>0</v>
      </c>
      <c r="N109" s="172"/>
      <c r="O109" s="172"/>
      <c r="P109" s="172"/>
      <c r="Q109" s="172"/>
      <c r="R109" s="172"/>
      <c r="S109" s="172">
        <f t="shared" si="8"/>
        <v>-9303.56</v>
      </c>
      <c r="T109" s="191"/>
      <c r="U109" s="191"/>
    </row>
    <row r="110" spans="1:21" ht="12.75" x14ac:dyDescent="0.2">
      <c r="A110" s="672">
        <f t="shared" si="7"/>
        <v>10</v>
      </c>
      <c r="B110" s="160"/>
      <c r="C110" s="205">
        <v>380</v>
      </c>
      <c r="D110" s="160"/>
      <c r="E110" s="137" t="s">
        <v>1296</v>
      </c>
      <c r="F110" s="160"/>
      <c r="G110" s="1253">
        <v>-144040.37</v>
      </c>
      <c r="H110" s="728"/>
      <c r="I110" s="1253">
        <v>0</v>
      </c>
      <c r="J110" s="728"/>
      <c r="K110" s="1253">
        <v>0</v>
      </c>
      <c r="L110" s="728"/>
      <c r="M110" s="1253">
        <v>0</v>
      </c>
      <c r="N110" s="172"/>
      <c r="O110" s="172"/>
      <c r="P110" s="172"/>
      <c r="Q110" s="172"/>
      <c r="R110" s="172"/>
      <c r="S110" s="172">
        <f t="shared" si="8"/>
        <v>-144040.37</v>
      </c>
      <c r="T110" s="191"/>
      <c r="U110" s="191"/>
    </row>
    <row r="111" spans="1:21" ht="12.75" x14ac:dyDescent="0.2">
      <c r="A111" s="672">
        <f t="shared" si="7"/>
        <v>11</v>
      </c>
      <c r="B111" s="160"/>
      <c r="C111" s="205">
        <v>382</v>
      </c>
      <c r="D111" s="160"/>
      <c r="E111" s="137" t="s">
        <v>1298</v>
      </c>
      <c r="F111" s="160"/>
      <c r="G111" s="1253">
        <v>-592.5</v>
      </c>
      <c r="H111" s="728"/>
      <c r="I111" s="1253">
        <v>0</v>
      </c>
      <c r="J111" s="728"/>
      <c r="K111" s="1253">
        <v>0</v>
      </c>
      <c r="L111" s="728"/>
      <c r="M111" s="1253">
        <v>0</v>
      </c>
      <c r="N111" s="172"/>
      <c r="O111" s="172"/>
      <c r="P111" s="172"/>
      <c r="Q111" s="172"/>
      <c r="R111" s="172"/>
      <c r="S111" s="172">
        <f t="shared" si="8"/>
        <v>-592.5</v>
      </c>
      <c r="T111" s="191"/>
      <c r="U111" s="191"/>
    </row>
    <row r="112" spans="1:21" ht="12.75" x14ac:dyDescent="0.2">
      <c r="A112" s="672">
        <f t="shared" si="7"/>
        <v>12</v>
      </c>
      <c r="B112" s="160"/>
      <c r="C112" s="205">
        <v>383</v>
      </c>
      <c r="D112" s="160"/>
      <c r="E112" s="137" t="s">
        <v>1299</v>
      </c>
      <c r="F112" s="160"/>
      <c r="G112" s="1253">
        <v>-82943.899999999994</v>
      </c>
      <c r="H112" s="728"/>
      <c r="I112" s="1253">
        <v>0</v>
      </c>
      <c r="J112" s="728"/>
      <c r="K112" s="1253">
        <v>0</v>
      </c>
      <c r="L112" s="728"/>
      <c r="M112" s="1253">
        <v>0</v>
      </c>
      <c r="N112" s="172"/>
      <c r="O112" s="172"/>
      <c r="P112" s="172"/>
      <c r="Q112" s="172"/>
      <c r="R112" s="172"/>
      <c r="S112" s="172">
        <f t="shared" si="8"/>
        <v>-82943.899999999994</v>
      </c>
      <c r="T112" s="191"/>
      <c r="U112" s="191"/>
    </row>
    <row r="113" spans="1:21" ht="12.75" x14ac:dyDescent="0.2">
      <c r="A113" s="672">
        <f t="shared" si="7"/>
        <v>13</v>
      </c>
      <c r="B113" s="160"/>
      <c r="C113" s="205">
        <v>385</v>
      </c>
      <c r="D113" s="160"/>
      <c r="E113" s="137" t="s">
        <v>1332</v>
      </c>
      <c r="F113" s="160"/>
      <c r="G113" s="1255">
        <v>-70299.570000000007</v>
      </c>
      <c r="H113" s="728"/>
      <c r="I113" s="1254">
        <v>0</v>
      </c>
      <c r="J113" s="728"/>
      <c r="K113" s="1255">
        <v>0</v>
      </c>
      <c r="L113" s="728"/>
      <c r="M113" s="1255">
        <v>0</v>
      </c>
      <c r="N113" s="172"/>
      <c r="O113" s="172"/>
      <c r="P113" s="172"/>
      <c r="Q113" s="172"/>
      <c r="R113" s="172"/>
      <c r="S113" s="176">
        <f t="shared" si="8"/>
        <v>-70299.570000000007</v>
      </c>
      <c r="T113" s="191"/>
      <c r="U113" s="191"/>
    </row>
    <row r="114" spans="1:21" ht="12.75" x14ac:dyDescent="0.2">
      <c r="A114" s="672">
        <f t="shared" si="7"/>
        <v>14</v>
      </c>
      <c r="B114" s="160"/>
      <c r="C114" s="160"/>
      <c r="D114" s="160"/>
      <c r="E114" s="137" t="s">
        <v>1199</v>
      </c>
      <c r="F114" s="160"/>
      <c r="G114" s="172">
        <f>SUM(G104:G113)</f>
        <v>-9889557.0600000005</v>
      </c>
      <c r="H114" s="172"/>
      <c r="I114" s="172">
        <f>SUM(I104:I113)</f>
        <v>0</v>
      </c>
      <c r="J114" s="172"/>
      <c r="K114" s="172">
        <f>SUM(K104:K113)</f>
        <v>0</v>
      </c>
      <c r="L114" s="172"/>
      <c r="M114" s="172">
        <f>SUM(M104:M113)</f>
        <v>0</v>
      </c>
      <c r="N114" s="172"/>
      <c r="O114" s="172"/>
      <c r="P114" s="172"/>
      <c r="Q114" s="172"/>
      <c r="R114" s="172"/>
      <c r="S114" s="172">
        <f>SUM(S104:S113)</f>
        <v>-9889557.0600000005</v>
      </c>
      <c r="T114" s="191"/>
      <c r="U114" s="191"/>
    </row>
    <row r="115" spans="1:21" ht="12.75" x14ac:dyDescent="0.2">
      <c r="A115" s="167"/>
      <c r="B115" s="160"/>
      <c r="C115" s="160"/>
      <c r="D115" s="160"/>
      <c r="E115" s="160"/>
      <c r="F115" s="160"/>
      <c r="G115" s="172"/>
      <c r="H115" s="172"/>
      <c r="I115" s="172"/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91"/>
      <c r="U115" s="191"/>
    </row>
    <row r="116" spans="1:21" ht="13.5" thickBot="1" x14ac:dyDescent="0.25">
      <c r="A116" s="167">
        <f>A114+1</f>
        <v>15</v>
      </c>
      <c r="B116" s="160"/>
      <c r="C116" s="160"/>
      <c r="D116" s="160"/>
      <c r="E116" s="137" t="s">
        <v>1333</v>
      </c>
      <c r="F116" s="160"/>
      <c r="G116" s="187">
        <f>G114</f>
        <v>-9889557.0600000005</v>
      </c>
      <c r="H116" s="172"/>
      <c r="I116" s="187">
        <f>I114</f>
        <v>0</v>
      </c>
      <c r="J116" s="172"/>
      <c r="K116" s="187">
        <f>K114</f>
        <v>0</v>
      </c>
      <c r="L116" s="172"/>
      <c r="M116" s="187">
        <f>M114</f>
        <v>0</v>
      </c>
      <c r="N116" s="172"/>
      <c r="O116" s="172"/>
      <c r="P116" s="172"/>
      <c r="Q116" s="172"/>
      <c r="R116" s="172"/>
      <c r="S116" s="187">
        <f>S114</f>
        <v>-9889557.0600000005</v>
      </c>
      <c r="T116" s="191"/>
      <c r="U116" s="191"/>
    </row>
    <row r="117" spans="1:21" ht="13.5" thickTop="1" x14ac:dyDescent="0.2">
      <c r="A117" s="672"/>
      <c r="B117" s="160"/>
      <c r="C117" s="160"/>
      <c r="D117" s="160"/>
      <c r="E117" s="160"/>
      <c r="F117" s="160"/>
      <c r="G117" s="172"/>
      <c r="H117" s="172"/>
      <c r="I117" s="172"/>
      <c r="J117" s="172"/>
      <c r="K117" s="172"/>
      <c r="L117" s="172"/>
      <c r="M117" s="172"/>
      <c r="N117" s="172"/>
      <c r="O117" s="172"/>
      <c r="P117" s="172"/>
      <c r="Q117" s="172"/>
      <c r="R117" s="172"/>
      <c r="S117" s="172"/>
      <c r="T117" s="191"/>
      <c r="U117" s="191"/>
    </row>
    <row r="118" spans="1:21" ht="12.75" x14ac:dyDescent="0.2">
      <c r="A118" s="167">
        <f>A116+1</f>
        <v>16</v>
      </c>
      <c r="B118" s="160"/>
      <c r="C118" s="204" t="s">
        <v>1328</v>
      </c>
      <c r="D118" s="203"/>
      <c r="E118" s="203"/>
      <c r="F118" s="160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91"/>
      <c r="U118" s="191"/>
    </row>
    <row r="119" spans="1:21" ht="12.75" x14ac:dyDescent="0.2">
      <c r="A119" s="672">
        <f>A118+1</f>
        <v>17</v>
      </c>
      <c r="B119" s="160"/>
      <c r="C119" s="204" t="s">
        <v>1334</v>
      </c>
      <c r="D119" s="203"/>
      <c r="E119" s="203"/>
      <c r="F119" s="160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91"/>
      <c r="U119" s="191"/>
    </row>
    <row r="120" spans="1:21" ht="12.75" x14ac:dyDescent="0.2">
      <c r="A120" s="672">
        <f>A119+1</f>
        <v>18</v>
      </c>
      <c r="B120" s="160"/>
      <c r="C120" s="204" t="s">
        <v>1335</v>
      </c>
      <c r="D120" s="203"/>
      <c r="E120" s="203"/>
      <c r="F120" s="160"/>
      <c r="G120" s="172"/>
      <c r="H120" s="172"/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91"/>
      <c r="U120" s="191"/>
    </row>
    <row r="121" spans="1:21" ht="12.75" x14ac:dyDescent="0.2">
      <c r="A121" s="672">
        <f>A120+1</f>
        <v>19</v>
      </c>
      <c r="B121" s="160"/>
      <c r="C121" s="160"/>
      <c r="D121" s="160"/>
      <c r="E121" s="204" t="s">
        <v>1159</v>
      </c>
      <c r="F121" s="160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91"/>
      <c r="U121" s="191"/>
    </row>
    <row r="122" spans="1:21" ht="12.75" x14ac:dyDescent="0.2">
      <c r="A122" s="672">
        <f>A121+1</f>
        <v>20</v>
      </c>
      <c r="B122" s="160"/>
      <c r="C122" s="205">
        <v>376</v>
      </c>
      <c r="D122" s="160"/>
      <c r="E122" s="137" t="s">
        <v>1291</v>
      </c>
      <c r="F122" s="160"/>
      <c r="G122" s="1255">
        <v>-1449153.22</v>
      </c>
      <c r="H122" s="728"/>
      <c r="I122" s="1254">
        <v>0</v>
      </c>
      <c r="J122" s="728"/>
      <c r="K122" s="1255">
        <v>0</v>
      </c>
      <c r="L122" s="728"/>
      <c r="M122" s="1255">
        <v>0</v>
      </c>
      <c r="N122" s="172"/>
      <c r="O122" s="172"/>
      <c r="P122" s="172"/>
      <c r="Q122" s="172"/>
      <c r="R122" s="172"/>
      <c r="S122" s="176">
        <f>G122+I122-K122+M122</f>
        <v>-1449153.22</v>
      </c>
      <c r="T122" s="191"/>
      <c r="U122" s="191"/>
    </row>
    <row r="123" spans="1:21" ht="12.75" x14ac:dyDescent="0.2">
      <c r="A123" s="672">
        <f>A122+1</f>
        <v>21</v>
      </c>
      <c r="B123" s="160"/>
      <c r="C123" s="160"/>
      <c r="D123" s="160"/>
      <c r="E123" s="137" t="s">
        <v>1199</v>
      </c>
      <c r="F123" s="160"/>
      <c r="G123" s="172">
        <f>G122</f>
        <v>-1449153.22</v>
      </c>
      <c r="H123" s="172"/>
      <c r="I123" s="172">
        <f>I122</f>
        <v>0</v>
      </c>
      <c r="J123" s="172"/>
      <c r="K123" s="172">
        <f>K122</f>
        <v>0</v>
      </c>
      <c r="L123" s="172"/>
      <c r="M123" s="172">
        <f>M122</f>
        <v>0</v>
      </c>
      <c r="N123" s="172"/>
      <c r="O123" s="172"/>
      <c r="P123" s="172"/>
      <c r="Q123" s="172"/>
      <c r="R123" s="172"/>
      <c r="S123" s="172">
        <f>S122</f>
        <v>-1449153.22</v>
      </c>
      <c r="T123" s="191"/>
      <c r="U123" s="191"/>
    </row>
    <row r="124" spans="1:21" ht="12.75" x14ac:dyDescent="0.2">
      <c r="A124" s="167"/>
      <c r="B124" s="160"/>
      <c r="C124" s="160"/>
      <c r="D124" s="160"/>
      <c r="E124" s="160"/>
      <c r="F124" s="160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91"/>
      <c r="U124" s="191"/>
    </row>
    <row r="125" spans="1:21" ht="13.5" thickBot="1" x14ac:dyDescent="0.25">
      <c r="A125" s="167">
        <f>A123+1</f>
        <v>22</v>
      </c>
      <c r="B125" s="160"/>
      <c r="C125" s="160"/>
      <c r="D125" s="160"/>
      <c r="E125" s="137" t="s">
        <v>1336</v>
      </c>
      <c r="F125" s="160"/>
      <c r="G125" s="187">
        <f>G123</f>
        <v>-1449153.22</v>
      </c>
      <c r="H125" s="172"/>
      <c r="I125" s="187">
        <f>I123</f>
        <v>0</v>
      </c>
      <c r="J125" s="172"/>
      <c r="K125" s="187">
        <f>K123</f>
        <v>0</v>
      </c>
      <c r="L125" s="172"/>
      <c r="M125" s="187">
        <f>M123</f>
        <v>0</v>
      </c>
      <c r="N125" s="172"/>
      <c r="O125" s="172"/>
      <c r="P125" s="172"/>
      <c r="Q125" s="172"/>
      <c r="R125" s="172"/>
      <c r="S125" s="187">
        <f>S123</f>
        <v>-1449153.22</v>
      </c>
      <c r="T125" s="191"/>
      <c r="U125" s="191"/>
    </row>
    <row r="126" spans="1:21" ht="13.5" thickTop="1" x14ac:dyDescent="0.2">
      <c r="A126" s="167"/>
      <c r="B126" s="160"/>
      <c r="C126" s="160"/>
      <c r="D126" s="160"/>
      <c r="E126" s="160"/>
      <c r="F126" s="160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91"/>
      <c r="U126" s="191"/>
    </row>
    <row r="127" spans="1:21" ht="13.5" thickBot="1" x14ac:dyDescent="0.25">
      <c r="A127" s="167">
        <f>A125+1</f>
        <v>23</v>
      </c>
      <c r="B127" s="160"/>
      <c r="C127" s="160"/>
      <c r="D127" s="160"/>
      <c r="E127" s="137" t="s">
        <v>1337</v>
      </c>
      <c r="F127" s="160"/>
      <c r="G127" s="187">
        <f>G87+G116+G125</f>
        <v>253624035.28000003</v>
      </c>
      <c r="H127" s="172"/>
      <c r="I127" s="187">
        <f>I87+I116+I125</f>
        <v>14659397.16</v>
      </c>
      <c r="J127" s="172"/>
      <c r="K127" s="187">
        <f>K87+K116+K125</f>
        <v>2040191.6499999994</v>
      </c>
      <c r="L127" s="172"/>
      <c r="M127" s="187">
        <f>M87+M116+M125</f>
        <v>0</v>
      </c>
      <c r="N127" s="172"/>
      <c r="O127" s="172"/>
      <c r="P127" s="172"/>
      <c r="Q127" s="172"/>
      <c r="R127" s="172"/>
      <c r="S127" s="187">
        <f>S87+S116+S125</f>
        <v>266243240.78999993</v>
      </c>
      <c r="T127" s="191"/>
      <c r="U127" s="191"/>
    </row>
    <row r="128" spans="1:21" ht="13.5" thickTop="1" x14ac:dyDescent="0.2">
      <c r="A128" s="167"/>
      <c r="B128" s="160"/>
      <c r="C128" s="160"/>
      <c r="D128" s="160"/>
      <c r="E128" s="160"/>
      <c r="F128" s="160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91"/>
      <c r="U128" s="191"/>
    </row>
    <row r="129" spans="1:21" ht="12.75" x14ac:dyDescent="0.2">
      <c r="A129" s="167">
        <f>A127+1</f>
        <v>24</v>
      </c>
      <c r="B129" s="185" t="s">
        <v>1338</v>
      </c>
      <c r="C129" s="137" t="s">
        <v>1339</v>
      </c>
      <c r="D129" s="160"/>
      <c r="E129" s="160"/>
      <c r="F129" s="160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91"/>
      <c r="U129" s="191"/>
    </row>
    <row r="130" spans="1:21" ht="12.75" x14ac:dyDescent="0.2">
      <c r="A130" s="672">
        <f>A129+1</f>
        <v>25</v>
      </c>
      <c r="B130" s="160"/>
      <c r="C130" s="137" t="s">
        <v>1366</v>
      </c>
      <c r="D130" s="160"/>
      <c r="E130" s="160"/>
      <c r="F130" s="160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91"/>
      <c r="U130" s="191"/>
    </row>
    <row r="131" spans="1:21" ht="12.75" x14ac:dyDescent="0.2">
      <c r="A131" s="672">
        <f>A130+1</f>
        <v>26</v>
      </c>
      <c r="B131" s="160"/>
      <c r="C131" s="137" t="s">
        <v>1367</v>
      </c>
      <c r="D131" s="160"/>
      <c r="E131" s="160"/>
      <c r="F131" s="160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91"/>
      <c r="U131" s="191"/>
    </row>
    <row r="132" spans="1:21" ht="12.75" x14ac:dyDescent="0.2">
      <c r="A132" s="167"/>
      <c r="B132" s="160"/>
      <c r="C132" s="160"/>
      <c r="D132" s="160"/>
      <c r="E132" s="160"/>
      <c r="F132" s="160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91"/>
      <c r="U132" s="191"/>
    </row>
    <row r="133" spans="1:21" ht="12.75" x14ac:dyDescent="0.2">
      <c r="A133" s="160"/>
      <c r="B133" s="160"/>
      <c r="C133" s="160"/>
      <c r="D133" s="160"/>
      <c r="E133" s="160"/>
      <c r="F133" s="160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91"/>
      <c r="U133" s="191"/>
    </row>
    <row r="134" spans="1:21" ht="12.75" x14ac:dyDescent="0.2">
      <c r="A134" s="160"/>
      <c r="B134" s="160"/>
      <c r="C134" s="160"/>
      <c r="D134" s="160"/>
      <c r="E134" s="160"/>
      <c r="F134" s="160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91"/>
      <c r="U134" s="191"/>
    </row>
    <row r="135" spans="1:21" ht="12.75" x14ac:dyDescent="0.2">
      <c r="A135" s="160"/>
      <c r="B135" s="160"/>
      <c r="C135" s="160"/>
      <c r="D135" s="160"/>
      <c r="E135" s="160"/>
      <c r="F135" s="160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91"/>
      <c r="U135" s="191"/>
    </row>
    <row r="136" spans="1:21" ht="12.75" x14ac:dyDescent="0.2">
      <c r="A136" s="160"/>
      <c r="B136" s="160"/>
      <c r="C136" s="160"/>
      <c r="D136" s="160"/>
      <c r="E136" s="160"/>
      <c r="F136" s="160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91"/>
      <c r="U136" s="191"/>
    </row>
    <row r="137" spans="1:21" ht="12.75" x14ac:dyDescent="0.2">
      <c r="A137" s="160"/>
      <c r="B137" s="160"/>
      <c r="C137" s="160"/>
      <c r="D137" s="160"/>
      <c r="E137" s="160"/>
      <c r="F137" s="160"/>
      <c r="G137" s="172"/>
      <c r="H137" s="172"/>
      <c r="I137" s="172"/>
      <c r="J137" s="172"/>
      <c r="K137" s="172"/>
      <c r="L137" s="172"/>
      <c r="M137" s="172"/>
      <c r="N137" s="172"/>
      <c r="O137" s="172"/>
      <c r="P137" s="172"/>
      <c r="Q137" s="172"/>
      <c r="R137" s="172"/>
      <c r="S137" s="172"/>
      <c r="T137" s="191"/>
      <c r="U137" s="191"/>
    </row>
    <row r="138" spans="1:21" ht="12.75" x14ac:dyDescent="0.2">
      <c r="A138" s="160"/>
      <c r="B138" s="160"/>
      <c r="C138" s="160"/>
      <c r="D138" s="160"/>
      <c r="E138" s="160"/>
      <c r="F138" s="160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91"/>
      <c r="U138" s="191"/>
    </row>
    <row r="139" spans="1:21" ht="12.75" x14ac:dyDescent="0.2">
      <c r="A139" s="160"/>
      <c r="B139" s="160"/>
      <c r="C139" s="160"/>
      <c r="D139" s="160"/>
      <c r="E139" s="160"/>
      <c r="F139" s="160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91"/>
      <c r="U139" s="191"/>
    </row>
    <row r="140" spans="1:21" ht="12.75" x14ac:dyDescent="0.2">
      <c r="A140" s="160"/>
      <c r="B140" s="160"/>
      <c r="C140" s="160"/>
      <c r="D140" s="160"/>
      <c r="E140" s="160"/>
      <c r="F140" s="160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91"/>
      <c r="U140" s="191"/>
    </row>
    <row r="141" spans="1:21" ht="12.75" x14ac:dyDescent="0.2">
      <c r="A141" s="160"/>
      <c r="B141" s="160"/>
      <c r="C141" s="160"/>
      <c r="D141" s="160"/>
      <c r="E141" s="160"/>
      <c r="F141" s="160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91"/>
      <c r="U141" s="191"/>
    </row>
    <row r="142" spans="1:21" ht="12.75" x14ac:dyDescent="0.2">
      <c r="A142" s="160"/>
      <c r="B142" s="160"/>
      <c r="C142" s="160"/>
      <c r="D142" s="160"/>
      <c r="E142" s="160"/>
      <c r="F142" s="160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91"/>
      <c r="U142" s="191"/>
    </row>
    <row r="143" spans="1:21" ht="12.75" x14ac:dyDescent="0.2">
      <c r="A143" s="160"/>
      <c r="B143" s="160"/>
      <c r="C143" s="160"/>
      <c r="D143" s="160"/>
      <c r="E143" s="160"/>
      <c r="F143" s="160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  <c r="Q143" s="172"/>
      <c r="R143" s="172"/>
      <c r="S143" s="172"/>
      <c r="T143" s="191"/>
      <c r="U143" s="191"/>
    </row>
    <row r="144" spans="1:21" ht="12.75" x14ac:dyDescent="0.2">
      <c r="A144" s="160"/>
      <c r="B144" s="160"/>
      <c r="C144" s="160"/>
      <c r="D144" s="160"/>
      <c r="E144" s="160"/>
      <c r="F144" s="160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91"/>
      <c r="U144" s="191"/>
    </row>
    <row r="145" spans="1:21" ht="12.75" x14ac:dyDescent="0.2">
      <c r="A145" s="160"/>
      <c r="B145" s="160"/>
      <c r="C145" s="160"/>
      <c r="D145" s="160"/>
      <c r="E145" s="160"/>
      <c r="F145" s="160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91"/>
      <c r="U145" s="191"/>
    </row>
    <row r="146" spans="1:21" ht="12.75" x14ac:dyDescent="0.2">
      <c r="A146" s="160"/>
      <c r="B146" s="160"/>
      <c r="C146" s="160"/>
      <c r="D146" s="160"/>
      <c r="E146" s="160"/>
      <c r="F146" s="160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2"/>
      <c r="T146" s="191"/>
      <c r="U146" s="191"/>
    </row>
    <row r="147" spans="1:21" ht="12.75" x14ac:dyDescent="0.2">
      <c r="A147" s="160"/>
      <c r="B147" s="160"/>
      <c r="C147" s="160"/>
      <c r="D147" s="160"/>
      <c r="E147" s="160"/>
      <c r="F147" s="160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2"/>
      <c r="T147" s="191"/>
      <c r="U147" s="191"/>
    </row>
    <row r="148" spans="1:21" ht="12.75" x14ac:dyDescent="0.2">
      <c r="A148" s="160"/>
      <c r="B148" s="160"/>
      <c r="C148" s="160"/>
      <c r="D148" s="160"/>
      <c r="E148" s="160"/>
      <c r="F148" s="160"/>
      <c r="G148" s="172"/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91"/>
      <c r="U148" s="191"/>
    </row>
    <row r="149" spans="1:21" ht="12.75" x14ac:dyDescent="0.2">
      <c r="A149" s="160"/>
      <c r="B149" s="160"/>
      <c r="C149" s="160"/>
      <c r="D149" s="160"/>
      <c r="E149" s="160"/>
      <c r="F149" s="160"/>
      <c r="G149" s="172"/>
      <c r="H149" s="172"/>
      <c r="I149" s="172"/>
      <c r="J149" s="172"/>
      <c r="K149" s="172"/>
      <c r="L149" s="172"/>
      <c r="M149" s="172"/>
      <c r="N149" s="172"/>
      <c r="O149" s="172"/>
      <c r="P149" s="172"/>
      <c r="Q149" s="172"/>
      <c r="R149" s="172"/>
      <c r="S149" s="172"/>
      <c r="T149" s="191"/>
      <c r="U149" s="191"/>
    </row>
    <row r="150" spans="1:21" ht="12.75" x14ac:dyDescent="0.2">
      <c r="A150" s="160"/>
      <c r="B150" s="160"/>
      <c r="C150" s="160"/>
      <c r="D150" s="160"/>
      <c r="E150" s="160"/>
      <c r="F150" s="160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2"/>
      <c r="R150" s="172"/>
      <c r="S150" s="172"/>
      <c r="T150" s="191"/>
      <c r="U150" s="191"/>
    </row>
    <row r="151" spans="1:21" ht="12.75" x14ac:dyDescent="0.2">
      <c r="A151" s="160"/>
      <c r="B151" s="160"/>
      <c r="C151" s="160"/>
      <c r="D151" s="160"/>
      <c r="E151" s="160"/>
      <c r="F151" s="160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91"/>
      <c r="U151" s="191"/>
    </row>
    <row r="152" spans="1:21" ht="12.75" x14ac:dyDescent="0.2">
      <c r="A152" s="160"/>
      <c r="B152" s="160"/>
      <c r="C152" s="160"/>
      <c r="D152" s="160"/>
      <c r="E152" s="160"/>
      <c r="F152" s="160"/>
      <c r="G152" s="172"/>
      <c r="H152" s="172"/>
      <c r="I152" s="172"/>
      <c r="J152" s="172"/>
      <c r="K152" s="172"/>
      <c r="L152" s="172"/>
      <c r="M152" s="172"/>
      <c r="N152" s="172"/>
      <c r="O152" s="172"/>
      <c r="P152" s="172"/>
      <c r="Q152" s="172"/>
      <c r="R152" s="172"/>
      <c r="S152" s="172"/>
      <c r="T152" s="191"/>
      <c r="U152" s="191"/>
    </row>
    <row r="153" spans="1:21" ht="12.75" x14ac:dyDescent="0.2">
      <c r="A153" s="160"/>
      <c r="B153" s="160"/>
      <c r="C153" s="160"/>
      <c r="D153" s="160"/>
      <c r="E153" s="160"/>
      <c r="F153" s="160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91"/>
      <c r="U153" s="191"/>
    </row>
    <row r="154" spans="1:21" ht="12.75" x14ac:dyDescent="0.2">
      <c r="A154" s="160"/>
      <c r="B154" s="160"/>
      <c r="C154" s="160"/>
      <c r="D154" s="160"/>
      <c r="E154" s="160"/>
      <c r="F154" s="160"/>
      <c r="G154" s="172"/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89"/>
      <c r="U154" s="189"/>
    </row>
    <row r="155" spans="1:21" ht="12.75" x14ac:dyDescent="0.2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89"/>
      <c r="U155" s="189"/>
    </row>
    <row r="156" spans="1:21" ht="12.75" x14ac:dyDescent="0.2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89"/>
      <c r="U156" s="189"/>
    </row>
    <row r="157" spans="1:21" ht="12.75" x14ac:dyDescent="0.2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89"/>
      <c r="U157" s="189"/>
    </row>
    <row r="158" spans="1:21" ht="12.75" x14ac:dyDescent="0.2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89"/>
      <c r="U158" s="189"/>
    </row>
    <row r="159" spans="1:21" ht="12.75" x14ac:dyDescent="0.2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89"/>
      <c r="U159" s="189"/>
    </row>
    <row r="160" spans="1:21" ht="12.75" x14ac:dyDescent="0.2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89"/>
      <c r="U160" s="189"/>
    </row>
    <row r="161" spans="1:21" ht="12.75" x14ac:dyDescent="0.2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89"/>
      <c r="U161" s="189"/>
    </row>
    <row r="162" spans="1:21" ht="12.75" x14ac:dyDescent="0.2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89"/>
      <c r="U162" s="189"/>
    </row>
    <row r="163" spans="1:21" ht="12.75" x14ac:dyDescent="0.2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89"/>
      <c r="U163" s="189"/>
    </row>
    <row r="164" spans="1:21" ht="12.75" x14ac:dyDescent="0.2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89"/>
      <c r="U164" s="189"/>
    </row>
    <row r="165" spans="1:21" ht="12.75" x14ac:dyDescent="0.2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89"/>
      <c r="U165" s="189"/>
    </row>
    <row r="166" spans="1:21" ht="12.75" x14ac:dyDescent="0.2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89"/>
      <c r="U166" s="189"/>
    </row>
    <row r="167" spans="1:21" ht="12.75" x14ac:dyDescent="0.2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89"/>
      <c r="U167" s="189"/>
    </row>
    <row r="168" spans="1:21" ht="12.75" x14ac:dyDescent="0.2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89"/>
      <c r="U168" s="189"/>
    </row>
    <row r="169" spans="1:21" ht="12.75" x14ac:dyDescent="0.2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89"/>
      <c r="U169" s="189"/>
    </row>
    <row r="170" spans="1:21" ht="12.75" x14ac:dyDescent="0.2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89"/>
      <c r="U170" s="189"/>
    </row>
    <row r="171" spans="1:21" ht="12.75" x14ac:dyDescent="0.2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89"/>
      <c r="U171" s="189"/>
    </row>
    <row r="172" spans="1:21" ht="12.75" x14ac:dyDescent="0.2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89"/>
      <c r="U172" s="189"/>
    </row>
    <row r="173" spans="1:21" ht="12.75" x14ac:dyDescent="0.2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89"/>
      <c r="U173" s="189"/>
    </row>
    <row r="174" spans="1:21" ht="12.75" x14ac:dyDescent="0.2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89"/>
      <c r="U174" s="159"/>
    </row>
    <row r="175" spans="1:21" ht="12.75" x14ac:dyDescent="0.2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89"/>
      <c r="U175" s="159"/>
    </row>
    <row r="176" spans="1:21" ht="12.75" x14ac:dyDescent="0.2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89"/>
      <c r="U176" s="159"/>
    </row>
    <row r="177" spans="1:21" ht="12.75" x14ac:dyDescent="0.2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89"/>
      <c r="U177" s="159"/>
    </row>
    <row r="178" spans="1:21" ht="12.75" x14ac:dyDescent="0.2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89"/>
      <c r="U178" s="159"/>
    </row>
    <row r="179" spans="1:21" ht="12.75" x14ac:dyDescent="0.2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89"/>
      <c r="U179" s="159"/>
    </row>
    <row r="180" spans="1:21" ht="12.75" x14ac:dyDescent="0.2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89"/>
      <c r="U180" s="159"/>
    </row>
    <row r="181" spans="1:21" ht="12.75" x14ac:dyDescent="0.2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89"/>
      <c r="U181" s="159"/>
    </row>
    <row r="182" spans="1:21" ht="12.75" x14ac:dyDescent="0.2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89"/>
      <c r="U182" s="159"/>
    </row>
    <row r="183" spans="1:21" ht="12.75" x14ac:dyDescent="0.2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89"/>
      <c r="U183" s="159"/>
    </row>
    <row r="184" spans="1:21" ht="12.75" x14ac:dyDescent="0.2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89"/>
      <c r="U184" s="159"/>
    </row>
    <row r="185" spans="1:21" ht="12.75" x14ac:dyDescent="0.2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89"/>
      <c r="U185" s="159"/>
    </row>
    <row r="186" spans="1:21" ht="12.75" x14ac:dyDescent="0.2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89"/>
      <c r="U186" s="159"/>
    </row>
    <row r="187" spans="1:21" ht="12.75" x14ac:dyDescent="0.2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89"/>
      <c r="U187" s="159"/>
    </row>
    <row r="188" spans="1:21" ht="12.75" x14ac:dyDescent="0.2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89"/>
      <c r="U188" s="159"/>
    </row>
    <row r="189" spans="1:21" ht="12.75" x14ac:dyDescent="0.2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89"/>
      <c r="U189" s="159"/>
    </row>
    <row r="190" spans="1:21" ht="12.75" x14ac:dyDescent="0.2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89"/>
      <c r="U190" s="159"/>
    </row>
    <row r="191" spans="1:21" ht="12.75" x14ac:dyDescent="0.2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89"/>
      <c r="U191" s="159"/>
    </row>
    <row r="192" spans="1:21" ht="12.75" x14ac:dyDescent="0.2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89"/>
      <c r="U192" s="159"/>
    </row>
    <row r="193" spans="1:21" ht="12.75" x14ac:dyDescent="0.2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89"/>
      <c r="U193" s="159"/>
    </row>
    <row r="194" spans="1:21" ht="12.75" x14ac:dyDescent="0.2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89"/>
      <c r="U194" s="159"/>
    </row>
    <row r="195" spans="1:21" ht="12.75" x14ac:dyDescent="0.2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89"/>
      <c r="U195" s="159"/>
    </row>
    <row r="196" spans="1:21" ht="12.75" x14ac:dyDescent="0.2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89"/>
      <c r="U196" s="159"/>
    </row>
    <row r="197" spans="1:21" ht="12.75" x14ac:dyDescent="0.2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89"/>
      <c r="U197" s="159"/>
    </row>
    <row r="198" spans="1:21" ht="12.75" x14ac:dyDescent="0.2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89"/>
      <c r="U198" s="159"/>
    </row>
    <row r="199" spans="1:21" ht="12.75" x14ac:dyDescent="0.2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89"/>
      <c r="U199" s="159"/>
    </row>
    <row r="200" spans="1:21" x14ac:dyDescent="0.15">
      <c r="T200" s="189"/>
      <c r="U200" s="159"/>
    </row>
    <row r="201" spans="1:21" x14ac:dyDescent="0.15">
      <c r="T201" s="189"/>
      <c r="U201" s="159"/>
    </row>
    <row r="202" spans="1:21" x14ac:dyDescent="0.15">
      <c r="T202" s="189"/>
      <c r="U202" s="159"/>
    </row>
    <row r="203" spans="1:21" x14ac:dyDescent="0.15">
      <c r="T203" s="189"/>
      <c r="U203" s="159"/>
    </row>
    <row r="204" spans="1:21" x14ac:dyDescent="0.15">
      <c r="T204" s="189"/>
      <c r="U204" s="159"/>
    </row>
    <row r="205" spans="1:21" x14ac:dyDescent="0.15">
      <c r="T205" s="189"/>
      <c r="U205" s="159"/>
    </row>
    <row r="206" spans="1:21" x14ac:dyDescent="0.15">
      <c r="T206" s="189"/>
      <c r="U206" s="159"/>
    </row>
    <row r="207" spans="1:21" x14ac:dyDescent="0.15">
      <c r="T207" s="189"/>
      <c r="U207" s="159"/>
    </row>
    <row r="208" spans="1:21" x14ac:dyDescent="0.15">
      <c r="T208" s="189"/>
      <c r="U208" s="159"/>
    </row>
    <row r="209" spans="20:21" x14ac:dyDescent="0.15">
      <c r="T209" s="189"/>
      <c r="U209" s="159"/>
    </row>
    <row r="210" spans="20:21" x14ac:dyDescent="0.15">
      <c r="T210" s="189"/>
      <c r="U210" s="159"/>
    </row>
    <row r="211" spans="20:21" x14ac:dyDescent="0.15">
      <c r="T211" s="189"/>
      <c r="U211" s="159"/>
    </row>
    <row r="212" spans="20:21" x14ac:dyDescent="0.15">
      <c r="T212" s="189"/>
      <c r="U212" s="159"/>
    </row>
    <row r="213" spans="20:21" x14ac:dyDescent="0.15">
      <c r="T213" s="189"/>
      <c r="U213" s="159"/>
    </row>
    <row r="214" spans="20:21" x14ac:dyDescent="0.15">
      <c r="T214" s="84"/>
    </row>
    <row r="215" spans="20:21" x14ac:dyDescent="0.15">
      <c r="T215" s="84"/>
    </row>
    <row r="216" spans="20:21" x14ac:dyDescent="0.15">
      <c r="T216" s="84"/>
    </row>
    <row r="217" spans="20:21" x14ac:dyDescent="0.15">
      <c r="T217" s="84"/>
    </row>
    <row r="218" spans="20:21" x14ac:dyDescent="0.15">
      <c r="T218" s="84"/>
    </row>
    <row r="219" spans="20:21" x14ac:dyDescent="0.15">
      <c r="T219" s="84"/>
    </row>
    <row r="220" spans="20:21" x14ac:dyDescent="0.15">
      <c r="T220" s="84"/>
    </row>
    <row r="221" spans="20:21" x14ac:dyDescent="0.15">
      <c r="T221" s="84"/>
    </row>
    <row r="222" spans="20:21" x14ac:dyDescent="0.15">
      <c r="T222" s="84"/>
    </row>
    <row r="223" spans="20:21" x14ac:dyDescent="0.15">
      <c r="T223" s="84"/>
    </row>
    <row r="224" spans="20:21" x14ac:dyDescent="0.15">
      <c r="T224" s="84"/>
    </row>
    <row r="225" spans="1:20" x14ac:dyDescent="0.15">
      <c r="T225" s="84"/>
    </row>
    <row r="226" spans="1:20" x14ac:dyDescent="0.15">
      <c r="T226" s="84"/>
    </row>
    <row r="227" spans="1:20" x14ac:dyDescent="0.15">
      <c r="T227" s="84"/>
    </row>
    <row r="228" spans="1:20" x14ac:dyDescent="0.15">
      <c r="T228" s="84"/>
    </row>
    <row r="229" spans="1:20" x14ac:dyDescent="0.15">
      <c r="T229" s="84"/>
    </row>
    <row r="230" spans="1:20" x14ac:dyDescent="0.15">
      <c r="T230" s="84"/>
    </row>
    <row r="231" spans="1:20" x14ac:dyDescent="0.15">
      <c r="T231" s="84"/>
    </row>
    <row r="232" spans="1:20" x14ac:dyDescent="0.15">
      <c r="T232" s="84"/>
    </row>
    <row r="233" spans="1:20" x14ac:dyDescent="0.15">
      <c r="T233" s="84"/>
    </row>
    <row r="234" spans="1:20" x14ac:dyDescent="0.15">
      <c r="T234" s="84"/>
    </row>
    <row r="235" spans="1:20" x14ac:dyDescent="0.15">
      <c r="T235" s="84"/>
    </row>
    <row r="236" spans="1:20" x14ac:dyDescent="0.15">
      <c r="A236" s="84"/>
      <c r="B236" s="8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</row>
    <row r="237" spans="1:20" x14ac:dyDescent="0.15">
      <c r="A237" s="84"/>
      <c r="B237" s="84"/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</row>
    <row r="238" spans="1:20" x14ac:dyDescent="0.15">
      <c r="A238" s="84"/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</row>
    <row r="239" spans="1:20" x14ac:dyDescent="0.15">
      <c r="A239" s="84"/>
      <c r="B239" s="84"/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</row>
  </sheetData>
  <mergeCells count="15">
    <mergeCell ref="M9:Q9"/>
    <mergeCell ref="M57:Q57"/>
    <mergeCell ref="A1:S1"/>
    <mergeCell ref="A2:S2"/>
    <mergeCell ref="A3:S3"/>
    <mergeCell ref="A4:S4"/>
    <mergeCell ref="A49:S49"/>
    <mergeCell ref="M97:Q97"/>
    <mergeCell ref="A51:S51"/>
    <mergeCell ref="A92:S92"/>
    <mergeCell ref="A52:S52"/>
    <mergeCell ref="A50:S50"/>
    <mergeCell ref="A89:S89"/>
    <mergeCell ref="A90:S90"/>
    <mergeCell ref="A91:S91"/>
  </mergeCells>
  <phoneticPr fontId="3" type="noConversion"/>
  <printOptions horizontalCentered="1"/>
  <pageMargins left="0.25" right="0.25" top="1" bottom="0.25" header="0.5" footer="0.5"/>
  <pageSetup scale="83" orientation="landscape" r:id="rId1"/>
  <headerFooter alignWithMargins="0"/>
  <rowBreaks count="2" manualBreakCount="2">
    <brk id="48" max="16383" man="1"/>
    <brk id="8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Q30"/>
  <sheetViews>
    <sheetView zoomScaleNormal="100" workbookViewId="0">
      <selection activeCell="Q8" sqref="Q8"/>
    </sheetView>
  </sheetViews>
  <sheetFormatPr defaultColWidth="9.83203125" defaultRowHeight="10.5" x14ac:dyDescent="0.15"/>
  <cols>
    <col min="1" max="1" width="7.83203125" style="29" customWidth="1"/>
    <col min="2" max="2" width="3.83203125" style="29" customWidth="1"/>
    <col min="3" max="3" width="6.83203125" style="29" customWidth="1"/>
    <col min="4" max="4" width="3.83203125" style="29" customWidth="1"/>
    <col min="5" max="5" width="16.83203125" style="29" bestFit="1" customWidth="1"/>
    <col min="6" max="6" width="3.83203125" style="29" customWidth="1"/>
    <col min="7" max="7" width="14.83203125" style="29" bestFit="1" customWidth="1"/>
    <col min="8" max="8" width="3.83203125" style="29" customWidth="1"/>
    <col min="9" max="9" width="7.5" style="29" customWidth="1"/>
    <col min="10" max="10" width="3.83203125" style="29" customWidth="1"/>
    <col min="11" max="11" width="15.5" style="29" bestFit="1" customWidth="1"/>
    <col min="12" max="12" width="3.83203125" style="29" customWidth="1"/>
    <col min="13" max="13" width="19.6640625" style="29" bestFit="1" customWidth="1"/>
    <col min="14" max="14" width="3.83203125" style="29" customWidth="1"/>
    <col min="15" max="15" width="18.83203125" style="29" customWidth="1"/>
    <col min="16" max="16" width="3.83203125" style="29" customWidth="1"/>
    <col min="17" max="17" width="15.83203125" style="29" customWidth="1"/>
    <col min="18" max="16384" width="9.83203125" style="29"/>
  </cols>
  <sheetData>
    <row r="1" spans="1:17" ht="12.75" x14ac:dyDescent="0.2">
      <c r="A1" s="1393" t="s">
        <v>477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</row>
    <row r="2" spans="1:17" ht="12.75" x14ac:dyDescent="0.2">
      <c r="A2" s="1392" t="str">
        <f>Input!C4</f>
        <v>CASE NO. 2017-xxxxx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  <c r="Q2" s="1392"/>
    </row>
    <row r="3" spans="1:17" ht="12.75" x14ac:dyDescent="0.2">
      <c r="A3" s="1393" t="s">
        <v>952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</row>
    <row r="4" spans="1:17" ht="12.75" x14ac:dyDescent="0.2">
      <c r="A4" s="1392" t="str">
        <f>Input!C11</f>
        <v>FROM JANUARY 1, 2017 TO DECEMBER 31, 2017</v>
      </c>
      <c r="B4" s="1392"/>
      <c r="C4" s="1392"/>
      <c r="D4" s="1392"/>
      <c r="E4" s="1392"/>
      <c r="F4" s="1392"/>
      <c r="G4" s="1392"/>
      <c r="H4" s="1392"/>
      <c r="I4" s="1392"/>
      <c r="J4" s="1392"/>
      <c r="K4" s="1392"/>
      <c r="L4" s="1392"/>
      <c r="M4" s="1392"/>
      <c r="N4" s="1392"/>
      <c r="O4" s="1392"/>
      <c r="P4" s="1392"/>
      <c r="Q4" s="1392"/>
    </row>
    <row r="5" spans="1:17" ht="12.75" x14ac:dyDescent="0.2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</row>
    <row r="6" spans="1:17" ht="12.75" x14ac:dyDescent="0.2">
      <c r="A6" s="137" t="s">
        <v>839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1"/>
      <c r="P6" s="210"/>
      <c r="Q6" s="139" t="s">
        <v>1368</v>
      </c>
    </row>
    <row r="7" spans="1:17" ht="12.75" x14ac:dyDescent="0.2">
      <c r="A7" s="137" t="s">
        <v>490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1"/>
      <c r="P7" s="210"/>
      <c r="Q7" s="139" t="s">
        <v>491</v>
      </c>
    </row>
    <row r="8" spans="1:17" ht="12.75" x14ac:dyDescent="0.2">
      <c r="A8" s="140" t="s">
        <v>840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3"/>
      <c r="P8" s="214"/>
      <c r="Q8" s="144" t="str">
        <f>Input!E27</f>
        <v>WITNESS:  C. Y. LAI</v>
      </c>
    </row>
    <row r="9" spans="1:17" ht="12.75" x14ac:dyDescent="0.2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5" t="s">
        <v>1369</v>
      </c>
      <c r="N9" s="210"/>
      <c r="O9" s="210"/>
      <c r="P9" s="210"/>
      <c r="Q9" s="215" t="s">
        <v>1242</v>
      </c>
    </row>
    <row r="10" spans="1:17" ht="12.75" x14ac:dyDescent="0.2">
      <c r="A10" s="215" t="s">
        <v>493</v>
      </c>
      <c r="B10" s="210"/>
      <c r="C10" s="215" t="s">
        <v>1143</v>
      </c>
      <c r="D10" s="210"/>
      <c r="E10" s="215" t="s">
        <v>480</v>
      </c>
      <c r="F10" s="210"/>
      <c r="G10" s="215" t="s">
        <v>1370</v>
      </c>
      <c r="H10" s="210"/>
      <c r="I10" s="215" t="s">
        <v>1371</v>
      </c>
      <c r="J10" s="210"/>
      <c r="K10" s="215" t="s">
        <v>1370</v>
      </c>
      <c r="L10" s="210"/>
      <c r="M10" s="215" t="s">
        <v>1372</v>
      </c>
      <c r="N10" s="210"/>
      <c r="O10" s="215" t="s">
        <v>1373</v>
      </c>
      <c r="P10" s="210"/>
      <c r="Q10" s="215" t="s">
        <v>1374</v>
      </c>
    </row>
    <row r="11" spans="1:17" ht="12.75" x14ac:dyDescent="0.2">
      <c r="A11" s="216" t="s">
        <v>496</v>
      </c>
      <c r="B11" s="212"/>
      <c r="C11" s="216" t="s">
        <v>496</v>
      </c>
      <c r="D11" s="212"/>
      <c r="E11" s="216" t="s">
        <v>1375</v>
      </c>
      <c r="F11" s="212"/>
      <c r="G11" s="216" t="s">
        <v>1371</v>
      </c>
      <c r="H11" s="212"/>
      <c r="I11" s="216" t="s">
        <v>1376</v>
      </c>
      <c r="J11" s="212"/>
      <c r="K11" s="216" t="s">
        <v>1235</v>
      </c>
      <c r="L11" s="212"/>
      <c r="M11" s="216" t="s">
        <v>1377</v>
      </c>
      <c r="N11" s="212"/>
      <c r="O11" s="216" t="s">
        <v>1370</v>
      </c>
      <c r="P11" s="212"/>
      <c r="Q11" s="216" t="s">
        <v>1378</v>
      </c>
    </row>
    <row r="12" spans="1:17" ht="12.75" x14ac:dyDescent="0.2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7" ht="12.75" x14ac:dyDescent="0.2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</row>
    <row r="14" spans="1:17" ht="12.75" x14ac:dyDescent="0.2">
      <c r="A14" s="210"/>
      <c r="B14" s="210"/>
      <c r="C14" s="210"/>
      <c r="D14" s="210"/>
      <c r="E14" s="210"/>
      <c r="F14" s="210"/>
      <c r="G14" s="217"/>
      <c r="H14" s="210"/>
      <c r="I14" s="218"/>
      <c r="J14" s="217"/>
      <c r="K14" s="217"/>
      <c r="L14" s="217"/>
      <c r="M14" s="217"/>
      <c r="N14" s="210"/>
      <c r="O14" s="217"/>
      <c r="P14" s="210"/>
      <c r="Q14" s="210"/>
    </row>
    <row r="15" spans="1:17" ht="12.75" x14ac:dyDescent="0.2">
      <c r="A15" s="210"/>
      <c r="B15" s="210"/>
      <c r="C15" s="210"/>
      <c r="D15" s="210"/>
      <c r="E15" s="210"/>
      <c r="F15" s="210"/>
      <c r="G15" s="217"/>
      <c r="H15" s="210"/>
      <c r="I15" s="210"/>
      <c r="J15" s="217"/>
      <c r="K15" s="217"/>
      <c r="L15" s="217"/>
      <c r="M15" s="217"/>
      <c r="N15" s="210"/>
      <c r="O15" s="210"/>
      <c r="P15" s="210"/>
      <c r="Q15" s="210"/>
    </row>
    <row r="16" spans="1:17" ht="12.75" x14ac:dyDescent="0.2">
      <c r="A16" s="1397" t="s">
        <v>1379</v>
      </c>
      <c r="B16" s="1397"/>
      <c r="C16" s="1397"/>
      <c r="D16" s="1397"/>
      <c r="E16" s="1397"/>
      <c r="F16" s="1397"/>
      <c r="G16" s="1397"/>
      <c r="H16" s="1397"/>
      <c r="I16" s="1397"/>
      <c r="J16" s="1397"/>
      <c r="K16" s="1397"/>
      <c r="L16" s="1397"/>
      <c r="M16" s="1397"/>
      <c r="N16" s="1397"/>
      <c r="O16" s="1397"/>
      <c r="P16" s="1397"/>
      <c r="Q16" s="1397"/>
    </row>
    <row r="17" spans="1:17" ht="12.75" x14ac:dyDescent="0.2">
      <c r="A17" s="210"/>
      <c r="B17" s="210"/>
      <c r="C17" s="210"/>
      <c r="D17" s="210"/>
      <c r="E17" s="210"/>
      <c r="F17" s="210"/>
      <c r="G17" s="217"/>
      <c r="H17" s="210"/>
      <c r="I17" s="210"/>
      <c r="J17" s="217"/>
      <c r="K17" s="217"/>
      <c r="L17" s="217"/>
      <c r="M17" s="210"/>
      <c r="N17" s="210"/>
      <c r="O17" s="217"/>
      <c r="P17" s="210"/>
      <c r="Q17" s="210"/>
    </row>
    <row r="18" spans="1:17" ht="11.25" x14ac:dyDescent="0.2">
      <c r="A18" s="211"/>
      <c r="B18" s="211"/>
      <c r="C18" s="211"/>
      <c r="D18" s="211"/>
      <c r="E18" s="211"/>
      <c r="F18" s="211"/>
      <c r="G18" s="219"/>
      <c r="H18" s="211"/>
      <c r="I18" s="220"/>
      <c r="J18" s="219"/>
      <c r="K18" s="219"/>
      <c r="L18" s="219"/>
      <c r="M18" s="219"/>
      <c r="N18" s="211"/>
      <c r="O18" s="219"/>
      <c r="P18" s="211"/>
      <c r="Q18" s="211"/>
    </row>
    <row r="19" spans="1:17" ht="11.25" x14ac:dyDescent="0.2">
      <c r="A19" s="211"/>
      <c r="B19" s="211"/>
      <c r="C19" s="211"/>
      <c r="D19" s="211"/>
      <c r="E19" s="211"/>
      <c r="F19" s="211"/>
      <c r="G19" s="219"/>
      <c r="H19" s="211"/>
      <c r="I19" s="211"/>
      <c r="J19" s="219"/>
      <c r="K19" s="219"/>
      <c r="L19" s="219"/>
      <c r="M19" s="219"/>
      <c r="N19" s="211"/>
      <c r="O19" s="219"/>
      <c r="P19" s="211"/>
      <c r="Q19" s="211"/>
    </row>
    <row r="20" spans="1:17" x14ac:dyDescent="0.15">
      <c r="G20" s="30"/>
      <c r="I20" s="31"/>
      <c r="J20" s="30"/>
      <c r="K20" s="30"/>
      <c r="L20" s="30"/>
      <c r="M20" s="30"/>
      <c r="O20" s="30"/>
    </row>
    <row r="21" spans="1:17" x14ac:dyDescent="0.15">
      <c r="G21" s="30"/>
      <c r="J21" s="30"/>
      <c r="K21" s="30"/>
      <c r="L21" s="30"/>
      <c r="M21" s="30"/>
      <c r="O21" s="30"/>
    </row>
    <row r="22" spans="1:17" x14ac:dyDescent="0.15">
      <c r="G22" s="30"/>
      <c r="I22" s="31"/>
      <c r="J22" s="30"/>
      <c r="K22" s="30"/>
      <c r="L22" s="30"/>
      <c r="M22" s="30"/>
      <c r="O22" s="30"/>
    </row>
    <row r="23" spans="1:17" x14ac:dyDescent="0.15">
      <c r="G23" s="30"/>
      <c r="J23" s="30"/>
      <c r="K23" s="30"/>
      <c r="L23" s="30"/>
      <c r="M23" s="30"/>
      <c r="O23" s="30"/>
    </row>
    <row r="24" spans="1:17" x14ac:dyDescent="0.15">
      <c r="G24" s="30"/>
      <c r="I24" s="31"/>
      <c r="J24" s="30"/>
      <c r="K24" s="30"/>
      <c r="L24" s="30"/>
      <c r="M24" s="30"/>
      <c r="O24" s="30"/>
    </row>
    <row r="25" spans="1:17" x14ac:dyDescent="0.15">
      <c r="G25" s="30"/>
      <c r="J25" s="30"/>
      <c r="K25" s="30"/>
      <c r="L25" s="30"/>
      <c r="M25" s="30"/>
      <c r="O25" s="30"/>
    </row>
    <row r="26" spans="1:17" x14ac:dyDescent="0.15">
      <c r="G26" s="30"/>
      <c r="I26" s="31"/>
      <c r="J26" s="30"/>
      <c r="K26" s="30"/>
      <c r="L26" s="30"/>
      <c r="M26" s="30"/>
      <c r="O26" s="30"/>
    </row>
    <row r="27" spans="1:17" x14ac:dyDescent="0.15">
      <c r="G27" s="30"/>
      <c r="J27" s="30"/>
      <c r="K27" s="30"/>
      <c r="L27" s="30"/>
      <c r="M27" s="30"/>
      <c r="O27" s="30"/>
    </row>
    <row r="28" spans="1:17" x14ac:dyDescent="0.15">
      <c r="J28" s="30"/>
      <c r="K28" s="30"/>
      <c r="L28" s="30"/>
      <c r="M28" s="30"/>
    </row>
    <row r="29" spans="1:17" x14ac:dyDescent="0.15">
      <c r="J29" s="30"/>
      <c r="K29" s="30"/>
      <c r="L29" s="30"/>
      <c r="M29" s="30"/>
    </row>
    <row r="30" spans="1:17" x14ac:dyDescent="0.15">
      <c r="J30" s="30"/>
      <c r="K30" s="30"/>
      <c r="L30" s="30"/>
      <c r="M30" s="30"/>
    </row>
  </sheetData>
  <mergeCells count="5">
    <mergeCell ref="A16:Q16"/>
    <mergeCell ref="A1:Q1"/>
    <mergeCell ref="A2:Q2"/>
    <mergeCell ref="A3:Q3"/>
    <mergeCell ref="A4:Q4"/>
  </mergeCells>
  <phoneticPr fontId="3" type="noConversion"/>
  <printOptions horizontalCentered="1"/>
  <pageMargins left="0.25" right="0.25" top="1" bottom="0.2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Q101"/>
  <sheetViews>
    <sheetView zoomScaleNormal="100" workbookViewId="0">
      <selection activeCell="A22" sqref="A22"/>
    </sheetView>
  </sheetViews>
  <sheetFormatPr defaultColWidth="9.83203125" defaultRowHeight="10.5" x14ac:dyDescent="0.15"/>
  <cols>
    <col min="1" max="1" width="7.83203125" style="32" customWidth="1"/>
    <col min="2" max="2" width="3.83203125" style="32" customWidth="1"/>
    <col min="3" max="3" width="14.83203125" style="32" customWidth="1"/>
    <col min="4" max="4" width="3.83203125" style="32" customWidth="1"/>
    <col min="5" max="5" width="27.6640625" style="32" bestFit="1" customWidth="1"/>
    <col min="6" max="6" width="3.83203125" style="32" customWidth="1"/>
    <col min="7" max="7" width="20" style="32" bestFit="1" customWidth="1"/>
    <col min="8" max="8" width="3.83203125" style="32" customWidth="1"/>
    <col min="9" max="9" width="12.83203125" style="32" customWidth="1"/>
    <col min="10" max="10" width="3.83203125" style="32" customWidth="1"/>
    <col min="11" max="11" width="16.1640625" style="32" bestFit="1" customWidth="1"/>
    <col min="12" max="12" width="3.83203125" style="32" customWidth="1"/>
    <col min="13" max="13" width="18.83203125" style="32" customWidth="1"/>
    <col min="14" max="14" width="3.83203125" style="32" customWidth="1"/>
    <col min="15" max="15" width="25.1640625" style="32" customWidth="1"/>
    <col min="16" max="16" width="5.83203125" style="32" customWidth="1"/>
    <col min="17" max="16384" width="9.83203125" style="32"/>
  </cols>
  <sheetData>
    <row r="1" spans="1:17" ht="12.75" x14ac:dyDescent="0.2">
      <c r="A1" s="1393" t="s">
        <v>477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221"/>
      <c r="Q1" s="221"/>
    </row>
    <row r="2" spans="1:17" ht="12.75" x14ac:dyDescent="0.2">
      <c r="A2" s="1392" t="str">
        <f>Input!C4</f>
        <v>CASE NO. 2017-xxxxx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221"/>
      <c r="Q2" s="221"/>
    </row>
    <row r="3" spans="1:17" ht="12.75" x14ac:dyDescent="0.2">
      <c r="A3" s="1393" t="s">
        <v>954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221"/>
      <c r="Q3" s="221"/>
    </row>
    <row r="4" spans="1:17" ht="12.75" x14ac:dyDescent="0.2">
      <c r="A4" s="1392" t="str">
        <f>Input!C9</f>
        <v>FOR THE HISTORIC PERIOD DECEMBER 31, 2017</v>
      </c>
      <c r="B4" s="1392"/>
      <c r="C4" s="1392"/>
      <c r="D4" s="1392"/>
      <c r="E4" s="1392"/>
      <c r="F4" s="1392"/>
      <c r="G4" s="1392"/>
      <c r="H4" s="1392"/>
      <c r="I4" s="1392"/>
      <c r="J4" s="1392"/>
      <c r="K4" s="1392"/>
      <c r="L4" s="1392"/>
      <c r="M4" s="1392"/>
      <c r="N4" s="1392"/>
      <c r="O4" s="1392"/>
      <c r="P4" s="221"/>
      <c r="Q4" s="221"/>
    </row>
    <row r="5" spans="1:17" ht="12.75" x14ac:dyDescent="0.2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1"/>
      <c r="Q5" s="221"/>
    </row>
    <row r="6" spans="1:17" ht="12.75" x14ac:dyDescent="0.2">
      <c r="A6" s="137" t="s">
        <v>839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1"/>
      <c r="O6" s="139" t="s">
        <v>1380</v>
      </c>
      <c r="P6" s="221"/>
      <c r="Q6" s="221"/>
    </row>
    <row r="7" spans="1:17" ht="12.75" x14ac:dyDescent="0.2">
      <c r="A7" s="137" t="s">
        <v>490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1"/>
      <c r="O7" s="139" t="s">
        <v>491</v>
      </c>
      <c r="P7" s="221"/>
      <c r="Q7" s="221"/>
    </row>
    <row r="8" spans="1:17" ht="12.75" x14ac:dyDescent="0.2">
      <c r="A8" s="140" t="s">
        <v>840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4"/>
      <c r="M8" s="224"/>
      <c r="N8" s="225"/>
      <c r="O8" s="226" t="str">
        <f>Input!E27</f>
        <v>WITNESS:  C. Y. LAI</v>
      </c>
      <c r="P8" s="221"/>
      <c r="Q8" s="221"/>
    </row>
    <row r="9" spans="1:17" ht="12.75" x14ac:dyDescent="0.2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7" t="s">
        <v>1381</v>
      </c>
      <c r="N9" s="222"/>
      <c r="O9" s="222"/>
      <c r="P9" s="221"/>
      <c r="Q9" s="221"/>
    </row>
    <row r="10" spans="1:17" ht="12.75" x14ac:dyDescent="0.2">
      <c r="A10" s="222"/>
      <c r="B10" s="222"/>
      <c r="C10" s="227" t="s">
        <v>1382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7" t="s">
        <v>1383</v>
      </c>
      <c r="N10" s="222"/>
      <c r="O10" s="222"/>
      <c r="P10" s="221"/>
      <c r="Q10" s="221"/>
    </row>
    <row r="11" spans="1:17" ht="12.75" x14ac:dyDescent="0.2">
      <c r="A11" s="227" t="s">
        <v>493</v>
      </c>
      <c r="B11" s="222"/>
      <c r="C11" s="227" t="s">
        <v>1384</v>
      </c>
      <c r="D11" s="222"/>
      <c r="E11" s="227" t="s">
        <v>1385</v>
      </c>
      <c r="F11" s="222"/>
      <c r="G11" s="227" t="s">
        <v>1386</v>
      </c>
      <c r="H11" s="222"/>
      <c r="I11" s="227" t="s">
        <v>1387</v>
      </c>
      <c r="J11" s="222"/>
      <c r="K11" s="227" t="s">
        <v>1388</v>
      </c>
      <c r="L11" s="222"/>
      <c r="M11" s="227" t="s">
        <v>1389</v>
      </c>
      <c r="N11" s="222"/>
      <c r="O11" s="227" t="s">
        <v>1390</v>
      </c>
      <c r="P11" s="221"/>
      <c r="Q11" s="221"/>
    </row>
    <row r="12" spans="1:17" ht="12.75" x14ac:dyDescent="0.2">
      <c r="A12" s="228" t="s">
        <v>496</v>
      </c>
      <c r="B12" s="223"/>
      <c r="C12" s="228" t="s">
        <v>1391</v>
      </c>
      <c r="D12" s="223"/>
      <c r="E12" s="228" t="s">
        <v>1392</v>
      </c>
      <c r="F12" s="223"/>
      <c r="G12" s="228" t="s">
        <v>1393</v>
      </c>
      <c r="H12" s="223"/>
      <c r="I12" s="228" t="s">
        <v>1394</v>
      </c>
      <c r="J12" s="223"/>
      <c r="K12" s="228" t="s">
        <v>1395</v>
      </c>
      <c r="L12" s="223"/>
      <c r="M12" s="228" t="s">
        <v>1250</v>
      </c>
      <c r="N12" s="223"/>
      <c r="O12" s="228" t="s">
        <v>1396</v>
      </c>
      <c r="P12" s="221"/>
      <c r="Q12" s="221"/>
    </row>
    <row r="13" spans="1:17" ht="12.75" x14ac:dyDescent="0.2">
      <c r="A13" s="229"/>
      <c r="B13" s="230"/>
      <c r="C13" s="229"/>
      <c r="D13" s="230"/>
      <c r="E13" s="229"/>
      <c r="F13" s="230"/>
      <c r="G13" s="229"/>
      <c r="H13" s="230"/>
      <c r="I13" s="229"/>
      <c r="J13" s="230"/>
      <c r="K13" s="229" t="s">
        <v>500</v>
      </c>
      <c r="L13" s="230"/>
      <c r="M13" s="229" t="s">
        <v>500</v>
      </c>
      <c r="N13" s="230"/>
      <c r="O13" s="229"/>
      <c r="P13" s="221"/>
      <c r="Q13" s="221"/>
    </row>
    <row r="14" spans="1:17" ht="12.75" x14ac:dyDescent="0.2">
      <c r="A14" s="229"/>
      <c r="B14" s="230"/>
      <c r="C14" s="229"/>
      <c r="D14" s="230"/>
      <c r="E14" s="229"/>
      <c r="F14" s="230"/>
      <c r="G14" s="229"/>
      <c r="H14" s="230"/>
      <c r="I14" s="229"/>
      <c r="J14" s="230"/>
      <c r="K14" s="229"/>
      <c r="L14" s="230"/>
      <c r="M14" s="229"/>
      <c r="N14" s="230"/>
      <c r="O14" s="229"/>
      <c r="P14" s="221"/>
      <c r="Q14" s="221"/>
    </row>
    <row r="15" spans="1:17" ht="12.75" x14ac:dyDescent="0.2">
      <c r="A15" s="231"/>
      <c r="B15" s="222"/>
      <c r="C15" s="222"/>
      <c r="D15" s="222"/>
      <c r="E15" s="222"/>
      <c r="F15" s="222"/>
      <c r="G15" s="222"/>
      <c r="H15" s="222"/>
      <c r="I15" s="231"/>
      <c r="J15" s="222"/>
      <c r="K15" s="232"/>
      <c r="L15" s="232"/>
      <c r="M15" s="233"/>
      <c r="N15" s="222"/>
      <c r="O15" s="231"/>
      <c r="P15" s="221"/>
      <c r="Q15" s="221"/>
    </row>
    <row r="16" spans="1:17" ht="12.75" x14ac:dyDescent="0.2">
      <c r="A16" s="231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1"/>
      <c r="Q16" s="221"/>
    </row>
    <row r="17" spans="1:17" ht="12.75" x14ac:dyDescent="0.2">
      <c r="A17" s="231"/>
      <c r="B17" s="222"/>
      <c r="C17" s="222"/>
      <c r="D17" s="222"/>
      <c r="E17" s="234"/>
      <c r="F17" s="222"/>
      <c r="G17" s="235"/>
      <c r="H17" s="222"/>
      <c r="I17" s="235"/>
      <c r="J17" s="235"/>
      <c r="K17" s="235"/>
      <c r="L17" s="222"/>
      <c r="M17" s="235"/>
      <c r="N17" s="222"/>
      <c r="O17" s="222"/>
      <c r="P17" s="221"/>
      <c r="Q17" s="221"/>
    </row>
    <row r="18" spans="1:17" ht="12.75" x14ac:dyDescent="0.2">
      <c r="A18" s="231"/>
      <c r="B18" s="222"/>
      <c r="C18" s="222"/>
      <c r="D18" s="222"/>
      <c r="E18" s="222"/>
      <c r="F18" s="222"/>
      <c r="G18" s="235"/>
      <c r="H18" s="222"/>
      <c r="I18" s="235"/>
      <c r="J18" s="235"/>
      <c r="K18" s="235"/>
      <c r="L18" s="222"/>
      <c r="M18" s="235"/>
      <c r="N18" s="222"/>
      <c r="O18" s="222"/>
      <c r="P18" s="221"/>
      <c r="Q18" s="221"/>
    </row>
    <row r="19" spans="1:17" ht="12.75" x14ac:dyDescent="0.2">
      <c r="A19" s="231"/>
      <c r="B19" s="222"/>
      <c r="C19" s="222"/>
      <c r="D19" s="222"/>
      <c r="E19" s="222"/>
      <c r="F19" s="222"/>
      <c r="G19" s="235"/>
      <c r="H19" s="222"/>
      <c r="I19" s="235"/>
      <c r="J19" s="235"/>
      <c r="K19" s="235"/>
      <c r="L19" s="222"/>
      <c r="M19" s="222"/>
      <c r="N19" s="222"/>
      <c r="O19" s="222"/>
      <c r="P19" s="221"/>
      <c r="Q19" s="221"/>
    </row>
    <row r="20" spans="1:17" ht="12.75" x14ac:dyDescent="0.2">
      <c r="A20" s="231"/>
      <c r="B20" s="222"/>
      <c r="C20" s="222"/>
      <c r="D20" s="222"/>
      <c r="E20" s="222"/>
      <c r="F20" s="222"/>
      <c r="G20" s="235"/>
      <c r="H20" s="222"/>
      <c r="I20" s="235"/>
      <c r="J20" s="235"/>
      <c r="K20" s="235"/>
      <c r="L20" s="222"/>
      <c r="M20" s="222"/>
      <c r="N20" s="222"/>
      <c r="O20" s="222"/>
      <c r="P20" s="221"/>
      <c r="Q20" s="221"/>
    </row>
    <row r="21" spans="1:17" ht="12.75" x14ac:dyDescent="0.2">
      <c r="A21" s="1398" t="s">
        <v>1379</v>
      </c>
      <c r="B21" s="1398"/>
      <c r="C21" s="1398"/>
      <c r="D21" s="1398"/>
      <c r="E21" s="1398"/>
      <c r="F21" s="1398"/>
      <c r="G21" s="1398"/>
      <c r="H21" s="1398"/>
      <c r="I21" s="1398"/>
      <c r="J21" s="1398"/>
      <c r="K21" s="1398"/>
      <c r="L21" s="1398"/>
      <c r="M21" s="1398"/>
      <c r="N21" s="1398"/>
      <c r="O21" s="1398"/>
      <c r="P21" s="221"/>
      <c r="Q21" s="221"/>
    </row>
    <row r="22" spans="1:17" ht="11.25" x14ac:dyDescent="0.2">
      <c r="A22" s="236"/>
      <c r="B22" s="221"/>
      <c r="C22" s="221"/>
      <c r="D22" s="221"/>
      <c r="E22" s="221"/>
      <c r="F22" s="221"/>
      <c r="G22" s="237"/>
      <c r="H22" s="221"/>
      <c r="I22" s="237"/>
      <c r="J22" s="237"/>
      <c r="K22" s="237"/>
      <c r="L22" s="221"/>
      <c r="M22" s="237"/>
      <c r="N22" s="221"/>
      <c r="O22" s="221"/>
      <c r="P22" s="221"/>
      <c r="Q22" s="221"/>
    </row>
    <row r="23" spans="1:17" ht="11.25" x14ac:dyDescent="0.2">
      <c r="A23" s="236"/>
      <c r="B23" s="221"/>
      <c r="C23" s="221"/>
      <c r="D23" s="221"/>
      <c r="E23" s="221"/>
      <c r="F23" s="221"/>
      <c r="G23" s="237"/>
      <c r="H23" s="221"/>
      <c r="I23" s="237"/>
      <c r="J23" s="237"/>
      <c r="K23" s="237"/>
      <c r="L23" s="221"/>
      <c r="M23" s="237"/>
      <c r="N23" s="221"/>
      <c r="O23" s="221"/>
      <c r="P23" s="221"/>
      <c r="Q23" s="221"/>
    </row>
    <row r="24" spans="1:17" ht="11.25" x14ac:dyDescent="0.2">
      <c r="A24" s="236"/>
      <c r="B24" s="221"/>
      <c r="C24" s="221"/>
      <c r="D24" s="221"/>
      <c r="E24" s="221"/>
      <c r="F24" s="221"/>
      <c r="G24" s="237"/>
      <c r="H24" s="221"/>
      <c r="I24" s="237"/>
      <c r="J24" s="237"/>
      <c r="K24" s="237"/>
      <c r="L24" s="221"/>
      <c r="M24" s="237"/>
      <c r="N24" s="221"/>
      <c r="O24" s="221"/>
      <c r="P24" s="221"/>
      <c r="Q24" s="221"/>
    </row>
    <row r="25" spans="1:17" ht="11.25" x14ac:dyDescent="0.2">
      <c r="A25" s="236"/>
      <c r="B25" s="221"/>
      <c r="C25" s="221"/>
      <c r="D25" s="221"/>
      <c r="E25" s="221"/>
      <c r="F25" s="221"/>
      <c r="G25" s="237"/>
      <c r="H25" s="221"/>
      <c r="I25" s="237"/>
      <c r="J25" s="237"/>
      <c r="K25" s="237"/>
      <c r="L25" s="221"/>
      <c r="M25" s="237"/>
      <c r="N25" s="221"/>
      <c r="O25" s="221"/>
      <c r="P25" s="221"/>
      <c r="Q25" s="221"/>
    </row>
    <row r="26" spans="1:17" ht="11.25" x14ac:dyDescent="0.2">
      <c r="A26" s="236"/>
      <c r="B26" s="221"/>
      <c r="C26" s="221"/>
      <c r="D26" s="221"/>
      <c r="E26" s="221"/>
      <c r="F26" s="221"/>
      <c r="G26" s="237"/>
      <c r="H26" s="221"/>
      <c r="I26" s="237"/>
      <c r="J26" s="237"/>
      <c r="K26" s="237"/>
      <c r="L26" s="221"/>
      <c r="M26" s="237"/>
      <c r="N26" s="221"/>
      <c r="O26" s="221"/>
      <c r="P26" s="221"/>
      <c r="Q26" s="221"/>
    </row>
    <row r="27" spans="1:17" ht="11.25" x14ac:dyDescent="0.2">
      <c r="A27" s="236"/>
      <c r="B27" s="221"/>
      <c r="C27" s="221"/>
      <c r="D27" s="221"/>
      <c r="E27" s="221"/>
      <c r="F27" s="221"/>
      <c r="G27" s="237"/>
      <c r="H27" s="221"/>
      <c r="I27" s="237"/>
      <c r="J27" s="237"/>
      <c r="K27" s="237"/>
      <c r="L27" s="221"/>
      <c r="M27" s="237"/>
      <c r="N27" s="221"/>
      <c r="O27" s="221"/>
      <c r="P27" s="221"/>
      <c r="Q27" s="221"/>
    </row>
    <row r="28" spans="1:17" ht="11.25" x14ac:dyDescent="0.2">
      <c r="A28" s="236"/>
      <c r="B28" s="221"/>
      <c r="C28" s="221"/>
      <c r="D28" s="221"/>
      <c r="E28" s="221"/>
      <c r="F28" s="221"/>
      <c r="G28" s="237"/>
      <c r="H28" s="221"/>
      <c r="I28" s="237"/>
      <c r="J28" s="237"/>
      <c r="K28" s="237"/>
      <c r="L28" s="221"/>
      <c r="M28" s="237"/>
      <c r="N28" s="221"/>
      <c r="O28" s="221"/>
      <c r="P28" s="221"/>
      <c r="Q28" s="221"/>
    </row>
    <row r="29" spans="1:17" ht="11.25" x14ac:dyDescent="0.2">
      <c r="A29" s="238"/>
      <c r="B29" s="239"/>
      <c r="C29" s="239"/>
      <c r="D29" s="239"/>
      <c r="E29" s="239"/>
      <c r="F29" s="239"/>
      <c r="G29" s="239"/>
      <c r="H29" s="239"/>
      <c r="I29" s="240"/>
      <c r="J29" s="240"/>
      <c r="K29" s="240"/>
      <c r="L29" s="239"/>
      <c r="M29" s="239"/>
      <c r="N29" s="239"/>
      <c r="O29" s="239"/>
      <c r="P29" s="239"/>
      <c r="Q29" s="221"/>
    </row>
    <row r="30" spans="1:17" ht="11.25" x14ac:dyDescent="0.2">
      <c r="A30" s="238"/>
      <c r="B30" s="239"/>
      <c r="C30" s="239"/>
      <c r="D30" s="239"/>
      <c r="E30" s="239"/>
      <c r="F30" s="239"/>
      <c r="G30" s="239"/>
      <c r="H30" s="239"/>
      <c r="I30" s="240"/>
      <c r="J30" s="240"/>
      <c r="K30" s="240"/>
      <c r="L30" s="239"/>
      <c r="M30" s="239"/>
      <c r="N30" s="239"/>
      <c r="O30" s="239"/>
      <c r="P30" s="239"/>
      <c r="Q30" s="221"/>
    </row>
    <row r="31" spans="1:17" ht="11.25" x14ac:dyDescent="0.2">
      <c r="A31" s="238"/>
      <c r="B31" s="239"/>
      <c r="C31" s="239"/>
      <c r="D31" s="239"/>
      <c r="E31" s="239"/>
      <c r="F31" s="239"/>
      <c r="G31" s="239"/>
      <c r="H31" s="239"/>
      <c r="I31" s="240"/>
      <c r="J31" s="240"/>
      <c r="K31" s="240"/>
      <c r="L31" s="239"/>
      <c r="M31" s="239"/>
      <c r="N31" s="239"/>
      <c r="O31" s="239"/>
      <c r="P31" s="239"/>
      <c r="Q31" s="221"/>
    </row>
    <row r="32" spans="1:17" ht="11.25" x14ac:dyDescent="0.2">
      <c r="A32" s="238"/>
      <c r="B32" s="239"/>
      <c r="C32" s="239"/>
      <c r="D32" s="239"/>
      <c r="E32" s="239"/>
      <c r="F32" s="239"/>
      <c r="G32" s="239"/>
      <c r="H32" s="239"/>
      <c r="I32" s="240"/>
      <c r="J32" s="240"/>
      <c r="K32" s="240"/>
      <c r="L32" s="239"/>
      <c r="M32" s="239"/>
      <c r="N32" s="239"/>
      <c r="O32" s="239"/>
      <c r="P32" s="239"/>
      <c r="Q32" s="221"/>
    </row>
    <row r="33" spans="1:17" ht="11.25" x14ac:dyDescent="0.2">
      <c r="A33" s="238"/>
      <c r="B33" s="239"/>
      <c r="C33" s="239"/>
      <c r="D33" s="239"/>
      <c r="E33" s="239"/>
      <c r="F33" s="239"/>
      <c r="G33" s="239"/>
      <c r="H33" s="239"/>
      <c r="I33" s="240"/>
      <c r="J33" s="240"/>
      <c r="K33" s="240"/>
      <c r="L33" s="239"/>
      <c r="M33" s="239"/>
      <c r="N33" s="239"/>
      <c r="O33" s="239"/>
      <c r="P33" s="239"/>
      <c r="Q33" s="221"/>
    </row>
    <row r="34" spans="1:17" ht="11.25" x14ac:dyDescent="0.2">
      <c r="A34" s="236"/>
      <c r="B34" s="221"/>
      <c r="C34" s="221"/>
      <c r="D34" s="221"/>
      <c r="E34" s="221"/>
      <c r="F34" s="221"/>
      <c r="G34" s="221"/>
      <c r="H34" s="221"/>
      <c r="I34" s="237"/>
      <c r="J34" s="237"/>
      <c r="K34" s="237"/>
      <c r="L34" s="221"/>
      <c r="M34" s="221"/>
      <c r="N34" s="221"/>
      <c r="O34" s="221"/>
      <c r="P34" s="221"/>
      <c r="Q34" s="221"/>
    </row>
    <row r="35" spans="1:17" ht="11.25" x14ac:dyDescent="0.2">
      <c r="A35" s="236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</row>
    <row r="36" spans="1:17" ht="11.25" x14ac:dyDescent="0.2">
      <c r="A36" s="236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</row>
    <row r="37" spans="1:17" ht="11.25" x14ac:dyDescent="0.2">
      <c r="A37" s="236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</row>
    <row r="38" spans="1:17" ht="11.25" x14ac:dyDescent="0.2">
      <c r="A38" s="236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</row>
    <row r="39" spans="1:17" ht="11.25" x14ac:dyDescent="0.2">
      <c r="A39" s="236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</row>
    <row r="40" spans="1:17" ht="11.25" x14ac:dyDescent="0.2">
      <c r="A40" s="236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</row>
    <row r="41" spans="1:17" ht="11.25" x14ac:dyDescent="0.2">
      <c r="A41" s="236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</row>
    <row r="42" spans="1:17" ht="11.25" x14ac:dyDescent="0.2">
      <c r="A42" s="236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</row>
    <row r="43" spans="1:17" ht="11.25" x14ac:dyDescent="0.2">
      <c r="A43" s="236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</row>
    <row r="44" spans="1:17" ht="11.25" x14ac:dyDescent="0.2">
      <c r="A44" s="236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</row>
    <row r="45" spans="1:17" ht="11.25" x14ac:dyDescent="0.2">
      <c r="A45" s="236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</row>
    <row r="46" spans="1:17" ht="11.25" x14ac:dyDescent="0.2">
      <c r="A46" s="236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</row>
    <row r="47" spans="1:17" ht="11.25" x14ac:dyDescent="0.2">
      <c r="A47" s="236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</row>
    <row r="48" spans="1:17" ht="11.25" x14ac:dyDescent="0.2">
      <c r="A48" s="236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</row>
    <row r="49" spans="1:17" ht="11.25" x14ac:dyDescent="0.2">
      <c r="A49" s="236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</row>
    <row r="50" spans="1:17" ht="11.25" x14ac:dyDescent="0.2">
      <c r="A50" s="236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</row>
    <row r="51" spans="1:17" ht="11.25" x14ac:dyDescent="0.2">
      <c r="A51" s="236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</row>
    <row r="52" spans="1:17" ht="11.25" x14ac:dyDescent="0.2">
      <c r="A52" s="236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</row>
    <row r="53" spans="1:17" ht="11.25" x14ac:dyDescent="0.2">
      <c r="A53" s="236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</row>
    <row r="54" spans="1:17" ht="11.25" x14ac:dyDescent="0.2">
      <c r="A54" s="236"/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</row>
    <row r="55" spans="1:17" ht="11.25" x14ac:dyDescent="0.2">
      <c r="A55" s="236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</row>
    <row r="56" spans="1:17" ht="11.25" x14ac:dyDescent="0.2">
      <c r="A56" s="236"/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</row>
    <row r="57" spans="1:17" ht="11.25" x14ac:dyDescent="0.2">
      <c r="A57" s="236"/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</row>
    <row r="58" spans="1:17" ht="11.25" x14ac:dyDescent="0.2">
      <c r="A58" s="236"/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</row>
    <row r="59" spans="1:17" ht="11.25" x14ac:dyDescent="0.2">
      <c r="A59" s="236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</row>
    <row r="60" spans="1:17" ht="11.25" x14ac:dyDescent="0.2">
      <c r="A60" s="236"/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</row>
    <row r="61" spans="1:17" ht="11.25" x14ac:dyDescent="0.2">
      <c r="A61" s="236"/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</row>
    <row r="62" spans="1:17" ht="11.25" x14ac:dyDescent="0.2">
      <c r="A62" s="236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</row>
    <row r="63" spans="1:17" ht="11.25" x14ac:dyDescent="0.2">
      <c r="A63" s="236"/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</row>
    <row r="64" spans="1:17" ht="11.25" x14ac:dyDescent="0.2">
      <c r="A64" s="236"/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</row>
    <row r="65" spans="1:17" ht="11.25" x14ac:dyDescent="0.2">
      <c r="A65" s="236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</row>
    <row r="66" spans="1:17" ht="11.25" x14ac:dyDescent="0.2">
      <c r="A66" s="236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</row>
    <row r="67" spans="1:17" ht="11.25" x14ac:dyDescent="0.2">
      <c r="A67" s="236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</row>
    <row r="68" spans="1:17" ht="11.25" x14ac:dyDescent="0.2">
      <c r="A68" s="236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</row>
    <row r="69" spans="1:17" ht="11.25" x14ac:dyDescent="0.2">
      <c r="A69" s="236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</row>
    <row r="70" spans="1:17" ht="11.25" x14ac:dyDescent="0.2">
      <c r="A70" s="236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</row>
    <row r="71" spans="1:17" ht="11.25" x14ac:dyDescent="0.2">
      <c r="A71" s="236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</row>
    <row r="72" spans="1:17" ht="11.25" x14ac:dyDescent="0.2">
      <c r="A72" s="236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</row>
    <row r="73" spans="1:17" ht="11.25" x14ac:dyDescent="0.2">
      <c r="A73" s="236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</row>
    <row r="74" spans="1:17" ht="11.25" x14ac:dyDescent="0.2">
      <c r="A74" s="236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</row>
    <row r="75" spans="1:17" ht="11.25" x14ac:dyDescent="0.2">
      <c r="A75" s="236"/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</row>
    <row r="76" spans="1:17" ht="11.25" x14ac:dyDescent="0.2">
      <c r="A76" s="236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</row>
    <row r="77" spans="1:17" ht="11.25" x14ac:dyDescent="0.2">
      <c r="A77" s="236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</row>
    <row r="78" spans="1:17" ht="11.25" x14ac:dyDescent="0.2">
      <c r="A78" s="236"/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</row>
    <row r="79" spans="1:17" ht="11.25" x14ac:dyDescent="0.2">
      <c r="A79" s="236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</row>
    <row r="80" spans="1:17" ht="11.25" x14ac:dyDescent="0.2">
      <c r="A80" s="236"/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</row>
    <row r="81" spans="1:17" ht="11.25" x14ac:dyDescent="0.2">
      <c r="A81" s="236"/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</row>
    <row r="82" spans="1:17" ht="11.25" x14ac:dyDescent="0.2">
      <c r="A82" s="236"/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</row>
    <row r="83" spans="1:17" x14ac:dyDescent="0.15">
      <c r="A83" s="85"/>
    </row>
    <row r="84" spans="1:17" x14ac:dyDescent="0.15">
      <c r="A84" s="85"/>
    </row>
    <row r="85" spans="1:17" x14ac:dyDescent="0.15">
      <c r="A85" s="85"/>
    </row>
    <row r="86" spans="1:17" x14ac:dyDescent="0.15">
      <c r="A86" s="85"/>
    </row>
    <row r="87" spans="1:17" x14ac:dyDescent="0.15">
      <c r="A87" s="85"/>
    </row>
    <row r="88" spans="1:17" x14ac:dyDescent="0.15">
      <c r="A88" s="85"/>
    </row>
    <row r="89" spans="1:17" x14ac:dyDescent="0.15">
      <c r="A89" s="85"/>
    </row>
    <row r="90" spans="1:17" x14ac:dyDescent="0.15">
      <c r="A90" s="85"/>
    </row>
    <row r="91" spans="1:17" x14ac:dyDescent="0.15">
      <c r="A91" s="85"/>
    </row>
    <row r="92" spans="1:17" x14ac:dyDescent="0.15">
      <c r="A92" s="85"/>
    </row>
    <row r="93" spans="1:17" x14ac:dyDescent="0.15">
      <c r="A93" s="85"/>
    </row>
    <row r="94" spans="1:17" x14ac:dyDescent="0.15">
      <c r="A94" s="85"/>
    </row>
    <row r="95" spans="1:17" x14ac:dyDescent="0.15">
      <c r="A95" s="85"/>
    </row>
    <row r="96" spans="1:17" x14ac:dyDescent="0.15">
      <c r="A96" s="85"/>
    </row>
    <row r="97" spans="1:1" x14ac:dyDescent="0.15">
      <c r="A97" s="85"/>
    </row>
    <row r="98" spans="1:1" x14ac:dyDescent="0.15">
      <c r="A98" s="85"/>
    </row>
    <row r="99" spans="1:1" x14ac:dyDescent="0.15">
      <c r="A99" s="85"/>
    </row>
    <row r="100" spans="1:1" x14ac:dyDescent="0.15">
      <c r="A100" s="85"/>
    </row>
    <row r="101" spans="1:1" x14ac:dyDescent="0.15">
      <c r="A101" s="85"/>
    </row>
  </sheetData>
  <mergeCells count="5">
    <mergeCell ref="A21:O21"/>
    <mergeCell ref="A1:O1"/>
    <mergeCell ref="A2:O2"/>
    <mergeCell ref="A3:O3"/>
    <mergeCell ref="A4:O4"/>
  </mergeCells>
  <phoneticPr fontId="3" type="noConversion"/>
  <printOptions horizontalCentered="1"/>
  <pageMargins left="0.25" right="0.25" top="1" bottom="0.5" header="0.5" footer="0.5"/>
  <pageSetup scale="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W25"/>
  <sheetViews>
    <sheetView zoomScaleNormal="100" workbookViewId="0">
      <selection activeCell="W8" sqref="W8"/>
    </sheetView>
  </sheetViews>
  <sheetFormatPr defaultColWidth="9.83203125" defaultRowHeight="10.5" x14ac:dyDescent="0.15"/>
  <cols>
    <col min="1" max="1" width="7.83203125" style="33" customWidth="1"/>
    <col min="2" max="2" width="3.83203125" style="33" customWidth="1"/>
    <col min="3" max="3" width="17.1640625" style="33" bestFit="1" customWidth="1"/>
    <col min="4" max="4" width="1.83203125" style="33" customWidth="1"/>
    <col min="5" max="5" width="14.83203125" style="33" bestFit="1" customWidth="1"/>
    <col min="6" max="6" width="1.83203125" style="33" customWidth="1"/>
    <col min="7" max="7" width="11.1640625" style="33" bestFit="1" customWidth="1"/>
    <col min="8" max="8" width="1.83203125" style="33" customWidth="1"/>
    <col min="9" max="9" width="17.6640625" style="33" bestFit="1" customWidth="1"/>
    <col min="10" max="10" width="3.83203125" style="33" customWidth="1"/>
    <col min="11" max="11" width="11.83203125" style="33" customWidth="1"/>
    <col min="12" max="12" width="1.83203125" style="33" customWidth="1"/>
    <col min="13" max="13" width="10.33203125" style="33" bestFit="1" customWidth="1"/>
    <col min="14" max="14" width="1.83203125" style="33" customWidth="1"/>
    <col min="15" max="15" width="6.83203125" style="33" customWidth="1"/>
    <col min="16" max="16" width="3.83203125" style="33" customWidth="1"/>
    <col min="17" max="17" width="15.6640625" style="33" bestFit="1" customWidth="1"/>
    <col min="18" max="18" width="3.83203125" style="33" customWidth="1"/>
    <col min="19" max="19" width="10.33203125" style="33" bestFit="1" customWidth="1"/>
    <col min="20" max="20" width="1.83203125" style="33" customWidth="1"/>
    <col min="21" max="21" width="6.83203125" style="33" customWidth="1"/>
    <col min="22" max="22" width="1.83203125" style="33" customWidth="1"/>
    <col min="23" max="23" width="15.1640625" style="33" customWidth="1"/>
    <col min="24" max="16384" width="9.83203125" style="33"/>
  </cols>
  <sheetData>
    <row r="1" spans="1:23" ht="12.75" x14ac:dyDescent="0.2">
      <c r="A1" s="1393" t="s">
        <v>477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  <c r="V1" s="1393"/>
      <c r="W1" s="1393"/>
    </row>
    <row r="2" spans="1:23" ht="12.75" x14ac:dyDescent="0.2">
      <c r="A2" s="1392" t="str">
        <f>Input!C4</f>
        <v>CASE NO. 2017-xxxxx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  <c r="Q2" s="1392"/>
      <c r="R2" s="1392"/>
      <c r="S2" s="1392"/>
      <c r="T2" s="1392"/>
      <c r="U2" s="1392"/>
      <c r="V2" s="1392"/>
      <c r="W2" s="1392"/>
    </row>
    <row r="3" spans="1:23" ht="12.75" x14ac:dyDescent="0.2">
      <c r="A3" s="1393" t="s">
        <v>1397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  <c r="V3" s="1393"/>
      <c r="W3" s="1393"/>
    </row>
    <row r="4" spans="1:23" ht="12.75" x14ac:dyDescent="0.2">
      <c r="A4" s="1392" t="str">
        <f>Input!C9</f>
        <v>FOR THE HISTORIC PERIOD DECEMBER 31, 2017</v>
      </c>
      <c r="B4" s="1392"/>
      <c r="C4" s="1392"/>
      <c r="D4" s="1392"/>
      <c r="E4" s="1392"/>
      <c r="F4" s="1392"/>
      <c r="G4" s="1392"/>
      <c r="H4" s="1392"/>
      <c r="I4" s="1392"/>
      <c r="J4" s="1392"/>
      <c r="K4" s="1392"/>
      <c r="L4" s="1392"/>
      <c r="M4" s="1392"/>
      <c r="N4" s="1392"/>
      <c r="O4" s="1392"/>
      <c r="P4" s="1392"/>
      <c r="Q4" s="1392"/>
      <c r="R4" s="1392"/>
      <c r="S4" s="1392"/>
      <c r="T4" s="1392"/>
      <c r="U4" s="1392"/>
      <c r="V4" s="1392"/>
      <c r="W4" s="1392"/>
    </row>
    <row r="5" spans="1:23" ht="12.75" x14ac:dyDescent="0.2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</row>
    <row r="6" spans="1:23" ht="12.75" x14ac:dyDescent="0.2">
      <c r="A6" s="137" t="s">
        <v>839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2"/>
      <c r="T6" s="241"/>
      <c r="U6" s="241"/>
      <c r="V6" s="241"/>
      <c r="W6" s="139" t="s">
        <v>1398</v>
      </c>
    </row>
    <row r="7" spans="1:23" ht="12.75" x14ac:dyDescent="0.2">
      <c r="A7" s="137" t="s">
        <v>490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2"/>
      <c r="T7" s="241"/>
      <c r="U7" s="241"/>
      <c r="V7" s="241"/>
      <c r="W7" s="139" t="s">
        <v>491</v>
      </c>
    </row>
    <row r="8" spans="1:23" ht="12.75" x14ac:dyDescent="0.2">
      <c r="A8" s="140" t="s">
        <v>840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4"/>
      <c r="S8" s="245"/>
      <c r="T8" s="244"/>
      <c r="U8" s="244"/>
      <c r="V8" s="243"/>
      <c r="W8" s="144" t="str">
        <f>Input!E27</f>
        <v>WITNESS:  C. Y. LAI</v>
      </c>
    </row>
    <row r="9" spans="1:23" ht="12.75" x14ac:dyDescent="0.2">
      <c r="A9" s="241"/>
      <c r="B9" s="241"/>
      <c r="C9" s="246" t="s">
        <v>480</v>
      </c>
      <c r="D9" s="241"/>
      <c r="E9" s="241"/>
      <c r="F9" s="241"/>
      <c r="G9" s="241"/>
      <c r="H9" s="241"/>
      <c r="I9" s="241"/>
      <c r="J9" s="241"/>
      <c r="K9" s="246" t="s">
        <v>1399</v>
      </c>
      <c r="L9" s="241"/>
      <c r="M9" s="247"/>
      <c r="N9" s="247"/>
      <c r="O9" s="248" t="s">
        <v>1400</v>
      </c>
      <c r="P9" s="247"/>
      <c r="Q9" s="247"/>
      <c r="R9" s="241"/>
      <c r="S9" s="247"/>
      <c r="T9" s="247"/>
      <c r="U9" s="248" t="s">
        <v>1400</v>
      </c>
      <c r="V9" s="247"/>
      <c r="W9" s="247"/>
    </row>
    <row r="10" spans="1:23" ht="12.75" x14ac:dyDescent="0.2">
      <c r="A10" s="246" t="s">
        <v>493</v>
      </c>
      <c r="B10" s="241"/>
      <c r="C10" s="246" t="s">
        <v>1401</v>
      </c>
      <c r="D10" s="241"/>
      <c r="E10" s="246" t="s">
        <v>1370</v>
      </c>
      <c r="F10" s="241"/>
      <c r="G10" s="246" t="s">
        <v>1402</v>
      </c>
      <c r="H10" s="241"/>
      <c r="I10" s="246" t="s">
        <v>1403</v>
      </c>
      <c r="J10" s="241"/>
      <c r="K10" s="246" t="s">
        <v>1402</v>
      </c>
      <c r="L10" s="241"/>
      <c r="M10" s="241"/>
      <c r="N10" s="241"/>
      <c r="O10" s="246" t="s">
        <v>1143</v>
      </c>
      <c r="P10" s="241"/>
      <c r="Q10" s="241"/>
      <c r="R10" s="241"/>
      <c r="S10" s="241"/>
      <c r="T10" s="241"/>
      <c r="U10" s="246" t="s">
        <v>1143</v>
      </c>
      <c r="V10" s="241"/>
      <c r="W10" s="241"/>
    </row>
    <row r="11" spans="1:23" ht="12.75" x14ac:dyDescent="0.2">
      <c r="A11" s="249" t="s">
        <v>496</v>
      </c>
      <c r="B11" s="243"/>
      <c r="C11" s="249" t="s">
        <v>1375</v>
      </c>
      <c r="D11" s="243"/>
      <c r="E11" s="249" t="s">
        <v>1404</v>
      </c>
      <c r="F11" s="243"/>
      <c r="G11" s="249" t="s">
        <v>1371</v>
      </c>
      <c r="H11" s="243"/>
      <c r="I11" s="249" t="s">
        <v>1405</v>
      </c>
      <c r="J11" s="243"/>
      <c r="K11" s="249" t="s">
        <v>1371</v>
      </c>
      <c r="L11" s="243"/>
      <c r="M11" s="249" t="s">
        <v>1248</v>
      </c>
      <c r="N11" s="243"/>
      <c r="O11" s="249" t="s">
        <v>496</v>
      </c>
      <c r="P11" s="243"/>
      <c r="Q11" s="249" t="s">
        <v>480</v>
      </c>
      <c r="R11" s="243"/>
      <c r="S11" s="249" t="s">
        <v>1248</v>
      </c>
      <c r="T11" s="243"/>
      <c r="U11" s="249" t="s">
        <v>496</v>
      </c>
      <c r="V11" s="243"/>
      <c r="W11" s="249" t="s">
        <v>480</v>
      </c>
    </row>
    <row r="12" spans="1:23" ht="12.75" x14ac:dyDescent="0.2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</row>
    <row r="13" spans="1:23" ht="12.75" x14ac:dyDescent="0.2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</row>
    <row r="14" spans="1:23" ht="12.75" x14ac:dyDescent="0.2">
      <c r="A14" s="241"/>
      <c r="B14" s="241"/>
      <c r="C14" s="241"/>
      <c r="D14" s="241"/>
      <c r="E14" s="241"/>
      <c r="F14" s="241"/>
      <c r="G14" s="250"/>
      <c r="H14" s="241"/>
      <c r="I14" s="250"/>
      <c r="J14" s="250"/>
      <c r="K14" s="250"/>
      <c r="L14" s="241"/>
      <c r="M14" s="250"/>
      <c r="N14" s="241"/>
      <c r="O14" s="241"/>
      <c r="P14" s="241"/>
      <c r="Q14" s="241"/>
      <c r="R14" s="241"/>
      <c r="S14" s="241"/>
      <c r="T14" s="241"/>
      <c r="U14" s="241"/>
      <c r="V14" s="241"/>
      <c r="W14" s="241"/>
    </row>
    <row r="15" spans="1:23" ht="12.75" x14ac:dyDescent="0.2">
      <c r="A15" s="241"/>
      <c r="B15" s="241"/>
      <c r="C15" s="241"/>
      <c r="D15" s="241"/>
      <c r="E15" s="241"/>
      <c r="F15" s="241"/>
      <c r="G15" s="250"/>
      <c r="H15" s="241"/>
      <c r="I15" s="250"/>
      <c r="J15" s="250"/>
      <c r="K15" s="250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</row>
    <row r="16" spans="1:23" ht="12.75" x14ac:dyDescent="0.2">
      <c r="A16" s="251"/>
      <c r="B16" s="251"/>
      <c r="C16" s="251"/>
      <c r="D16" s="251"/>
      <c r="E16" s="251"/>
      <c r="F16" s="251"/>
      <c r="G16" s="252"/>
      <c r="H16" s="251"/>
      <c r="I16" s="251"/>
      <c r="J16" s="252"/>
      <c r="K16" s="253" t="s">
        <v>1406</v>
      </c>
      <c r="L16" s="251"/>
      <c r="M16" s="252"/>
      <c r="N16" s="251"/>
      <c r="O16" s="251"/>
      <c r="P16" s="251"/>
      <c r="Q16" s="251"/>
      <c r="R16" s="251"/>
      <c r="S16" s="251"/>
      <c r="T16" s="251"/>
      <c r="U16" s="251"/>
      <c r="V16" s="251"/>
      <c r="W16" s="251"/>
    </row>
    <row r="17" spans="1:23" ht="12.75" x14ac:dyDescent="0.2">
      <c r="A17" s="241"/>
      <c r="B17" s="241"/>
      <c r="C17" s="241"/>
      <c r="D17" s="241"/>
      <c r="E17" s="241"/>
      <c r="F17" s="241"/>
      <c r="G17" s="250"/>
      <c r="H17" s="241"/>
      <c r="I17" s="250"/>
      <c r="J17" s="250"/>
      <c r="K17" s="241"/>
      <c r="L17" s="241"/>
      <c r="M17" s="250"/>
      <c r="N17" s="241"/>
      <c r="O17" s="241"/>
      <c r="P17" s="241"/>
      <c r="Q17" s="241"/>
      <c r="R17" s="241"/>
      <c r="S17" s="241"/>
      <c r="T17" s="241"/>
      <c r="U17" s="241"/>
      <c r="V17" s="241"/>
      <c r="W17" s="241"/>
    </row>
    <row r="18" spans="1:23" ht="12.75" x14ac:dyDescent="0.2">
      <c r="A18" s="241"/>
      <c r="B18" s="241"/>
      <c r="C18" s="241"/>
      <c r="D18" s="241"/>
      <c r="E18" s="241"/>
      <c r="F18" s="241"/>
      <c r="G18" s="250"/>
      <c r="H18" s="241"/>
      <c r="I18" s="250"/>
      <c r="J18" s="250"/>
      <c r="K18" s="250"/>
      <c r="L18" s="241"/>
      <c r="M18" s="250"/>
      <c r="N18" s="241"/>
      <c r="O18" s="241"/>
      <c r="P18" s="241"/>
      <c r="Q18" s="241"/>
      <c r="R18" s="241"/>
      <c r="S18" s="241"/>
      <c r="T18" s="241"/>
      <c r="U18" s="241"/>
      <c r="V18" s="241"/>
      <c r="W18" s="241"/>
    </row>
    <row r="19" spans="1:23" ht="11.25" x14ac:dyDescent="0.2">
      <c r="A19" s="242"/>
      <c r="B19" s="242"/>
      <c r="C19" s="242"/>
      <c r="D19" s="242"/>
      <c r="E19" s="242"/>
      <c r="F19" s="242"/>
      <c r="G19" s="254"/>
      <c r="H19" s="242"/>
      <c r="I19" s="254"/>
      <c r="J19" s="254"/>
      <c r="K19" s="254"/>
      <c r="L19" s="242"/>
      <c r="M19" s="254"/>
      <c r="N19" s="242"/>
      <c r="O19" s="242"/>
      <c r="P19" s="242"/>
      <c r="Q19" s="242"/>
      <c r="R19" s="242"/>
      <c r="S19" s="242"/>
      <c r="T19" s="242"/>
      <c r="U19" s="242"/>
      <c r="V19" s="242"/>
      <c r="W19" s="242"/>
    </row>
    <row r="20" spans="1:23" x14ac:dyDescent="0.15">
      <c r="G20" s="34"/>
      <c r="I20" s="34"/>
      <c r="J20" s="34"/>
      <c r="K20" s="34"/>
      <c r="M20" s="34"/>
    </row>
    <row r="21" spans="1:23" x14ac:dyDescent="0.15">
      <c r="G21" s="34"/>
      <c r="I21" s="34"/>
      <c r="J21" s="34"/>
      <c r="K21" s="34"/>
      <c r="M21" s="34"/>
    </row>
    <row r="22" spans="1:23" x14ac:dyDescent="0.15">
      <c r="G22" s="34"/>
      <c r="I22" s="34"/>
      <c r="J22" s="34"/>
      <c r="K22" s="34"/>
      <c r="M22" s="34"/>
    </row>
    <row r="23" spans="1:23" x14ac:dyDescent="0.15">
      <c r="G23" s="34"/>
      <c r="I23" s="34"/>
      <c r="J23" s="34"/>
      <c r="K23" s="34"/>
      <c r="M23" s="34"/>
    </row>
    <row r="24" spans="1:23" x14ac:dyDescent="0.15">
      <c r="G24" s="34"/>
      <c r="I24" s="34"/>
      <c r="J24" s="34"/>
      <c r="K24" s="34"/>
      <c r="M24" s="34"/>
    </row>
    <row r="25" spans="1:23" ht="12" customHeight="1" x14ac:dyDescent="0.15">
      <c r="G25" s="34"/>
      <c r="I25" s="34"/>
      <c r="J25" s="34"/>
      <c r="K25" s="34"/>
      <c r="M25" s="34"/>
    </row>
  </sheetData>
  <mergeCells count="4">
    <mergeCell ref="A1:W1"/>
    <mergeCell ref="A2:W2"/>
    <mergeCell ref="A3:W3"/>
    <mergeCell ref="A4:W4"/>
  </mergeCells>
  <phoneticPr fontId="3" type="noConversion"/>
  <printOptions horizontalCentered="1"/>
  <pageMargins left="0.25" right="0.25" top="1" bottom="0.5" header="0.5" footer="0.5"/>
  <pageSetup scale="9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X26"/>
  <sheetViews>
    <sheetView zoomScaleNormal="100" workbookViewId="0">
      <selection activeCell="S57" sqref="S57"/>
    </sheetView>
  </sheetViews>
  <sheetFormatPr defaultColWidth="9.83203125" defaultRowHeight="10.5" x14ac:dyDescent="0.15"/>
  <cols>
    <col min="1" max="1" width="7.83203125" style="35" customWidth="1"/>
    <col min="2" max="2" width="3.83203125" style="35" customWidth="1"/>
    <col min="3" max="3" width="5.83203125" style="35" customWidth="1"/>
    <col min="4" max="4" width="2.83203125" style="35" customWidth="1"/>
    <col min="5" max="5" width="25.5" style="35" bestFit="1" customWidth="1"/>
    <col min="6" max="6" width="2.83203125" style="35" customWidth="1"/>
    <col min="7" max="7" width="12.83203125" style="35" customWidth="1"/>
    <col min="8" max="8" width="2.83203125" style="35" customWidth="1"/>
    <col min="9" max="9" width="11.83203125" style="35" customWidth="1"/>
    <col min="10" max="10" width="2.83203125" style="35" customWidth="1"/>
    <col min="11" max="11" width="17.6640625" style="35" bestFit="1" customWidth="1"/>
    <col min="12" max="12" width="3.83203125" style="35" customWidth="1"/>
    <col min="13" max="13" width="11.83203125" style="35" customWidth="1"/>
    <col min="14" max="14" width="2.83203125" style="35" customWidth="1"/>
    <col min="15" max="15" width="10.33203125" style="35" bestFit="1" customWidth="1"/>
    <col min="16" max="16" width="2.83203125" style="35" customWidth="1"/>
    <col min="17" max="17" width="6.83203125" style="35" customWidth="1"/>
    <col min="18" max="18" width="3.83203125" style="35" customWidth="1"/>
    <col min="19" max="19" width="15.6640625" style="35" bestFit="1" customWidth="1"/>
    <col min="20" max="20" width="2.83203125" style="35" customWidth="1"/>
    <col min="21" max="21" width="13.83203125" style="35" customWidth="1"/>
    <col min="22" max="22" width="6.83203125" style="35" customWidth="1"/>
    <col min="23" max="23" width="1.83203125" style="35" customWidth="1"/>
    <col min="24" max="24" width="13.83203125" style="35" customWidth="1"/>
    <col min="25" max="16384" width="9.83203125" style="35"/>
  </cols>
  <sheetData>
    <row r="1" spans="1:24" ht="12.75" x14ac:dyDescent="0.2">
      <c r="A1" s="1393" t="s">
        <v>477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</row>
    <row r="2" spans="1:24" ht="12.75" x14ac:dyDescent="0.2">
      <c r="A2" s="1392" t="str">
        <f>Input!C4</f>
        <v>CASE NO. 2017-xxxxx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392"/>
      <c r="Q2" s="1392"/>
      <c r="R2" s="1392"/>
      <c r="S2" s="1392"/>
      <c r="T2" s="1392"/>
      <c r="U2" s="1392"/>
    </row>
    <row r="3" spans="1:24" ht="12.75" x14ac:dyDescent="0.2">
      <c r="A3" s="1393" t="s">
        <v>957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393"/>
      <c r="Q3" s="1393"/>
      <c r="R3" s="1393"/>
      <c r="S3" s="1393"/>
      <c r="T3" s="1393"/>
      <c r="U3" s="1393"/>
    </row>
    <row r="4" spans="1:24" ht="12.75" x14ac:dyDescent="0.2">
      <c r="A4" s="1393" t="s">
        <v>1407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393"/>
      <c r="Q4" s="1393"/>
      <c r="R4" s="1393"/>
      <c r="S4" s="1393"/>
      <c r="T4" s="1393"/>
      <c r="U4" s="1393"/>
    </row>
    <row r="5" spans="1:24" ht="12.75" x14ac:dyDescent="0.2">
      <c r="A5" s="1392" t="str">
        <f>Input!C9</f>
        <v>FOR THE HISTORIC PERIOD DECEMBER 31, 2017</v>
      </c>
      <c r="B5" s="1392"/>
      <c r="C5" s="1392"/>
      <c r="D5" s="1392"/>
      <c r="E5" s="1392"/>
      <c r="F5" s="1392"/>
      <c r="G5" s="1392"/>
      <c r="H5" s="1392"/>
      <c r="I5" s="1392"/>
      <c r="J5" s="1392"/>
      <c r="K5" s="1392"/>
      <c r="L5" s="1392"/>
      <c r="M5" s="1392"/>
      <c r="N5" s="1392"/>
      <c r="O5" s="1392"/>
      <c r="P5" s="1392"/>
      <c r="Q5" s="1392"/>
      <c r="R5" s="1392"/>
      <c r="S5" s="1392"/>
      <c r="T5" s="1392"/>
      <c r="U5" s="1392"/>
    </row>
    <row r="6" spans="1:24" ht="12.75" x14ac:dyDescent="0.2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</row>
    <row r="7" spans="1:24" ht="12.75" x14ac:dyDescent="0.2">
      <c r="A7" s="137" t="s">
        <v>839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6"/>
      <c r="T7" s="255"/>
      <c r="U7" s="139" t="s">
        <v>1408</v>
      </c>
    </row>
    <row r="8" spans="1:24" ht="12.75" x14ac:dyDescent="0.2">
      <c r="A8" s="137" t="s">
        <v>490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6"/>
      <c r="T8" s="255"/>
      <c r="U8" s="139" t="s">
        <v>491</v>
      </c>
    </row>
    <row r="9" spans="1:24" ht="12.75" x14ac:dyDescent="0.2">
      <c r="A9" s="140" t="s">
        <v>840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8"/>
      <c r="S9" s="259"/>
      <c r="T9" s="258"/>
      <c r="U9" s="144" t="str">
        <f>Input!E27</f>
        <v>WITNESS:  C. Y. LAI</v>
      </c>
    </row>
    <row r="10" spans="1:24" ht="12.75" x14ac:dyDescent="0.2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60" t="s">
        <v>876</v>
      </c>
      <c r="R10" s="255"/>
      <c r="S10" s="255"/>
      <c r="T10" s="255"/>
      <c r="U10" s="255"/>
    </row>
    <row r="11" spans="1:24" ht="12.75" x14ac:dyDescent="0.2">
      <c r="A11" s="255"/>
      <c r="B11" s="255"/>
      <c r="C11" s="255"/>
      <c r="D11" s="255"/>
      <c r="E11" s="260" t="s">
        <v>1409</v>
      </c>
      <c r="F11" s="255"/>
      <c r="G11" s="255"/>
      <c r="H11" s="255"/>
      <c r="I11" s="255"/>
      <c r="J11" s="255"/>
      <c r="K11" s="255"/>
      <c r="L11" s="255"/>
      <c r="M11" s="260" t="s">
        <v>1399</v>
      </c>
      <c r="N11" s="255"/>
      <c r="O11" s="261"/>
      <c r="P11" s="261"/>
      <c r="Q11" s="262" t="s">
        <v>1410</v>
      </c>
      <c r="R11" s="261"/>
      <c r="S11" s="261"/>
      <c r="T11" s="255"/>
      <c r="U11" s="260" t="s">
        <v>1414</v>
      </c>
      <c r="V11" s="36"/>
      <c r="W11" s="36"/>
      <c r="X11" s="36"/>
    </row>
    <row r="12" spans="1:24" ht="12.75" x14ac:dyDescent="0.2">
      <c r="A12" s="260" t="s">
        <v>493</v>
      </c>
      <c r="B12" s="255"/>
      <c r="C12" s="260" t="s">
        <v>1143</v>
      </c>
      <c r="D12" s="255"/>
      <c r="E12" s="260" t="s">
        <v>1415</v>
      </c>
      <c r="F12" s="255"/>
      <c r="G12" s="260" t="s">
        <v>1417</v>
      </c>
      <c r="H12" s="255"/>
      <c r="I12" s="260" t="s">
        <v>1402</v>
      </c>
      <c r="J12" s="255"/>
      <c r="K12" s="260" t="s">
        <v>1403</v>
      </c>
      <c r="L12" s="255"/>
      <c r="M12" s="260" t="s">
        <v>1402</v>
      </c>
      <c r="N12" s="255"/>
      <c r="O12" s="255"/>
      <c r="P12" s="255"/>
      <c r="Q12" s="260" t="s">
        <v>1143</v>
      </c>
      <c r="R12" s="255"/>
      <c r="S12" s="255"/>
      <c r="T12" s="255"/>
      <c r="U12" s="260" t="s">
        <v>1418</v>
      </c>
    </row>
    <row r="13" spans="1:24" ht="12.75" x14ac:dyDescent="0.2">
      <c r="A13" s="263" t="s">
        <v>496</v>
      </c>
      <c r="B13" s="257"/>
      <c r="C13" s="263" t="s">
        <v>496</v>
      </c>
      <c r="D13" s="257"/>
      <c r="E13" s="263" t="s">
        <v>1419</v>
      </c>
      <c r="F13" s="257"/>
      <c r="G13" s="263" t="s">
        <v>1404</v>
      </c>
      <c r="H13" s="257"/>
      <c r="I13" s="263" t="s">
        <v>1371</v>
      </c>
      <c r="J13" s="257"/>
      <c r="K13" s="263" t="s">
        <v>1405</v>
      </c>
      <c r="L13" s="257"/>
      <c r="M13" s="263" t="s">
        <v>1371</v>
      </c>
      <c r="N13" s="257"/>
      <c r="O13" s="263" t="s">
        <v>1248</v>
      </c>
      <c r="P13" s="257"/>
      <c r="Q13" s="263" t="s">
        <v>496</v>
      </c>
      <c r="R13" s="257"/>
      <c r="S13" s="263" t="s">
        <v>480</v>
      </c>
      <c r="T13" s="257"/>
      <c r="U13" s="263" t="s">
        <v>1420</v>
      </c>
    </row>
    <row r="14" spans="1:24" ht="12.75" x14ac:dyDescent="0.2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</row>
    <row r="15" spans="1:24" ht="12.75" x14ac:dyDescent="0.2">
      <c r="A15" s="255"/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</row>
    <row r="16" spans="1:24" ht="12.75" x14ac:dyDescent="0.2">
      <c r="A16" s="255"/>
      <c r="B16" s="255"/>
      <c r="C16" s="255"/>
      <c r="D16" s="255"/>
      <c r="E16" s="255"/>
      <c r="F16" s="255"/>
      <c r="G16" s="255"/>
      <c r="H16" s="255"/>
      <c r="I16" s="264"/>
      <c r="J16" s="255"/>
      <c r="K16" s="264"/>
      <c r="L16" s="264"/>
      <c r="M16" s="264"/>
      <c r="N16" s="255"/>
      <c r="O16" s="264"/>
      <c r="P16" s="255"/>
      <c r="Q16" s="255"/>
      <c r="R16" s="255"/>
      <c r="S16" s="255"/>
      <c r="T16" s="255"/>
      <c r="U16" s="255"/>
    </row>
    <row r="17" spans="1:21" ht="12.75" x14ac:dyDescent="0.2">
      <c r="A17" s="255"/>
      <c r="B17" s="255"/>
      <c r="C17" s="255"/>
      <c r="D17" s="255"/>
      <c r="E17" s="255"/>
      <c r="F17" s="255"/>
      <c r="G17" s="255"/>
      <c r="H17" s="255"/>
      <c r="I17" s="264"/>
      <c r="J17" s="255"/>
      <c r="K17" s="264"/>
      <c r="L17" s="264"/>
      <c r="M17" s="264"/>
      <c r="N17" s="255"/>
      <c r="O17" s="255"/>
      <c r="P17" s="255"/>
      <c r="Q17" s="255"/>
      <c r="R17" s="255"/>
      <c r="S17" s="255"/>
      <c r="T17" s="255"/>
      <c r="U17" s="255"/>
    </row>
    <row r="18" spans="1:21" ht="12.75" x14ac:dyDescent="0.2">
      <c r="A18" s="1399" t="s">
        <v>1379</v>
      </c>
      <c r="B18" s="1399"/>
      <c r="C18" s="1399"/>
      <c r="D18" s="1399"/>
      <c r="E18" s="1399"/>
      <c r="F18" s="1399"/>
      <c r="G18" s="1399"/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</row>
    <row r="19" spans="1:21" ht="12.75" x14ac:dyDescent="0.2">
      <c r="A19" s="255"/>
      <c r="B19" s="255"/>
      <c r="C19" s="255"/>
      <c r="D19" s="255"/>
      <c r="E19" s="255"/>
      <c r="F19" s="255"/>
      <c r="G19" s="255"/>
      <c r="H19" s="255"/>
      <c r="I19" s="264"/>
      <c r="J19" s="255"/>
      <c r="K19" s="264"/>
      <c r="L19" s="264"/>
      <c r="M19" s="255"/>
      <c r="N19" s="255"/>
      <c r="O19" s="264"/>
      <c r="P19" s="255"/>
      <c r="Q19" s="255"/>
      <c r="R19" s="255"/>
      <c r="S19" s="255"/>
      <c r="T19" s="255"/>
      <c r="U19" s="255"/>
    </row>
    <row r="20" spans="1:21" x14ac:dyDescent="0.15">
      <c r="I20" s="37"/>
      <c r="K20" s="37"/>
      <c r="L20" s="37"/>
      <c r="M20" s="37"/>
      <c r="O20" s="37"/>
    </row>
    <row r="21" spans="1:21" x14ac:dyDescent="0.15">
      <c r="I21" s="37"/>
      <c r="K21" s="37"/>
      <c r="L21" s="37"/>
      <c r="M21" s="37"/>
      <c r="O21" s="37"/>
    </row>
    <row r="22" spans="1:21" x14ac:dyDescent="0.15">
      <c r="I22" s="37"/>
      <c r="K22" s="37"/>
      <c r="L22" s="37"/>
      <c r="M22" s="37"/>
      <c r="O22" s="37"/>
    </row>
    <row r="23" spans="1:21" x14ac:dyDescent="0.15">
      <c r="K23" s="37"/>
      <c r="L23" s="37"/>
      <c r="M23" s="37"/>
    </row>
    <row r="24" spans="1:21" x14ac:dyDescent="0.15">
      <c r="K24" s="37"/>
      <c r="L24" s="37"/>
      <c r="M24" s="37"/>
    </row>
    <row r="25" spans="1:21" x14ac:dyDescent="0.15">
      <c r="K25" s="37"/>
      <c r="L25" s="37"/>
      <c r="M25" s="37"/>
    </row>
    <row r="26" spans="1:21" x14ac:dyDescent="0.15">
      <c r="K26" s="37"/>
      <c r="L26" s="37"/>
      <c r="M26" s="37"/>
    </row>
  </sheetData>
  <mergeCells count="6">
    <mergeCell ref="A18:U18"/>
    <mergeCell ref="A5:U5"/>
    <mergeCell ref="A1:U1"/>
    <mergeCell ref="A2:U2"/>
    <mergeCell ref="A3:U3"/>
    <mergeCell ref="A4:U4"/>
  </mergeCells>
  <phoneticPr fontId="3" type="noConversion"/>
  <printOptions horizontalCentered="1"/>
  <pageMargins left="0.25" right="0.25" top="1" bottom="0.75" header="0.5" footer="0.5"/>
  <pageSetup scale="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" transitionEvaluation="1"/>
  <dimension ref="A1:U200"/>
  <sheetViews>
    <sheetView topLeftCell="A2" zoomScale="85" zoomScaleNormal="125" zoomScaleSheetLayoutView="75" workbookViewId="0">
      <selection activeCell="E25" sqref="E25"/>
    </sheetView>
  </sheetViews>
  <sheetFormatPr defaultColWidth="9.1640625" defaultRowHeight="9" x14ac:dyDescent="0.15"/>
  <cols>
    <col min="1" max="1" width="5.1640625" style="67" customWidth="1"/>
    <col min="2" max="2" width="1.6640625" style="67" customWidth="1"/>
    <col min="3" max="3" width="8.5" style="67" customWidth="1"/>
    <col min="4" max="4" width="1.6640625" style="67" customWidth="1"/>
    <col min="5" max="5" width="51.5" style="67" bestFit="1" customWidth="1"/>
    <col min="6" max="6" width="1.6640625" style="67" customWidth="1"/>
    <col min="7" max="7" width="20.5" style="67" bestFit="1" customWidth="1"/>
    <col min="8" max="8" width="1.6640625" style="67" customWidth="1"/>
    <col min="9" max="9" width="14.83203125" style="67" customWidth="1"/>
    <col min="10" max="10" width="1.6640625" style="67" customWidth="1"/>
    <col min="11" max="11" width="19.5" style="67" bestFit="1" customWidth="1"/>
    <col min="12" max="12" width="1.6640625" style="67" customWidth="1"/>
    <col min="13" max="13" width="17.33203125" style="67" customWidth="1"/>
    <col min="14" max="14" width="1.6640625" style="67" customWidth="1"/>
    <col min="15" max="15" width="15.6640625" style="67" customWidth="1"/>
    <col min="16" max="16" width="1.6640625" style="67" customWidth="1"/>
    <col min="17" max="17" width="15.83203125" style="67" customWidth="1"/>
    <col min="18" max="16384" width="9.1640625" style="67"/>
  </cols>
  <sheetData>
    <row r="1" spans="1:21" ht="12.75" x14ac:dyDescent="0.2">
      <c r="A1" s="1402" t="str">
        <f>+'Property Excluded B-2.7'!A1:U1</f>
        <v>COLUMBIA GAS OF KENTUCKY, INC.</v>
      </c>
      <c r="B1" s="1402"/>
      <c r="C1" s="1402"/>
      <c r="D1" s="1402"/>
      <c r="E1" s="1402"/>
      <c r="F1" s="1402"/>
      <c r="G1" s="1402"/>
      <c r="H1" s="1402"/>
      <c r="I1" s="1402"/>
      <c r="J1" s="1402"/>
      <c r="K1" s="1402"/>
      <c r="L1" s="1402"/>
      <c r="M1" s="1402"/>
      <c r="N1" s="1402"/>
      <c r="O1" s="1402"/>
      <c r="P1" s="1402"/>
      <c r="Q1" s="1402"/>
      <c r="R1" s="270"/>
      <c r="S1" s="270"/>
      <c r="T1" s="266"/>
      <c r="U1" s="267"/>
    </row>
    <row r="2" spans="1:21" ht="12.75" x14ac:dyDescent="0.2">
      <c r="A2" s="1402" t="str">
        <f>+Input!C4</f>
        <v>CASE NO. 2017-xxxxx</v>
      </c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1402"/>
      <c r="M2" s="1402"/>
      <c r="N2" s="1402"/>
      <c r="O2" s="1402"/>
      <c r="P2" s="1402"/>
      <c r="Q2" s="1402"/>
      <c r="R2" s="270"/>
      <c r="S2" s="270"/>
      <c r="T2" s="266"/>
      <c r="U2" s="267"/>
    </row>
    <row r="3" spans="1:21" ht="12.75" x14ac:dyDescent="0.2">
      <c r="A3" s="1403" t="s">
        <v>959</v>
      </c>
      <c r="B3" s="1403"/>
      <c r="C3" s="1403"/>
      <c r="D3" s="1403"/>
      <c r="E3" s="1403"/>
      <c r="F3" s="1403"/>
      <c r="G3" s="1403"/>
      <c r="H3" s="1403"/>
      <c r="I3" s="1403"/>
      <c r="J3" s="1403"/>
      <c r="K3" s="1403"/>
      <c r="L3" s="1403"/>
      <c r="M3" s="1403"/>
      <c r="N3" s="1403"/>
      <c r="O3" s="1403"/>
      <c r="P3" s="1403"/>
      <c r="Q3" s="1403"/>
      <c r="R3" s="270"/>
      <c r="S3" s="270"/>
      <c r="T3" s="266"/>
      <c r="U3" s="267"/>
    </row>
    <row r="4" spans="1:21" ht="12.75" x14ac:dyDescent="0.2">
      <c r="A4" s="1401" t="str">
        <f>+Input!C7</f>
        <v>AS OF DECEMBER 31, 2017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270"/>
      <c r="S4" s="270"/>
      <c r="T4" s="266"/>
      <c r="U4" s="267"/>
    </row>
    <row r="5" spans="1:21" ht="12.75" x14ac:dyDescent="0.2">
      <c r="A5" s="269" t="s">
        <v>839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P5" s="270"/>
      <c r="Q5" s="271" t="s">
        <v>230</v>
      </c>
      <c r="R5" s="270"/>
      <c r="S5" s="270"/>
      <c r="T5" s="266"/>
      <c r="U5" s="267"/>
    </row>
    <row r="6" spans="1:21" ht="12.75" x14ac:dyDescent="0.2">
      <c r="A6" s="269" t="s">
        <v>490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P6" s="270"/>
      <c r="Q6" s="271" t="s">
        <v>997</v>
      </c>
      <c r="R6" s="270"/>
      <c r="S6" s="270"/>
      <c r="T6" s="266"/>
      <c r="U6" s="267"/>
    </row>
    <row r="7" spans="1:21" ht="12.75" x14ac:dyDescent="0.2">
      <c r="A7" s="272" t="s">
        <v>840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P7" s="270"/>
      <c r="Q7" s="271" t="str">
        <f>+Input!E27</f>
        <v>WITNESS:  C. Y. LAI</v>
      </c>
      <c r="R7" s="270"/>
      <c r="S7" s="270"/>
      <c r="T7" s="266"/>
      <c r="U7" s="267"/>
    </row>
    <row r="8" spans="1:21" ht="12.75" x14ac:dyDescent="0.2">
      <c r="A8" s="273"/>
      <c r="B8" s="273"/>
      <c r="C8" s="273"/>
      <c r="D8" s="273"/>
      <c r="E8" s="273"/>
      <c r="F8" s="273"/>
      <c r="G8" s="274" t="s">
        <v>739</v>
      </c>
      <c r="H8" s="273"/>
      <c r="I8" s="273"/>
      <c r="J8" s="273"/>
      <c r="K8" s="273"/>
      <c r="L8" s="273"/>
      <c r="M8" s="274" t="s">
        <v>234</v>
      </c>
      <c r="N8" s="273"/>
      <c r="O8" s="273"/>
      <c r="P8" s="273"/>
      <c r="Q8" s="273"/>
      <c r="R8" s="270"/>
      <c r="S8" s="270"/>
      <c r="T8" s="266"/>
      <c r="U8" s="267"/>
    </row>
    <row r="9" spans="1:21" ht="12.75" x14ac:dyDescent="0.2">
      <c r="A9" s="265" t="s">
        <v>493</v>
      </c>
      <c r="B9" s="270"/>
      <c r="C9" s="265" t="s">
        <v>1143</v>
      </c>
      <c r="D9" s="270"/>
      <c r="E9" s="270"/>
      <c r="F9" s="270"/>
      <c r="G9" s="265" t="s">
        <v>1148</v>
      </c>
      <c r="H9" s="270"/>
      <c r="I9" s="265" t="s">
        <v>525</v>
      </c>
      <c r="J9" s="270"/>
      <c r="K9" s="265" t="s">
        <v>523</v>
      </c>
      <c r="L9" s="270"/>
      <c r="M9" s="265" t="s">
        <v>523</v>
      </c>
      <c r="N9" s="270"/>
      <c r="O9" s="270"/>
      <c r="P9" s="270"/>
      <c r="Q9" s="265" t="s">
        <v>834</v>
      </c>
      <c r="R9" s="270"/>
      <c r="S9" s="270"/>
      <c r="T9" s="266"/>
      <c r="U9" s="267"/>
    </row>
    <row r="10" spans="1:21" ht="12.75" x14ac:dyDescent="0.2">
      <c r="A10" s="265" t="s">
        <v>496</v>
      </c>
      <c r="B10" s="270"/>
      <c r="C10" s="265" t="s">
        <v>496</v>
      </c>
      <c r="D10" s="270"/>
      <c r="E10" s="265" t="s">
        <v>235</v>
      </c>
      <c r="F10" s="270"/>
      <c r="G10" s="265" t="s">
        <v>236</v>
      </c>
      <c r="H10" s="270"/>
      <c r="I10" s="265" t="s">
        <v>982</v>
      </c>
      <c r="J10" s="270"/>
      <c r="K10" s="265" t="s">
        <v>983</v>
      </c>
      <c r="L10" s="270"/>
      <c r="M10" s="265" t="s">
        <v>525</v>
      </c>
      <c r="N10" s="270"/>
      <c r="O10" s="265" t="s">
        <v>842</v>
      </c>
      <c r="P10" s="270"/>
      <c r="Q10" s="265" t="s">
        <v>531</v>
      </c>
      <c r="R10" s="270"/>
      <c r="S10" s="270"/>
      <c r="T10" s="266"/>
      <c r="U10" s="267"/>
    </row>
    <row r="11" spans="1:21" ht="12.75" x14ac:dyDescent="0.2">
      <c r="A11" s="275" t="s">
        <v>1746</v>
      </c>
      <c r="B11" s="276"/>
      <c r="C11" s="275" t="s">
        <v>1747</v>
      </c>
      <c r="D11" s="276"/>
      <c r="E11" s="275" t="s">
        <v>1748</v>
      </c>
      <c r="F11" s="276"/>
      <c r="G11" s="275" t="s">
        <v>1749</v>
      </c>
      <c r="H11" s="276"/>
      <c r="I11" s="275" t="s">
        <v>136</v>
      </c>
      <c r="J11" s="276"/>
      <c r="K11" s="275" t="s">
        <v>1751</v>
      </c>
      <c r="L11" s="276"/>
      <c r="M11" s="275" t="s">
        <v>180</v>
      </c>
      <c r="N11" s="276"/>
      <c r="O11" s="275" t="s">
        <v>237</v>
      </c>
      <c r="P11" s="276"/>
      <c r="Q11" s="275" t="s">
        <v>238</v>
      </c>
      <c r="R11" s="270"/>
      <c r="S11" s="270"/>
      <c r="T11" s="266"/>
      <c r="U11" s="267"/>
    </row>
    <row r="12" spans="1:21" ht="12.75" x14ac:dyDescent="0.2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66"/>
      <c r="U12" s="267"/>
    </row>
    <row r="13" spans="1:21" ht="12.75" x14ac:dyDescent="0.2">
      <c r="A13" s="265">
        <v>1</v>
      </c>
      <c r="B13" s="270"/>
      <c r="C13" s="277"/>
      <c r="D13" s="270"/>
      <c r="E13" s="278" t="s">
        <v>1149</v>
      </c>
      <c r="F13" s="270"/>
      <c r="G13" s="279"/>
      <c r="H13" s="279"/>
      <c r="I13" s="279"/>
      <c r="J13" s="279"/>
      <c r="K13" s="899" t="s">
        <v>239</v>
      </c>
      <c r="L13" s="279"/>
      <c r="M13" s="279"/>
      <c r="N13" s="279"/>
      <c r="O13" s="279"/>
      <c r="P13" s="279"/>
      <c r="Q13" s="279"/>
      <c r="R13" s="270"/>
      <c r="S13" s="270"/>
      <c r="T13" s="266"/>
      <c r="U13" s="267"/>
    </row>
    <row r="14" spans="1:21" ht="12.75" x14ac:dyDescent="0.2">
      <c r="A14" s="265">
        <f t="shared" ref="A14:A19" si="0">A13+1</f>
        <v>2</v>
      </c>
      <c r="B14" s="270"/>
      <c r="C14" s="277">
        <v>301</v>
      </c>
      <c r="D14" s="270"/>
      <c r="E14" s="280" t="s">
        <v>1150</v>
      </c>
      <c r="F14" s="270"/>
      <c r="G14" s="1257">
        <v>521.20000000000005</v>
      </c>
      <c r="H14" s="279"/>
      <c r="I14" s="279">
        <f>Q14</f>
        <v>0</v>
      </c>
      <c r="J14" s="279"/>
      <c r="K14" s="279"/>
      <c r="L14" s="279"/>
      <c r="M14" s="1257">
        <v>0</v>
      </c>
      <c r="N14" s="279"/>
      <c r="O14" s="279"/>
      <c r="P14" s="279"/>
      <c r="Q14" s="279">
        <f>+M14+O14</f>
        <v>0</v>
      </c>
      <c r="R14" s="270"/>
      <c r="S14" s="270"/>
      <c r="T14" s="266"/>
      <c r="U14" s="267"/>
    </row>
    <row r="15" spans="1:21" ht="12.75" x14ac:dyDescent="0.2">
      <c r="A15" s="265">
        <f t="shared" si="0"/>
        <v>3</v>
      </c>
      <c r="B15" s="270"/>
      <c r="C15" s="277">
        <v>303</v>
      </c>
      <c r="D15" s="270"/>
      <c r="E15" s="280" t="s">
        <v>1151</v>
      </c>
      <c r="F15" s="270"/>
      <c r="G15" s="1257">
        <v>164630.54</v>
      </c>
      <c r="H15" s="279"/>
      <c r="I15" s="279">
        <f>Q15</f>
        <v>118321</v>
      </c>
      <c r="J15" s="279"/>
      <c r="K15" s="279"/>
      <c r="L15" s="279"/>
      <c r="M15" s="1257">
        <v>118321</v>
      </c>
      <c r="N15" s="279"/>
      <c r="O15" s="279"/>
      <c r="P15" s="279"/>
      <c r="Q15" s="279">
        <f>+M15+O15</f>
        <v>118321</v>
      </c>
      <c r="R15" s="270"/>
      <c r="S15" s="270"/>
      <c r="T15" s="266"/>
      <c r="U15" s="267"/>
    </row>
    <row r="16" spans="1:21" ht="12.75" x14ac:dyDescent="0.2">
      <c r="A16" s="265">
        <f t="shared" si="0"/>
        <v>4</v>
      </c>
      <c r="B16" s="270"/>
      <c r="C16" s="277">
        <v>303.10000000000002</v>
      </c>
      <c r="D16" s="270"/>
      <c r="E16" s="280" t="s">
        <v>1152</v>
      </c>
      <c r="F16" s="270"/>
      <c r="G16" s="1257">
        <v>0</v>
      </c>
      <c r="H16" s="279"/>
      <c r="I16" s="279">
        <f>Q16</f>
        <v>0</v>
      </c>
      <c r="J16" s="279"/>
      <c r="K16" s="279"/>
      <c r="L16" s="279"/>
      <c r="M16" s="1257">
        <v>0</v>
      </c>
      <c r="N16" s="279"/>
      <c r="O16" s="279"/>
      <c r="P16" s="279"/>
      <c r="Q16" s="279">
        <f>+M16+O16</f>
        <v>0</v>
      </c>
      <c r="R16" s="270"/>
      <c r="S16" s="270"/>
      <c r="T16" s="266"/>
      <c r="U16" s="267"/>
    </row>
    <row r="17" spans="1:21" ht="12.75" x14ac:dyDescent="0.2">
      <c r="A17" s="265">
        <f t="shared" si="0"/>
        <v>5</v>
      </c>
      <c r="B17" s="270"/>
      <c r="C17" s="277">
        <v>303.2</v>
      </c>
      <c r="D17" s="270"/>
      <c r="E17" s="280" t="s">
        <v>1153</v>
      </c>
      <c r="F17" s="270"/>
      <c r="G17" s="1257">
        <v>0</v>
      </c>
      <c r="H17" s="279"/>
      <c r="I17" s="279">
        <f>Q17</f>
        <v>0</v>
      </c>
      <c r="J17" s="279"/>
      <c r="K17" s="279"/>
      <c r="L17" s="279"/>
      <c r="M17" s="1257">
        <v>0</v>
      </c>
      <c r="N17" s="279"/>
      <c r="O17" s="279"/>
      <c r="P17" s="279"/>
      <c r="Q17" s="279">
        <f>+M17+O17</f>
        <v>0</v>
      </c>
      <c r="R17" s="270"/>
      <c r="S17" s="270"/>
      <c r="T17" s="266"/>
      <c r="U17" s="267"/>
    </row>
    <row r="18" spans="1:21" ht="12.75" x14ac:dyDescent="0.2">
      <c r="A18" s="265">
        <f t="shared" si="0"/>
        <v>6</v>
      </c>
      <c r="B18" s="270"/>
      <c r="C18" s="277">
        <v>303.3</v>
      </c>
      <c r="D18" s="270"/>
      <c r="E18" s="280" t="s">
        <v>1154</v>
      </c>
      <c r="F18" s="270"/>
      <c r="G18" s="1258">
        <v>1285367.95</v>
      </c>
      <c r="H18" s="279"/>
      <c r="I18" s="282">
        <f>Q18</f>
        <v>748163</v>
      </c>
      <c r="J18" s="279"/>
      <c r="K18" s="279"/>
      <c r="L18" s="279"/>
      <c r="M18" s="1258">
        <v>748163</v>
      </c>
      <c r="N18" s="279"/>
      <c r="O18" s="283"/>
      <c r="P18" s="279"/>
      <c r="Q18" s="282">
        <f>+M18+O18</f>
        <v>748163</v>
      </c>
      <c r="R18" s="270"/>
      <c r="S18" s="270"/>
      <c r="T18" s="266"/>
      <c r="U18" s="267"/>
    </row>
    <row r="19" spans="1:21" ht="12.75" x14ac:dyDescent="0.2">
      <c r="A19" s="265">
        <f t="shared" si="0"/>
        <v>7</v>
      </c>
      <c r="B19" s="270"/>
      <c r="C19" s="277"/>
      <c r="D19" s="270"/>
      <c r="E19" s="280" t="s">
        <v>1155</v>
      </c>
      <c r="F19" s="270"/>
      <c r="G19" s="279">
        <f>SUM(G14:G18)</f>
        <v>1450519.69</v>
      </c>
      <c r="H19" s="279"/>
      <c r="I19" s="279">
        <f>SUM(I14:I18)</f>
        <v>866484</v>
      </c>
      <c r="J19" s="279"/>
      <c r="K19" s="279"/>
      <c r="L19" s="279"/>
      <c r="M19" s="279">
        <f>SUM(M14:M18)</f>
        <v>866484</v>
      </c>
      <c r="N19" s="279"/>
      <c r="O19" s="279"/>
      <c r="P19" s="279"/>
      <c r="Q19" s="279">
        <f>SUM(Q14:Q18)</f>
        <v>866484</v>
      </c>
      <c r="R19" s="270"/>
      <c r="S19" s="270"/>
      <c r="T19" s="266"/>
      <c r="U19" s="267"/>
    </row>
    <row r="20" spans="1:21" ht="12.75" x14ac:dyDescent="0.2">
      <c r="A20" s="265"/>
      <c r="B20" s="270"/>
      <c r="C20" s="277"/>
      <c r="D20" s="270"/>
      <c r="E20" s="277"/>
      <c r="F20" s="270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0"/>
      <c r="S20" s="270"/>
      <c r="T20" s="266"/>
      <c r="U20" s="267"/>
    </row>
    <row r="21" spans="1:21" ht="12.75" x14ac:dyDescent="0.2">
      <c r="A21" s="265">
        <f>A19+1</f>
        <v>8</v>
      </c>
      <c r="B21" s="270"/>
      <c r="C21" s="277"/>
      <c r="D21" s="270"/>
      <c r="E21" s="278" t="s">
        <v>1156</v>
      </c>
      <c r="F21" s="270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0"/>
      <c r="S21" s="270"/>
      <c r="T21" s="266"/>
      <c r="U21" s="267"/>
    </row>
    <row r="22" spans="1:21" ht="12.75" x14ac:dyDescent="0.2">
      <c r="A22" s="265">
        <f>A21+1</f>
        <v>9</v>
      </c>
      <c r="B22" s="270"/>
      <c r="C22" s="277">
        <v>304.10000000000002</v>
      </c>
      <c r="D22" s="270"/>
      <c r="E22" s="280" t="s">
        <v>1157</v>
      </c>
      <c r="F22" s="270"/>
      <c r="G22" s="1257">
        <v>7678.39</v>
      </c>
      <c r="H22" s="279"/>
      <c r="I22" s="279">
        <f>Q22</f>
        <v>0</v>
      </c>
      <c r="J22" s="279"/>
      <c r="K22" s="279"/>
      <c r="L22" s="279"/>
      <c r="M22" s="1257">
        <v>0</v>
      </c>
      <c r="N22" s="279"/>
      <c r="O22" s="279"/>
      <c r="P22" s="279"/>
      <c r="Q22" s="279">
        <f>+M22+O22</f>
        <v>0</v>
      </c>
      <c r="R22" s="270"/>
      <c r="S22" s="270"/>
      <c r="T22" s="266"/>
      <c r="U22" s="267"/>
    </row>
    <row r="23" spans="1:21" ht="12.75" x14ac:dyDescent="0.2">
      <c r="A23" s="265">
        <f>A22+1</f>
        <v>10</v>
      </c>
      <c r="B23" s="270"/>
      <c r="C23" s="277">
        <v>305</v>
      </c>
      <c r="D23" s="270"/>
      <c r="E23" s="280" t="s">
        <v>240</v>
      </c>
      <c r="F23" s="270"/>
      <c r="G23" s="1257">
        <v>0</v>
      </c>
      <c r="H23" s="279"/>
      <c r="I23" s="279">
        <f>Q23</f>
        <v>0</v>
      </c>
      <c r="J23" s="279"/>
      <c r="K23" s="279"/>
      <c r="L23" s="279"/>
      <c r="M23" s="1257">
        <v>0</v>
      </c>
      <c r="N23" s="279"/>
      <c r="O23" s="279"/>
      <c r="P23" s="279"/>
      <c r="Q23" s="279">
        <f>+M23+O23</f>
        <v>0</v>
      </c>
      <c r="R23" s="270"/>
      <c r="S23" s="270"/>
      <c r="T23" s="266"/>
      <c r="U23" s="267"/>
    </row>
    <row r="24" spans="1:21" ht="12.75" x14ac:dyDescent="0.2">
      <c r="A24" s="265">
        <f>A23+1</f>
        <v>11</v>
      </c>
      <c r="B24" s="270"/>
      <c r="C24" s="277">
        <v>311</v>
      </c>
      <c r="D24" s="270"/>
      <c r="E24" s="280" t="s">
        <v>632</v>
      </c>
      <c r="F24" s="270"/>
      <c r="G24" s="1258">
        <v>0</v>
      </c>
      <c r="H24" s="279"/>
      <c r="I24" s="282">
        <f>Q24</f>
        <v>0</v>
      </c>
      <c r="J24" s="279"/>
      <c r="K24" s="279"/>
      <c r="L24" s="279"/>
      <c r="M24" s="1258">
        <v>0</v>
      </c>
      <c r="N24" s="279"/>
      <c r="O24" s="283"/>
      <c r="P24" s="279"/>
      <c r="Q24" s="282">
        <f>+M24+O24</f>
        <v>0</v>
      </c>
      <c r="R24" s="270"/>
      <c r="S24" s="270"/>
      <c r="T24" s="266"/>
      <c r="U24" s="267"/>
    </row>
    <row r="25" spans="1:21" ht="12.75" x14ac:dyDescent="0.2">
      <c r="A25" s="265">
        <f>A24+1</f>
        <v>12</v>
      </c>
      <c r="B25" s="270"/>
      <c r="C25" s="277"/>
      <c r="D25" s="270"/>
      <c r="E25" s="280" t="s">
        <v>1158</v>
      </c>
      <c r="F25" s="270"/>
      <c r="G25" s="279">
        <f>SUM(G22:G24)</f>
        <v>7678.39</v>
      </c>
      <c r="H25" s="279"/>
      <c r="I25" s="279">
        <f>SUM(I22:I24)</f>
        <v>0</v>
      </c>
      <c r="J25" s="279"/>
      <c r="K25" s="279"/>
      <c r="L25" s="279"/>
      <c r="M25" s="279">
        <f>SUM(M22:M24)</f>
        <v>0</v>
      </c>
      <c r="N25" s="279"/>
      <c r="O25" s="279"/>
      <c r="P25" s="279"/>
      <c r="Q25" s="279">
        <f>SUM(Q22:Q24)</f>
        <v>0</v>
      </c>
      <c r="R25" s="270"/>
      <c r="S25" s="270"/>
      <c r="T25" s="266"/>
      <c r="U25" s="267"/>
    </row>
    <row r="26" spans="1:21" ht="12.75" x14ac:dyDescent="0.2">
      <c r="A26" s="265"/>
      <c r="B26" s="270"/>
      <c r="C26" s="277"/>
      <c r="D26" s="270"/>
      <c r="E26" s="277"/>
      <c r="F26" s="270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0"/>
      <c r="S26" s="270"/>
      <c r="T26" s="266"/>
      <c r="U26" s="267"/>
    </row>
    <row r="27" spans="1:21" ht="12.75" x14ac:dyDescent="0.2">
      <c r="A27" s="265">
        <f>A25+1</f>
        <v>13</v>
      </c>
      <c r="B27" s="270"/>
      <c r="C27" s="277"/>
      <c r="D27" s="270"/>
      <c r="E27" s="278" t="s">
        <v>1159</v>
      </c>
      <c r="F27" s="270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0"/>
      <c r="S27" s="270"/>
      <c r="T27" s="266"/>
      <c r="U27" s="267"/>
    </row>
    <row r="28" spans="1:21" ht="12.75" x14ac:dyDescent="0.2">
      <c r="A28" s="265">
        <f t="shared" ref="A28:A44" si="1">A27+1</f>
        <v>14</v>
      </c>
      <c r="B28" s="270"/>
      <c r="C28" s="277">
        <v>374.1</v>
      </c>
      <c r="D28" s="270"/>
      <c r="E28" s="280" t="s">
        <v>1160</v>
      </c>
      <c r="F28" s="270"/>
      <c r="G28" s="1257">
        <v>206</v>
      </c>
      <c r="H28" s="279"/>
      <c r="I28" s="279">
        <f t="shared" ref="I28:I44" si="2">Q28</f>
        <v>0</v>
      </c>
      <c r="J28" s="279"/>
      <c r="K28" s="279"/>
      <c r="L28" s="279"/>
      <c r="M28" s="1257">
        <v>0</v>
      </c>
      <c r="N28" s="279"/>
      <c r="O28" s="279"/>
      <c r="P28" s="279"/>
      <c r="Q28" s="279">
        <f t="shared" ref="Q28:Q44" si="3">+M28+O28</f>
        <v>0</v>
      </c>
      <c r="R28" s="270"/>
      <c r="S28" s="270"/>
      <c r="T28" s="266"/>
      <c r="U28" s="267"/>
    </row>
    <row r="29" spans="1:21" ht="12.75" x14ac:dyDescent="0.2">
      <c r="A29" s="265">
        <f t="shared" si="1"/>
        <v>15</v>
      </c>
      <c r="B29" s="270"/>
      <c r="C29" s="277">
        <v>374.2</v>
      </c>
      <c r="D29" s="270"/>
      <c r="E29" s="280" t="s">
        <v>1161</v>
      </c>
      <c r="F29" s="270"/>
      <c r="G29" s="1257">
        <v>873471.06</v>
      </c>
      <c r="H29" s="279"/>
      <c r="I29" s="279">
        <f t="shared" si="2"/>
        <v>0</v>
      </c>
      <c r="J29" s="279"/>
      <c r="K29" s="279"/>
      <c r="L29" s="279"/>
      <c r="M29" s="1257">
        <v>0</v>
      </c>
      <c r="N29" s="279"/>
      <c r="O29" s="279"/>
      <c r="P29" s="279"/>
      <c r="Q29" s="279">
        <f t="shared" si="3"/>
        <v>0</v>
      </c>
      <c r="R29" s="270"/>
      <c r="S29" s="270"/>
      <c r="T29" s="266"/>
      <c r="U29" s="267"/>
    </row>
    <row r="30" spans="1:21" ht="12.75" x14ac:dyDescent="0.2">
      <c r="A30" s="265">
        <f t="shared" si="1"/>
        <v>16</v>
      </c>
      <c r="B30" s="270"/>
      <c r="C30" s="277">
        <v>374.4</v>
      </c>
      <c r="D30" s="270"/>
      <c r="E30" s="280" t="s">
        <v>1162</v>
      </c>
      <c r="F30" s="270"/>
      <c r="G30" s="1257">
        <v>555084.6</v>
      </c>
      <c r="H30" s="279"/>
      <c r="I30" s="279">
        <f t="shared" si="2"/>
        <v>124496</v>
      </c>
      <c r="J30" s="279"/>
      <c r="K30" s="279"/>
      <c r="L30" s="279"/>
      <c r="M30" s="1257">
        <v>124496</v>
      </c>
      <c r="N30" s="279"/>
      <c r="O30" s="279"/>
      <c r="P30" s="279"/>
      <c r="Q30" s="279">
        <f t="shared" si="3"/>
        <v>124496</v>
      </c>
      <c r="R30" s="270"/>
      <c r="S30" s="270"/>
      <c r="T30" s="266"/>
      <c r="U30" s="267"/>
    </row>
    <row r="31" spans="1:21" ht="12.75" x14ac:dyDescent="0.2">
      <c r="A31" s="265">
        <f t="shared" si="1"/>
        <v>17</v>
      </c>
      <c r="B31" s="270"/>
      <c r="C31" s="277">
        <v>374.5</v>
      </c>
      <c r="D31" s="270"/>
      <c r="E31" s="280" t="s">
        <v>1163</v>
      </c>
      <c r="F31" s="270"/>
      <c r="G31" s="1257">
        <v>2668348.92</v>
      </c>
      <c r="H31" s="279"/>
      <c r="I31" s="279">
        <f t="shared" si="2"/>
        <v>673713</v>
      </c>
      <c r="J31" s="279"/>
      <c r="K31" s="279"/>
      <c r="L31" s="279"/>
      <c r="M31" s="1257">
        <v>673713</v>
      </c>
      <c r="N31" s="279"/>
      <c r="O31" s="279"/>
      <c r="P31" s="279"/>
      <c r="Q31" s="279">
        <f t="shared" si="3"/>
        <v>673713</v>
      </c>
      <c r="R31" s="270"/>
      <c r="S31" s="270"/>
      <c r="T31" s="266"/>
      <c r="U31" s="267"/>
    </row>
    <row r="32" spans="1:21" ht="12.75" x14ac:dyDescent="0.2">
      <c r="A32" s="265">
        <f t="shared" si="1"/>
        <v>18</v>
      </c>
      <c r="B32" s="270"/>
      <c r="C32" s="277">
        <v>375.2</v>
      </c>
      <c r="D32" s="270"/>
      <c r="E32" s="280" t="s">
        <v>1164</v>
      </c>
      <c r="F32" s="270"/>
      <c r="G32" s="1257">
        <v>5249.05</v>
      </c>
      <c r="H32" s="279"/>
      <c r="I32" s="279">
        <f t="shared" si="2"/>
        <v>5523</v>
      </c>
      <c r="J32" s="279"/>
      <c r="K32" s="279"/>
      <c r="L32" s="279"/>
      <c r="M32" s="1257">
        <v>5523</v>
      </c>
      <c r="N32" s="279"/>
      <c r="O32" s="279"/>
      <c r="P32" s="279"/>
      <c r="Q32" s="279">
        <f t="shared" si="3"/>
        <v>5523</v>
      </c>
      <c r="R32" s="270"/>
      <c r="S32" s="270"/>
      <c r="T32" s="266"/>
      <c r="U32" s="267"/>
    </row>
    <row r="33" spans="1:21" ht="12.75" x14ac:dyDescent="0.2">
      <c r="A33" s="265">
        <f t="shared" si="1"/>
        <v>19</v>
      </c>
      <c r="B33" s="270"/>
      <c r="C33" s="277">
        <v>375.3</v>
      </c>
      <c r="D33" s="270"/>
      <c r="E33" s="280" t="s">
        <v>1165</v>
      </c>
      <c r="F33" s="270"/>
      <c r="G33" s="1257">
        <v>10848.26</v>
      </c>
      <c r="H33" s="279"/>
      <c r="I33" s="279">
        <f t="shared" si="2"/>
        <v>10948</v>
      </c>
      <c r="J33" s="279"/>
      <c r="K33" s="279"/>
      <c r="L33" s="279"/>
      <c r="M33" s="1257">
        <v>10948</v>
      </c>
      <c r="N33" s="279"/>
      <c r="O33" s="279"/>
      <c r="P33" s="279"/>
      <c r="Q33" s="279">
        <f t="shared" si="3"/>
        <v>10948</v>
      </c>
      <c r="R33" s="270"/>
      <c r="S33" s="270"/>
      <c r="T33" s="266"/>
      <c r="U33" s="267"/>
    </row>
    <row r="34" spans="1:21" ht="12.75" x14ac:dyDescent="0.2">
      <c r="A34" s="265">
        <f t="shared" si="1"/>
        <v>20</v>
      </c>
      <c r="B34" s="270"/>
      <c r="C34" s="277">
        <v>375.4</v>
      </c>
      <c r="D34" s="270"/>
      <c r="E34" s="280" t="s">
        <v>1166</v>
      </c>
      <c r="F34" s="270"/>
      <c r="G34" s="1257">
        <v>628347.37</v>
      </c>
      <c r="H34" s="279"/>
      <c r="I34" s="279">
        <f t="shared" si="2"/>
        <v>314927</v>
      </c>
      <c r="J34" s="279"/>
      <c r="K34" s="279"/>
      <c r="L34" s="279"/>
      <c r="M34" s="1257">
        <v>314927</v>
      </c>
      <c r="N34" s="279"/>
      <c r="O34" s="279"/>
      <c r="P34" s="279"/>
      <c r="Q34" s="279">
        <f t="shared" si="3"/>
        <v>314927</v>
      </c>
      <c r="R34" s="270"/>
      <c r="S34" s="270"/>
      <c r="T34" s="266"/>
      <c r="U34" s="267"/>
    </row>
    <row r="35" spans="1:21" ht="12.75" x14ac:dyDescent="0.2">
      <c r="A35" s="265">
        <f t="shared" si="1"/>
        <v>21</v>
      </c>
      <c r="B35" s="270"/>
      <c r="C35" s="277">
        <v>375.6</v>
      </c>
      <c r="D35" s="270"/>
      <c r="E35" s="280" t="s">
        <v>1167</v>
      </c>
      <c r="F35" s="270"/>
      <c r="G35" s="1257">
        <v>88210.2</v>
      </c>
      <c r="H35" s="279"/>
      <c r="I35" s="279">
        <f t="shared" si="2"/>
        <v>40358</v>
      </c>
      <c r="J35" s="279"/>
      <c r="K35" s="279"/>
      <c r="L35" s="279"/>
      <c r="M35" s="1257">
        <v>40358</v>
      </c>
      <c r="N35" s="279"/>
      <c r="O35" s="279"/>
      <c r="P35" s="279"/>
      <c r="Q35" s="279">
        <f t="shared" si="3"/>
        <v>40358</v>
      </c>
      <c r="R35" s="270"/>
      <c r="S35" s="270"/>
      <c r="T35" s="266"/>
      <c r="U35" s="267"/>
    </row>
    <row r="36" spans="1:21" ht="12.75" x14ac:dyDescent="0.2">
      <c r="A36" s="265">
        <f t="shared" si="1"/>
        <v>22</v>
      </c>
      <c r="B36" s="270"/>
      <c r="C36" s="277">
        <v>375.7</v>
      </c>
      <c r="D36" s="270"/>
      <c r="E36" s="280" t="s">
        <v>1168</v>
      </c>
      <c r="F36" s="270"/>
      <c r="G36" s="1257">
        <v>7179383.5199999996</v>
      </c>
      <c r="H36" s="279"/>
      <c r="I36" s="279">
        <f t="shared" si="2"/>
        <v>2121307</v>
      </c>
      <c r="J36" s="279"/>
      <c r="K36" s="279"/>
      <c r="L36" s="279"/>
      <c r="M36" s="1257">
        <v>2121307</v>
      </c>
      <c r="N36" s="279"/>
      <c r="O36" s="279"/>
      <c r="P36" s="279"/>
      <c r="Q36" s="279">
        <f t="shared" si="3"/>
        <v>2121307</v>
      </c>
      <c r="R36" s="270"/>
      <c r="S36" s="270"/>
      <c r="T36" s="266"/>
      <c r="U36" s="267"/>
    </row>
    <row r="37" spans="1:21" ht="12.75" x14ac:dyDescent="0.2">
      <c r="A37" s="265">
        <f t="shared" si="1"/>
        <v>23</v>
      </c>
      <c r="B37" s="270"/>
      <c r="C37" s="277">
        <v>375.71</v>
      </c>
      <c r="D37" s="270"/>
      <c r="E37" s="280" t="s">
        <v>1169</v>
      </c>
      <c r="F37" s="270"/>
      <c r="G37" s="1257">
        <v>0</v>
      </c>
      <c r="H37" s="279"/>
      <c r="I37" s="279">
        <f t="shared" si="2"/>
        <v>0</v>
      </c>
      <c r="J37" s="279"/>
      <c r="K37" s="279"/>
      <c r="L37" s="279"/>
      <c r="M37" s="1257">
        <v>0</v>
      </c>
      <c r="N37" s="279"/>
      <c r="O37" s="279"/>
      <c r="P37" s="279"/>
      <c r="Q37" s="279">
        <f t="shared" si="3"/>
        <v>0</v>
      </c>
      <c r="R37" s="270"/>
      <c r="S37" s="270"/>
      <c r="T37" s="266"/>
      <c r="U37" s="267"/>
    </row>
    <row r="38" spans="1:21" ht="12.75" x14ac:dyDescent="0.2">
      <c r="A38" s="265">
        <f t="shared" si="1"/>
        <v>24</v>
      </c>
      <c r="B38" s="270"/>
      <c r="C38" s="277">
        <v>375.8</v>
      </c>
      <c r="D38" s="270"/>
      <c r="E38" s="280" t="s">
        <v>1170</v>
      </c>
      <c r="F38" s="270"/>
      <c r="G38" s="1257">
        <v>33260.58</v>
      </c>
      <c r="H38" s="279"/>
      <c r="I38" s="279">
        <f t="shared" si="2"/>
        <v>25786</v>
      </c>
      <c r="J38" s="279"/>
      <c r="K38" s="279"/>
      <c r="L38" s="279"/>
      <c r="M38" s="1257">
        <v>25786</v>
      </c>
      <c r="N38" s="279"/>
      <c r="O38" s="279"/>
      <c r="P38" s="279"/>
      <c r="Q38" s="279">
        <f t="shared" si="3"/>
        <v>25786</v>
      </c>
      <c r="R38" s="270"/>
      <c r="S38" s="270"/>
      <c r="T38" s="266"/>
      <c r="U38" s="267"/>
    </row>
    <row r="39" spans="1:21" ht="12.75" x14ac:dyDescent="0.2">
      <c r="A39" s="265">
        <f t="shared" si="1"/>
        <v>25</v>
      </c>
      <c r="B39" s="270"/>
      <c r="C39" s="277">
        <v>376</v>
      </c>
      <c r="D39" s="270"/>
      <c r="E39" s="280" t="s">
        <v>1171</v>
      </c>
      <c r="F39" s="270"/>
      <c r="G39" s="1257">
        <v>136589627.37</v>
      </c>
      <c r="H39" s="279"/>
      <c r="I39" s="279">
        <f t="shared" si="2"/>
        <v>45843547</v>
      </c>
      <c r="J39" s="279"/>
      <c r="K39" s="279"/>
      <c r="L39" s="279"/>
      <c r="M39" s="1257">
        <v>45843547</v>
      </c>
      <c r="N39" s="279"/>
      <c r="O39" s="279"/>
      <c r="P39" s="279"/>
      <c r="Q39" s="279">
        <f t="shared" si="3"/>
        <v>45843547</v>
      </c>
      <c r="R39" s="270"/>
      <c r="S39" s="270"/>
      <c r="T39" s="266"/>
      <c r="U39" s="267"/>
    </row>
    <row r="40" spans="1:21" ht="12.75" x14ac:dyDescent="0.2">
      <c r="A40" s="265">
        <f t="shared" si="1"/>
        <v>26</v>
      </c>
      <c r="B40" s="270"/>
      <c r="C40" s="277">
        <v>378.1</v>
      </c>
      <c r="D40" s="270"/>
      <c r="E40" s="280" t="s">
        <v>1174</v>
      </c>
      <c r="F40" s="270"/>
      <c r="G40" s="1257">
        <v>250523.1</v>
      </c>
      <c r="H40" s="279"/>
      <c r="I40" s="279">
        <f t="shared" si="2"/>
        <v>263026</v>
      </c>
      <c r="J40" s="279"/>
      <c r="K40" s="279"/>
      <c r="L40" s="279"/>
      <c r="M40" s="1257">
        <v>263026</v>
      </c>
      <c r="N40" s="279"/>
      <c r="O40" s="279"/>
      <c r="P40" s="279"/>
      <c r="Q40" s="279">
        <f t="shared" si="3"/>
        <v>263026</v>
      </c>
      <c r="R40" s="270"/>
      <c r="S40" s="270"/>
      <c r="T40" s="266"/>
      <c r="U40" s="267"/>
    </row>
    <row r="41" spans="1:21" ht="12.75" x14ac:dyDescent="0.2">
      <c r="A41" s="265">
        <f t="shared" si="1"/>
        <v>27</v>
      </c>
      <c r="B41" s="270"/>
      <c r="C41" s="277">
        <v>378.2</v>
      </c>
      <c r="D41" s="270"/>
      <c r="E41" s="280" t="s">
        <v>1178</v>
      </c>
      <c r="F41" s="270"/>
      <c r="G41" s="1257">
        <v>4542334.07</v>
      </c>
      <c r="H41" s="279"/>
      <c r="I41" s="279">
        <f t="shared" si="2"/>
        <v>2223224</v>
      </c>
      <c r="J41" s="279"/>
      <c r="K41" s="279"/>
      <c r="L41" s="279"/>
      <c r="M41" s="1257">
        <v>2223224</v>
      </c>
      <c r="N41" s="279"/>
      <c r="O41" s="279"/>
      <c r="P41" s="279"/>
      <c r="Q41" s="279">
        <f t="shared" si="3"/>
        <v>2223224</v>
      </c>
      <c r="R41" s="270"/>
      <c r="S41" s="270"/>
      <c r="T41" s="266"/>
      <c r="U41" s="267"/>
    </row>
    <row r="42" spans="1:21" ht="12.75" x14ac:dyDescent="0.2">
      <c r="A42" s="265">
        <f t="shared" si="1"/>
        <v>28</v>
      </c>
      <c r="B42" s="270"/>
      <c r="C42" s="277">
        <v>378.3</v>
      </c>
      <c r="D42" s="270"/>
      <c r="E42" s="280" t="s">
        <v>1179</v>
      </c>
      <c r="F42" s="270"/>
      <c r="G42" s="1257">
        <v>45443.08</v>
      </c>
      <c r="H42" s="279"/>
      <c r="I42" s="279">
        <f t="shared" si="2"/>
        <v>27335</v>
      </c>
      <c r="J42" s="279"/>
      <c r="K42" s="279"/>
      <c r="L42" s="279"/>
      <c r="M42" s="1257">
        <v>27335</v>
      </c>
      <c r="N42" s="279"/>
      <c r="O42" s="279"/>
      <c r="P42" s="279"/>
      <c r="Q42" s="279">
        <f t="shared" si="3"/>
        <v>27335</v>
      </c>
      <c r="R42" s="270"/>
      <c r="S42" s="270"/>
      <c r="T42" s="266"/>
      <c r="U42" s="267"/>
    </row>
    <row r="43" spans="1:21" ht="12.75" x14ac:dyDescent="0.2">
      <c r="A43" s="265">
        <f t="shared" si="1"/>
        <v>29</v>
      </c>
      <c r="B43" s="270"/>
      <c r="C43" s="277">
        <v>379.1</v>
      </c>
      <c r="D43" s="270"/>
      <c r="E43" s="280" t="s">
        <v>1180</v>
      </c>
      <c r="F43" s="270"/>
      <c r="G43" s="1257">
        <v>257908.74</v>
      </c>
      <c r="H43" s="279"/>
      <c r="I43" s="279">
        <f t="shared" si="2"/>
        <v>261813</v>
      </c>
      <c r="J43" s="279"/>
      <c r="K43" s="279"/>
      <c r="L43" s="279"/>
      <c r="M43" s="1257">
        <v>261813</v>
      </c>
      <c r="N43" s="279"/>
      <c r="O43" s="279"/>
      <c r="P43" s="279"/>
      <c r="Q43" s="279">
        <f t="shared" si="3"/>
        <v>261813</v>
      </c>
      <c r="R43" s="270"/>
      <c r="S43" s="270"/>
      <c r="T43" s="266"/>
      <c r="U43" s="267"/>
    </row>
    <row r="44" spans="1:21" ht="12.75" x14ac:dyDescent="0.2">
      <c r="A44" s="265">
        <f t="shared" si="1"/>
        <v>30</v>
      </c>
      <c r="B44" s="270"/>
      <c r="C44" s="277">
        <v>380</v>
      </c>
      <c r="D44" s="270"/>
      <c r="E44" s="280" t="s">
        <v>1181</v>
      </c>
      <c r="F44" s="270"/>
      <c r="G44" s="1257">
        <v>80363819.980000004</v>
      </c>
      <c r="H44" s="279"/>
      <c r="I44" s="279">
        <f t="shared" si="2"/>
        <v>51026459</v>
      </c>
      <c r="J44" s="279"/>
      <c r="K44" s="279"/>
      <c r="L44" s="279"/>
      <c r="M44" s="1257">
        <v>51026459</v>
      </c>
      <c r="N44" s="279"/>
      <c r="O44" s="279"/>
      <c r="P44" s="279"/>
      <c r="Q44" s="279">
        <f t="shared" si="3"/>
        <v>51026459</v>
      </c>
      <c r="R44" s="270"/>
      <c r="S44" s="270"/>
      <c r="T44" s="266"/>
      <c r="U44" s="267"/>
    </row>
    <row r="45" spans="1:21" ht="12.75" x14ac:dyDescent="0.2">
      <c r="A45" s="265"/>
      <c r="B45" s="270"/>
      <c r="C45" s="277"/>
      <c r="D45" s="270"/>
      <c r="E45" s="280"/>
      <c r="F45" s="270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0"/>
      <c r="S45" s="270"/>
      <c r="T45" s="266"/>
      <c r="U45" s="267"/>
    </row>
    <row r="46" spans="1:21" ht="12.75" x14ac:dyDescent="0.2">
      <c r="A46" s="270"/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66"/>
      <c r="U46" s="267"/>
    </row>
    <row r="47" spans="1:21" ht="12.75" x14ac:dyDescent="0.2">
      <c r="A47" s="1400" t="s">
        <v>993</v>
      </c>
      <c r="B47" s="1400"/>
      <c r="C47" s="1400"/>
      <c r="D47" s="1400"/>
      <c r="E47" s="1400"/>
      <c r="F47" s="1400"/>
      <c r="G47" s="1400"/>
      <c r="H47" s="1400"/>
      <c r="I47" s="1400"/>
      <c r="J47" s="1400"/>
      <c r="K47" s="1400"/>
      <c r="L47" s="1400"/>
      <c r="M47" s="1400"/>
      <c r="N47" s="1400"/>
      <c r="O47" s="1400"/>
      <c r="P47" s="1400"/>
      <c r="Q47" s="1400"/>
      <c r="R47" s="270"/>
      <c r="S47" s="270"/>
      <c r="T47" s="266"/>
      <c r="U47" s="267"/>
    </row>
    <row r="48" spans="1:21" ht="12.75" x14ac:dyDescent="0.2">
      <c r="A48" s="1402" t="str">
        <f>+Input!C4</f>
        <v>CASE NO. 2017-xxxxx</v>
      </c>
      <c r="B48" s="1402"/>
      <c r="C48" s="1402"/>
      <c r="D48" s="1402"/>
      <c r="E48" s="1402"/>
      <c r="F48" s="1402"/>
      <c r="G48" s="1402"/>
      <c r="H48" s="1402"/>
      <c r="I48" s="1402"/>
      <c r="J48" s="1402"/>
      <c r="K48" s="1402"/>
      <c r="L48" s="1402"/>
      <c r="M48" s="1402"/>
      <c r="N48" s="1402"/>
      <c r="O48" s="1402"/>
      <c r="P48" s="1402"/>
      <c r="Q48" s="1402"/>
      <c r="R48" s="270"/>
      <c r="S48" s="270"/>
      <c r="T48" s="266"/>
      <c r="U48" s="267"/>
    </row>
    <row r="49" spans="1:21" ht="12.75" x14ac:dyDescent="0.2">
      <c r="A49" s="1400" t="s">
        <v>959</v>
      </c>
      <c r="B49" s="1400"/>
      <c r="C49" s="1400"/>
      <c r="D49" s="1400"/>
      <c r="E49" s="1400"/>
      <c r="F49" s="1400"/>
      <c r="G49" s="1400"/>
      <c r="H49" s="1400"/>
      <c r="I49" s="1400"/>
      <c r="J49" s="1400"/>
      <c r="K49" s="1400"/>
      <c r="L49" s="1400"/>
      <c r="M49" s="1400"/>
      <c r="N49" s="1400"/>
      <c r="O49" s="1400"/>
      <c r="P49" s="1400"/>
      <c r="Q49" s="1400"/>
      <c r="R49" s="270"/>
      <c r="S49" s="270"/>
      <c r="T49" s="266"/>
      <c r="U49" s="267"/>
    </row>
    <row r="50" spans="1:21" ht="12.75" x14ac:dyDescent="0.2">
      <c r="A50" s="1401" t="str">
        <f>+Input!C7</f>
        <v>AS OF DECEMBER 31, 2017</v>
      </c>
      <c r="B50" s="1401"/>
      <c r="C50" s="1401"/>
      <c r="D50" s="1401"/>
      <c r="E50" s="1401"/>
      <c r="F50" s="1401"/>
      <c r="G50" s="1401"/>
      <c r="H50" s="1401"/>
      <c r="I50" s="1401"/>
      <c r="J50" s="1401"/>
      <c r="K50" s="1401"/>
      <c r="L50" s="1401"/>
      <c r="M50" s="1401"/>
      <c r="N50" s="1401"/>
      <c r="O50" s="1401"/>
      <c r="P50" s="1401"/>
      <c r="Q50" s="1401"/>
      <c r="R50" s="270"/>
      <c r="S50" s="270"/>
      <c r="T50" s="266"/>
      <c r="U50" s="267"/>
    </row>
    <row r="51" spans="1:21" ht="12.75" x14ac:dyDescent="0.2">
      <c r="A51" s="269" t="s">
        <v>839</v>
      </c>
      <c r="B51" s="270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P51" s="270"/>
      <c r="Q51" s="271" t="s">
        <v>230</v>
      </c>
      <c r="R51" s="270"/>
      <c r="S51" s="270"/>
      <c r="T51" s="266"/>
      <c r="U51" s="267"/>
    </row>
    <row r="52" spans="1:21" ht="12.75" x14ac:dyDescent="0.2">
      <c r="A52" s="269" t="s">
        <v>490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P52" s="270"/>
      <c r="Q52" s="271" t="s">
        <v>1182</v>
      </c>
      <c r="R52" s="270"/>
      <c r="S52" s="270"/>
      <c r="T52" s="266"/>
      <c r="U52" s="267"/>
    </row>
    <row r="53" spans="1:21" ht="12.75" x14ac:dyDescent="0.2">
      <c r="A53" s="272" t="s">
        <v>840</v>
      </c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P53" s="270"/>
      <c r="Q53" s="271" t="str">
        <f>+Input!E27</f>
        <v>WITNESS:  C. Y. LAI</v>
      </c>
      <c r="R53" s="270"/>
      <c r="S53" s="270"/>
      <c r="T53" s="266"/>
      <c r="U53" s="267"/>
    </row>
    <row r="54" spans="1:21" ht="12.75" x14ac:dyDescent="0.2">
      <c r="A54" s="284"/>
      <c r="B54" s="273"/>
      <c r="C54" s="273"/>
      <c r="D54" s="273"/>
      <c r="E54" s="273"/>
      <c r="F54" s="273"/>
      <c r="G54" s="274" t="s">
        <v>739</v>
      </c>
      <c r="H54" s="273"/>
      <c r="I54" s="273"/>
      <c r="J54" s="273"/>
      <c r="K54" s="273"/>
      <c r="L54" s="273"/>
      <c r="M54" s="274" t="s">
        <v>234</v>
      </c>
      <c r="N54" s="273"/>
      <c r="O54" s="273"/>
      <c r="P54" s="273"/>
      <c r="Q54" s="273"/>
      <c r="R54" s="270"/>
      <c r="S54" s="270"/>
      <c r="T54" s="266"/>
      <c r="U54" s="267"/>
    </row>
    <row r="55" spans="1:21" ht="12.75" x14ac:dyDescent="0.2">
      <c r="A55" s="265" t="s">
        <v>493</v>
      </c>
      <c r="B55" s="270"/>
      <c r="C55" s="265" t="s">
        <v>1143</v>
      </c>
      <c r="D55" s="270"/>
      <c r="E55" s="270"/>
      <c r="F55" s="270"/>
      <c r="G55" s="265" t="s">
        <v>1148</v>
      </c>
      <c r="H55" s="270"/>
      <c r="I55" s="265" t="s">
        <v>525</v>
      </c>
      <c r="J55" s="270"/>
      <c r="K55" s="265" t="s">
        <v>523</v>
      </c>
      <c r="L55" s="270"/>
      <c r="M55" s="265" t="s">
        <v>523</v>
      </c>
      <c r="N55" s="270"/>
      <c r="O55" s="270"/>
      <c r="P55" s="270"/>
      <c r="Q55" s="265" t="s">
        <v>834</v>
      </c>
      <c r="R55" s="270"/>
      <c r="S55" s="270"/>
      <c r="T55" s="266"/>
      <c r="U55" s="267"/>
    </row>
    <row r="56" spans="1:21" ht="12.75" x14ac:dyDescent="0.2">
      <c r="A56" s="265" t="s">
        <v>496</v>
      </c>
      <c r="B56" s="270"/>
      <c r="C56" s="265" t="s">
        <v>496</v>
      </c>
      <c r="D56" s="270"/>
      <c r="E56" s="265" t="s">
        <v>235</v>
      </c>
      <c r="F56" s="270"/>
      <c r="G56" s="265" t="s">
        <v>236</v>
      </c>
      <c r="H56" s="270"/>
      <c r="I56" s="265" t="s">
        <v>982</v>
      </c>
      <c r="J56" s="270"/>
      <c r="K56" s="265" t="s">
        <v>983</v>
      </c>
      <c r="L56" s="270"/>
      <c r="M56" s="265" t="s">
        <v>525</v>
      </c>
      <c r="N56" s="270"/>
      <c r="O56" s="265" t="s">
        <v>842</v>
      </c>
      <c r="P56" s="270"/>
      <c r="Q56" s="265" t="s">
        <v>531</v>
      </c>
      <c r="R56" s="270"/>
      <c r="S56" s="270"/>
      <c r="T56" s="266"/>
      <c r="U56" s="267"/>
    </row>
    <row r="57" spans="1:21" ht="12.75" x14ac:dyDescent="0.2">
      <c r="A57" s="275" t="s">
        <v>1746</v>
      </c>
      <c r="B57" s="276"/>
      <c r="C57" s="275" t="s">
        <v>1747</v>
      </c>
      <c r="D57" s="276"/>
      <c r="E57" s="275" t="s">
        <v>1748</v>
      </c>
      <c r="F57" s="276"/>
      <c r="G57" s="275" t="s">
        <v>1749</v>
      </c>
      <c r="H57" s="276"/>
      <c r="I57" s="275" t="s">
        <v>136</v>
      </c>
      <c r="J57" s="276"/>
      <c r="K57" s="275" t="s">
        <v>1751</v>
      </c>
      <c r="L57" s="276"/>
      <c r="M57" s="275" t="s">
        <v>180</v>
      </c>
      <c r="N57" s="276"/>
      <c r="O57" s="275" t="s">
        <v>237</v>
      </c>
      <c r="P57" s="276"/>
      <c r="Q57" s="275" t="s">
        <v>238</v>
      </c>
      <c r="R57" s="270"/>
      <c r="S57" s="270"/>
      <c r="T57" s="266"/>
      <c r="U57" s="267"/>
    </row>
    <row r="58" spans="1:21" ht="12.75" x14ac:dyDescent="0.2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66"/>
      <c r="U58" s="267"/>
    </row>
    <row r="59" spans="1:21" ht="12.75" x14ac:dyDescent="0.2">
      <c r="A59" s="265">
        <v>1</v>
      </c>
      <c r="B59" s="270"/>
      <c r="C59" s="277">
        <v>381</v>
      </c>
      <c r="D59" s="270"/>
      <c r="E59" s="280" t="s">
        <v>1183</v>
      </c>
      <c r="F59" s="270"/>
      <c r="G59" s="1257">
        <v>11782894.09</v>
      </c>
      <c r="H59" s="279"/>
      <c r="I59" s="279">
        <f t="shared" ref="I59:I69" si="4">Q59</f>
        <v>4064067</v>
      </c>
      <c r="J59" s="279"/>
      <c r="K59" s="279"/>
      <c r="L59" s="279"/>
      <c r="M59" s="1257">
        <v>4064067</v>
      </c>
      <c r="N59" s="279"/>
      <c r="O59" s="279"/>
      <c r="P59" s="279"/>
      <c r="Q59" s="279">
        <f t="shared" ref="Q59:Q69" si="5">+M59+O59</f>
        <v>4064067</v>
      </c>
      <c r="R59" s="270"/>
      <c r="S59" s="270"/>
      <c r="T59" s="266"/>
      <c r="U59" s="267"/>
    </row>
    <row r="60" spans="1:21" ht="12.75" x14ac:dyDescent="0.2">
      <c r="A60" s="265">
        <f t="shared" ref="A60:A70" si="6">A59+1</f>
        <v>2</v>
      </c>
      <c r="B60" s="270"/>
      <c r="C60" s="277">
        <v>382</v>
      </c>
      <c r="D60" s="270"/>
      <c r="E60" s="280" t="s">
        <v>1186</v>
      </c>
      <c r="F60" s="270"/>
      <c r="G60" s="1257">
        <v>7818665.0999999996</v>
      </c>
      <c r="H60" s="279"/>
      <c r="I60" s="279">
        <f t="shared" si="4"/>
        <v>3356529</v>
      </c>
      <c r="J60" s="279"/>
      <c r="K60" s="279"/>
      <c r="L60" s="279"/>
      <c r="M60" s="1257">
        <v>3356529</v>
      </c>
      <c r="N60" s="279"/>
      <c r="O60" s="279"/>
      <c r="P60" s="279"/>
      <c r="Q60" s="279">
        <f t="shared" si="5"/>
        <v>3356529</v>
      </c>
      <c r="R60" s="270"/>
      <c r="S60" s="270"/>
      <c r="T60" s="266"/>
      <c r="U60" s="267"/>
    </row>
    <row r="61" spans="1:21" ht="12.75" x14ac:dyDescent="0.2">
      <c r="A61" s="265">
        <f t="shared" si="6"/>
        <v>3</v>
      </c>
      <c r="B61" s="270"/>
      <c r="C61" s="277">
        <v>383</v>
      </c>
      <c r="D61" s="270"/>
      <c r="E61" s="280" t="s">
        <v>1190</v>
      </c>
      <c r="F61" s="270"/>
      <c r="G61" s="1257">
        <v>3575312.32</v>
      </c>
      <c r="H61" s="279"/>
      <c r="I61" s="279">
        <f t="shared" si="4"/>
        <v>1027633</v>
      </c>
      <c r="J61" s="279"/>
      <c r="K61" s="279"/>
      <c r="L61" s="279"/>
      <c r="M61" s="1257">
        <v>1027633</v>
      </c>
      <c r="N61" s="279"/>
      <c r="O61" s="279"/>
      <c r="P61" s="279"/>
      <c r="Q61" s="279">
        <f t="shared" si="5"/>
        <v>1027633</v>
      </c>
      <c r="R61" s="270"/>
      <c r="S61" s="270"/>
      <c r="T61" s="266"/>
      <c r="U61" s="267"/>
    </row>
    <row r="62" spans="1:21" ht="12.75" x14ac:dyDescent="0.2">
      <c r="A62" s="265">
        <f t="shared" si="6"/>
        <v>4</v>
      </c>
      <c r="B62" s="270"/>
      <c r="C62" s="277">
        <v>384</v>
      </c>
      <c r="D62" s="270"/>
      <c r="E62" s="280" t="s">
        <v>1191</v>
      </c>
      <c r="F62" s="270"/>
      <c r="G62" s="1257">
        <v>2327988.3199999998</v>
      </c>
      <c r="H62" s="279"/>
      <c r="I62" s="279">
        <f t="shared" si="4"/>
        <v>1640703</v>
      </c>
      <c r="J62" s="279"/>
      <c r="K62" s="279"/>
      <c r="L62" s="279"/>
      <c r="M62" s="1257">
        <v>1640703</v>
      </c>
      <c r="N62" s="279"/>
      <c r="O62" s="279"/>
      <c r="P62" s="279"/>
      <c r="Q62" s="279">
        <f t="shared" si="5"/>
        <v>1640703</v>
      </c>
      <c r="R62" s="270"/>
      <c r="S62" s="270"/>
      <c r="T62" s="266"/>
      <c r="U62" s="267"/>
    </row>
    <row r="63" spans="1:21" ht="12.75" x14ac:dyDescent="0.2">
      <c r="A63" s="265">
        <f t="shared" si="6"/>
        <v>5</v>
      </c>
      <c r="B63" s="270"/>
      <c r="C63" s="277">
        <v>385</v>
      </c>
      <c r="D63" s="270"/>
      <c r="E63" s="280" t="s">
        <v>1192</v>
      </c>
      <c r="F63" s="270"/>
      <c r="G63" s="1257">
        <v>2717196.56</v>
      </c>
      <c r="H63" s="279"/>
      <c r="I63" s="279">
        <f t="shared" si="4"/>
        <v>933051</v>
      </c>
      <c r="J63" s="279"/>
      <c r="K63" s="279"/>
      <c r="L63" s="279"/>
      <c r="M63" s="1257">
        <v>933051</v>
      </c>
      <c r="N63" s="279"/>
      <c r="O63" s="279"/>
      <c r="P63" s="279"/>
      <c r="Q63" s="279">
        <f t="shared" si="5"/>
        <v>933051</v>
      </c>
      <c r="R63" s="270"/>
      <c r="S63" s="270"/>
      <c r="T63" s="266"/>
      <c r="U63" s="267"/>
    </row>
    <row r="64" spans="1:21" ht="12.75" x14ac:dyDescent="0.2">
      <c r="A64" s="265">
        <f t="shared" si="6"/>
        <v>6</v>
      </c>
      <c r="B64" s="270"/>
      <c r="C64" s="277">
        <v>387.2</v>
      </c>
      <c r="D64" s="270"/>
      <c r="E64" s="280" t="s">
        <v>1193</v>
      </c>
      <c r="F64" s="270"/>
      <c r="G64" s="1257">
        <v>28895</v>
      </c>
      <c r="H64" s="279"/>
      <c r="I64" s="279">
        <f t="shared" si="4"/>
        <v>-33290</v>
      </c>
      <c r="J64" s="279"/>
      <c r="K64" s="279"/>
      <c r="L64" s="279"/>
      <c r="M64" s="1257">
        <v>-33290</v>
      </c>
      <c r="N64" s="279"/>
      <c r="O64" s="279"/>
      <c r="P64" s="279"/>
      <c r="Q64" s="279">
        <f t="shared" si="5"/>
        <v>-33290</v>
      </c>
      <c r="R64" s="270"/>
      <c r="S64" s="270"/>
      <c r="T64" s="266"/>
      <c r="U64" s="267"/>
    </row>
    <row r="65" spans="1:21" ht="12.75" x14ac:dyDescent="0.2">
      <c r="A65" s="265">
        <f t="shared" si="6"/>
        <v>7</v>
      </c>
      <c r="B65" s="270"/>
      <c r="C65" s="277">
        <v>387.41</v>
      </c>
      <c r="D65" s="270"/>
      <c r="E65" s="280" t="s">
        <v>1194</v>
      </c>
      <c r="F65" s="270"/>
      <c r="G65" s="1257">
        <v>711152.01</v>
      </c>
      <c r="H65" s="279"/>
      <c r="I65" s="279">
        <f t="shared" si="4"/>
        <v>243858</v>
      </c>
      <c r="J65" s="279"/>
      <c r="K65" s="279"/>
      <c r="L65" s="279"/>
      <c r="M65" s="1257">
        <v>243858</v>
      </c>
      <c r="N65" s="279"/>
      <c r="O65" s="279"/>
      <c r="P65" s="279"/>
      <c r="Q65" s="279">
        <f t="shared" si="5"/>
        <v>243858</v>
      </c>
      <c r="R65" s="270"/>
      <c r="S65" s="270"/>
      <c r="T65" s="266"/>
      <c r="U65" s="267"/>
    </row>
    <row r="66" spans="1:21" ht="12.75" x14ac:dyDescent="0.2">
      <c r="A66" s="265">
        <f t="shared" si="6"/>
        <v>8</v>
      </c>
      <c r="B66" s="270"/>
      <c r="C66" s="277">
        <v>387.42</v>
      </c>
      <c r="D66" s="270"/>
      <c r="E66" s="280" t="s">
        <v>1195</v>
      </c>
      <c r="F66" s="270"/>
      <c r="G66" s="1257">
        <v>872759.08</v>
      </c>
      <c r="H66" s="279"/>
      <c r="I66" s="279">
        <f t="shared" si="4"/>
        <v>498444</v>
      </c>
      <c r="J66" s="279"/>
      <c r="K66" s="279"/>
      <c r="L66" s="279"/>
      <c r="M66" s="1257">
        <v>498444</v>
      </c>
      <c r="N66" s="279"/>
      <c r="O66" s="279"/>
      <c r="P66" s="279"/>
      <c r="Q66" s="279">
        <f t="shared" si="5"/>
        <v>498444</v>
      </c>
      <c r="R66" s="270"/>
      <c r="S66" s="270"/>
      <c r="T66" s="266"/>
      <c r="U66" s="267"/>
    </row>
    <row r="67" spans="1:21" ht="12.75" x14ac:dyDescent="0.2">
      <c r="A67" s="265">
        <f t="shared" si="6"/>
        <v>9</v>
      </c>
      <c r="B67" s="270"/>
      <c r="C67" s="277">
        <v>387.44</v>
      </c>
      <c r="D67" s="270"/>
      <c r="E67" s="280" t="s">
        <v>1196</v>
      </c>
      <c r="F67" s="270"/>
      <c r="G67" s="1257">
        <v>169912.74</v>
      </c>
      <c r="H67" s="279"/>
      <c r="I67" s="279">
        <f t="shared" si="4"/>
        <v>57471</v>
      </c>
      <c r="J67" s="279"/>
      <c r="K67" s="279"/>
      <c r="L67" s="279"/>
      <c r="M67" s="1257">
        <v>57471</v>
      </c>
      <c r="N67" s="279"/>
      <c r="O67" s="279"/>
      <c r="P67" s="279"/>
      <c r="Q67" s="279">
        <f t="shared" si="5"/>
        <v>57471</v>
      </c>
      <c r="R67" s="270"/>
      <c r="S67" s="270"/>
      <c r="T67" s="266"/>
      <c r="U67" s="267"/>
    </row>
    <row r="68" spans="1:21" ht="12.75" x14ac:dyDescent="0.2">
      <c r="A68" s="265">
        <f t="shared" si="6"/>
        <v>10</v>
      </c>
      <c r="B68" s="270"/>
      <c r="C68" s="277">
        <v>387.45</v>
      </c>
      <c r="D68" s="270"/>
      <c r="E68" s="280" t="s">
        <v>1197</v>
      </c>
      <c r="F68" s="270"/>
      <c r="G68" s="1257">
        <v>1343593.93</v>
      </c>
      <c r="H68" s="279"/>
      <c r="I68" s="279">
        <f t="shared" si="4"/>
        <v>427837</v>
      </c>
      <c r="J68" s="279"/>
      <c r="K68" s="279"/>
      <c r="L68" s="279"/>
      <c r="M68" s="1257">
        <v>427837</v>
      </c>
      <c r="N68" s="279"/>
      <c r="O68" s="279"/>
      <c r="P68" s="279"/>
      <c r="Q68" s="279">
        <f t="shared" si="5"/>
        <v>427837</v>
      </c>
      <c r="R68" s="270"/>
      <c r="S68" s="270"/>
      <c r="T68" s="266"/>
      <c r="U68" s="267"/>
    </row>
    <row r="69" spans="1:21" ht="12.75" x14ac:dyDescent="0.2">
      <c r="A69" s="265">
        <f t="shared" si="6"/>
        <v>11</v>
      </c>
      <c r="B69" s="270"/>
      <c r="C69" s="277">
        <v>387.46</v>
      </c>
      <c r="D69" s="270"/>
      <c r="E69" s="280" t="s">
        <v>1198</v>
      </c>
      <c r="F69" s="270"/>
      <c r="G69" s="1258">
        <v>127354.97</v>
      </c>
      <c r="H69" s="279"/>
      <c r="I69" s="282">
        <f t="shared" si="4"/>
        <v>103342</v>
      </c>
      <c r="J69" s="279"/>
      <c r="K69" s="279"/>
      <c r="L69" s="279"/>
      <c r="M69" s="1258">
        <v>103342</v>
      </c>
      <c r="N69" s="279"/>
      <c r="O69" s="283"/>
      <c r="P69" s="279"/>
      <c r="Q69" s="282">
        <f t="shared" si="5"/>
        <v>103342</v>
      </c>
      <c r="R69" s="270"/>
      <c r="S69" s="270"/>
      <c r="T69" s="266"/>
      <c r="U69" s="267"/>
    </row>
    <row r="70" spans="1:21" ht="12.75" x14ac:dyDescent="0.2">
      <c r="A70" s="265">
        <f t="shared" si="6"/>
        <v>12</v>
      </c>
      <c r="B70" s="270"/>
      <c r="C70" s="277"/>
      <c r="D70" s="270"/>
      <c r="E70" s="280" t="s">
        <v>1199</v>
      </c>
      <c r="F70" s="270"/>
      <c r="G70" s="279">
        <f>SUM(G28:G69)</f>
        <v>265567790.02000004</v>
      </c>
      <c r="H70" s="279"/>
      <c r="I70" s="279">
        <f>SUM(I28:I69)</f>
        <v>115282107</v>
      </c>
      <c r="J70" s="279"/>
      <c r="K70" s="279"/>
      <c r="L70" s="279"/>
      <c r="M70" s="279">
        <f>SUM(M28:M69)</f>
        <v>115282107</v>
      </c>
      <c r="N70" s="279"/>
      <c r="O70" s="279"/>
      <c r="P70" s="279"/>
      <c r="Q70" s="279">
        <f>SUM(Q28:Q69)</f>
        <v>115282107</v>
      </c>
      <c r="R70" s="270"/>
      <c r="S70" s="270"/>
      <c r="T70" s="266"/>
      <c r="U70" s="267"/>
    </row>
    <row r="71" spans="1:21" ht="12.75" x14ac:dyDescent="0.2">
      <c r="A71" s="265"/>
      <c r="B71" s="270"/>
      <c r="C71" s="277"/>
      <c r="D71" s="270"/>
      <c r="E71" s="277"/>
      <c r="F71" s="270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0"/>
      <c r="S71" s="270"/>
      <c r="T71" s="266"/>
      <c r="U71" s="267"/>
    </row>
    <row r="72" spans="1:21" ht="12.75" x14ac:dyDescent="0.2">
      <c r="A72" s="265">
        <f>A70+1</f>
        <v>13</v>
      </c>
      <c r="B72" s="270"/>
      <c r="C72" s="277"/>
      <c r="D72" s="270"/>
      <c r="E72" s="278" t="s">
        <v>1200</v>
      </c>
      <c r="F72" s="270"/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0"/>
      <c r="S72" s="270"/>
      <c r="T72" s="266"/>
      <c r="U72" s="267"/>
    </row>
    <row r="73" spans="1:21" ht="12.75" x14ac:dyDescent="0.2">
      <c r="A73" s="265">
        <f t="shared" ref="A73:A86" si="7">A72+1</f>
        <v>14</v>
      </c>
      <c r="B73" s="270"/>
      <c r="C73" s="277">
        <v>391.1</v>
      </c>
      <c r="D73" s="270"/>
      <c r="E73" s="280" t="s">
        <v>1201</v>
      </c>
      <c r="F73" s="270"/>
      <c r="G73" s="1257">
        <v>1213530.1100000001</v>
      </c>
      <c r="H73" s="279"/>
      <c r="I73" s="279">
        <f t="shared" ref="I73:I85" si="8">Q73</f>
        <v>587724</v>
      </c>
      <c r="J73" s="279"/>
      <c r="K73" s="279"/>
      <c r="L73" s="279"/>
      <c r="M73" s="1257">
        <v>587724</v>
      </c>
      <c r="N73" s="279"/>
      <c r="O73" s="279"/>
      <c r="P73" s="279"/>
      <c r="Q73" s="279">
        <f t="shared" ref="Q73:Q85" si="9">+M73+O73</f>
        <v>587724</v>
      </c>
      <c r="R73" s="270"/>
      <c r="S73" s="270"/>
      <c r="T73" s="266"/>
      <c r="U73" s="267"/>
    </row>
    <row r="74" spans="1:21" ht="12.75" x14ac:dyDescent="0.2">
      <c r="A74" s="265">
        <f t="shared" si="7"/>
        <v>15</v>
      </c>
      <c r="B74" s="270"/>
      <c r="C74" s="277">
        <v>391.11</v>
      </c>
      <c r="D74" s="270"/>
      <c r="E74" s="280" t="s">
        <v>1202</v>
      </c>
      <c r="F74" s="270"/>
      <c r="G74" s="1257">
        <v>13816.01</v>
      </c>
      <c r="H74" s="279"/>
      <c r="I74" s="279">
        <f t="shared" si="8"/>
        <v>-24393</v>
      </c>
      <c r="J74" s="279"/>
      <c r="K74" s="279"/>
      <c r="L74" s="279"/>
      <c r="M74" s="1257">
        <v>-24393</v>
      </c>
      <c r="N74" s="279"/>
      <c r="O74" s="279"/>
      <c r="P74" s="279"/>
      <c r="Q74" s="279">
        <f t="shared" si="9"/>
        <v>-24393</v>
      </c>
      <c r="R74" s="270"/>
      <c r="S74" s="270"/>
      <c r="T74" s="266"/>
      <c r="U74" s="267"/>
    </row>
    <row r="75" spans="1:21" ht="12.75" x14ac:dyDescent="0.2">
      <c r="A75" s="265">
        <f t="shared" si="7"/>
        <v>16</v>
      </c>
      <c r="B75" s="270"/>
      <c r="C75" s="277">
        <v>391.12</v>
      </c>
      <c r="D75" s="270"/>
      <c r="E75" s="280" t="s">
        <v>1204</v>
      </c>
      <c r="F75" s="270"/>
      <c r="G75" s="1257">
        <v>269713.82</v>
      </c>
      <c r="H75" s="279"/>
      <c r="I75" s="279">
        <f t="shared" si="8"/>
        <v>260990</v>
      </c>
      <c r="J75" s="279"/>
      <c r="K75" s="279"/>
      <c r="L75" s="279"/>
      <c r="M75" s="1257">
        <v>260990</v>
      </c>
      <c r="N75" s="279"/>
      <c r="O75" s="279"/>
      <c r="P75" s="279"/>
      <c r="Q75" s="279">
        <f t="shared" si="9"/>
        <v>260990</v>
      </c>
      <c r="R75" s="270"/>
      <c r="S75" s="270"/>
      <c r="T75" s="266"/>
      <c r="U75" s="267"/>
    </row>
    <row r="76" spans="1:21" ht="12.75" x14ac:dyDescent="0.2">
      <c r="A76" s="265">
        <f t="shared" si="7"/>
        <v>17</v>
      </c>
      <c r="B76" s="270"/>
      <c r="C76" s="277">
        <v>392.2</v>
      </c>
      <c r="D76" s="270"/>
      <c r="E76" s="280" t="s">
        <v>1228</v>
      </c>
      <c r="F76" s="270"/>
      <c r="G76" s="1257">
        <v>113219.98</v>
      </c>
      <c r="H76" s="279"/>
      <c r="I76" s="279">
        <f t="shared" si="8"/>
        <v>40213</v>
      </c>
      <c r="J76" s="279"/>
      <c r="K76" s="279"/>
      <c r="L76" s="279"/>
      <c r="M76" s="1257">
        <v>40213</v>
      </c>
      <c r="N76" s="279"/>
      <c r="O76" s="279"/>
      <c r="P76" s="279"/>
      <c r="Q76" s="279">
        <f t="shared" si="9"/>
        <v>40213</v>
      </c>
      <c r="R76" s="270"/>
      <c r="S76" s="270"/>
      <c r="T76" s="266"/>
      <c r="U76" s="267"/>
    </row>
    <row r="77" spans="1:21" ht="12.75" x14ac:dyDescent="0.2">
      <c r="A77" s="265">
        <f t="shared" si="7"/>
        <v>18</v>
      </c>
      <c r="B77" s="270"/>
      <c r="C77" s="277">
        <v>392.21</v>
      </c>
      <c r="D77" s="270"/>
      <c r="E77" s="280" t="s">
        <v>1205</v>
      </c>
      <c r="F77" s="270"/>
      <c r="G77" s="1257">
        <v>3398.75</v>
      </c>
      <c r="H77" s="279"/>
      <c r="I77" s="279">
        <f t="shared" si="8"/>
        <v>3399</v>
      </c>
      <c r="J77" s="279"/>
      <c r="K77" s="279"/>
      <c r="L77" s="279"/>
      <c r="M77" s="1257">
        <v>3399</v>
      </c>
      <c r="N77" s="279"/>
      <c r="O77" s="279"/>
      <c r="P77" s="279"/>
      <c r="Q77" s="279">
        <f t="shared" si="9"/>
        <v>3399</v>
      </c>
      <c r="R77" s="270"/>
      <c r="S77" s="270"/>
      <c r="T77" s="266"/>
      <c r="U77" s="267"/>
    </row>
    <row r="78" spans="1:21" ht="12.75" x14ac:dyDescent="0.2">
      <c r="A78" s="265">
        <f t="shared" si="7"/>
        <v>19</v>
      </c>
      <c r="B78" s="270"/>
      <c r="C78" s="277">
        <v>393</v>
      </c>
      <c r="D78" s="270"/>
      <c r="E78" s="280" t="s">
        <v>1206</v>
      </c>
      <c r="F78" s="270"/>
      <c r="G78" s="1257">
        <v>0</v>
      </c>
      <c r="H78" s="279"/>
      <c r="I78" s="279">
        <f t="shared" si="8"/>
        <v>833</v>
      </c>
      <c r="J78" s="279"/>
      <c r="K78" s="279"/>
      <c r="L78" s="279"/>
      <c r="M78" s="1257">
        <v>833</v>
      </c>
      <c r="N78" s="279"/>
      <c r="O78" s="279"/>
      <c r="P78" s="279"/>
      <c r="Q78" s="279">
        <f t="shared" si="9"/>
        <v>833</v>
      </c>
      <c r="R78" s="270"/>
      <c r="S78" s="270"/>
      <c r="T78" s="266"/>
      <c r="U78" s="267"/>
    </row>
    <row r="79" spans="1:21" ht="12.75" x14ac:dyDescent="0.2">
      <c r="A79" s="265">
        <f t="shared" si="7"/>
        <v>20</v>
      </c>
      <c r="B79" s="270"/>
      <c r="C79" s="277">
        <v>394.1</v>
      </c>
      <c r="D79" s="270"/>
      <c r="E79" s="280" t="s">
        <v>1213</v>
      </c>
      <c r="F79" s="270"/>
      <c r="G79" s="1257">
        <v>26580.01</v>
      </c>
      <c r="H79" s="279"/>
      <c r="I79" s="279">
        <f>Q79</f>
        <v>4816</v>
      </c>
      <c r="J79" s="279"/>
      <c r="K79" s="279"/>
      <c r="L79" s="279"/>
      <c r="M79" s="1257">
        <v>4816</v>
      </c>
      <c r="N79" s="279"/>
      <c r="O79" s="279"/>
      <c r="P79" s="279"/>
      <c r="Q79" s="279">
        <f t="shared" si="9"/>
        <v>4816</v>
      </c>
      <c r="R79" s="270"/>
      <c r="S79" s="270"/>
      <c r="T79" s="266"/>
      <c r="U79" s="267"/>
    </row>
    <row r="80" spans="1:21" ht="12.75" x14ac:dyDescent="0.2">
      <c r="A80" s="265">
        <f t="shared" si="7"/>
        <v>21</v>
      </c>
      <c r="B80" s="270"/>
      <c r="C80" s="277">
        <v>394.11</v>
      </c>
      <c r="D80" s="270"/>
      <c r="E80" s="280" t="s">
        <v>1214</v>
      </c>
      <c r="F80" s="270"/>
      <c r="G80" s="1257">
        <v>335308.07</v>
      </c>
      <c r="H80" s="279"/>
      <c r="I80" s="279">
        <f>Q80</f>
        <v>208194</v>
      </c>
      <c r="J80" s="279"/>
      <c r="K80" s="279"/>
      <c r="L80" s="279"/>
      <c r="M80" s="1257">
        <v>208194</v>
      </c>
      <c r="N80" s="279"/>
      <c r="O80" s="279"/>
      <c r="P80" s="279"/>
      <c r="Q80" s="279">
        <f t="shared" si="9"/>
        <v>208194</v>
      </c>
      <c r="R80" s="270"/>
      <c r="S80" s="270"/>
      <c r="T80" s="266"/>
      <c r="U80" s="267"/>
    </row>
    <row r="81" spans="1:21" ht="12.75" x14ac:dyDescent="0.2">
      <c r="A81" s="265">
        <f t="shared" si="7"/>
        <v>22</v>
      </c>
      <c r="B81" s="270"/>
      <c r="C81" s="277">
        <v>394.2</v>
      </c>
      <c r="D81" s="270"/>
      <c r="E81" s="280" t="s">
        <v>1215</v>
      </c>
      <c r="F81" s="270"/>
      <c r="G81" s="1257">
        <v>0</v>
      </c>
      <c r="H81" s="279"/>
      <c r="I81" s="279">
        <f t="shared" si="8"/>
        <v>0</v>
      </c>
      <c r="J81" s="279"/>
      <c r="K81" s="279"/>
      <c r="L81" s="279"/>
      <c r="M81" s="1257">
        <v>0</v>
      </c>
      <c r="N81" s="279"/>
      <c r="O81" s="279"/>
      <c r="P81" s="279"/>
      <c r="Q81" s="279">
        <f t="shared" si="9"/>
        <v>0</v>
      </c>
      <c r="R81" s="270"/>
      <c r="S81" s="270"/>
      <c r="T81" s="266"/>
      <c r="U81" s="267"/>
    </row>
    <row r="82" spans="1:21" ht="12.75" x14ac:dyDescent="0.2">
      <c r="A82" s="265">
        <f t="shared" si="7"/>
        <v>23</v>
      </c>
      <c r="B82" s="270"/>
      <c r="C82" s="277">
        <v>394.3</v>
      </c>
      <c r="D82" s="270"/>
      <c r="E82" s="280" t="s">
        <v>1216</v>
      </c>
      <c r="F82" s="270"/>
      <c r="G82" s="1257">
        <v>1948106.19</v>
      </c>
      <c r="H82" s="279"/>
      <c r="I82" s="279">
        <f t="shared" si="8"/>
        <v>982150</v>
      </c>
      <c r="J82" s="279"/>
      <c r="K82" s="279"/>
      <c r="L82" s="279"/>
      <c r="M82" s="1257">
        <v>982150</v>
      </c>
      <c r="N82" s="279"/>
      <c r="O82" s="279"/>
      <c r="P82" s="279"/>
      <c r="Q82" s="279">
        <f t="shared" si="9"/>
        <v>982150</v>
      </c>
      <c r="R82" s="270"/>
      <c r="S82" s="270"/>
      <c r="T82" s="266"/>
      <c r="U82" s="267"/>
    </row>
    <row r="83" spans="1:21" ht="12.75" x14ac:dyDescent="0.2">
      <c r="A83" s="265">
        <f t="shared" si="7"/>
        <v>24</v>
      </c>
      <c r="B83" s="270"/>
      <c r="C83" s="277">
        <v>395</v>
      </c>
      <c r="D83" s="270"/>
      <c r="E83" s="280" t="s">
        <v>1217</v>
      </c>
      <c r="F83" s="270"/>
      <c r="G83" s="1257">
        <v>10307.98</v>
      </c>
      <c r="H83" s="279"/>
      <c r="I83" s="279">
        <f t="shared" si="8"/>
        <v>4695</v>
      </c>
      <c r="J83" s="279"/>
      <c r="K83" s="279"/>
      <c r="L83" s="279"/>
      <c r="M83" s="1257">
        <v>4695</v>
      </c>
      <c r="N83" s="279"/>
      <c r="O83" s="279"/>
      <c r="P83" s="279"/>
      <c r="Q83" s="279">
        <f t="shared" si="9"/>
        <v>4695</v>
      </c>
      <c r="R83" s="270"/>
      <c r="S83" s="270"/>
      <c r="T83" s="266"/>
      <c r="U83" s="267"/>
    </row>
    <row r="84" spans="1:21" ht="12.75" x14ac:dyDescent="0.2">
      <c r="A84" s="265">
        <f t="shared" si="7"/>
        <v>25</v>
      </c>
      <c r="B84" s="270"/>
      <c r="C84" s="277">
        <v>396</v>
      </c>
      <c r="D84" s="270"/>
      <c r="E84" s="280" t="s">
        <v>1218</v>
      </c>
      <c r="F84" s="270"/>
      <c r="G84" s="1257">
        <v>653814.37</v>
      </c>
      <c r="H84" s="279"/>
      <c r="I84" s="279">
        <f t="shared" si="8"/>
        <v>552542</v>
      </c>
      <c r="J84" s="279"/>
      <c r="K84" s="279"/>
      <c r="L84" s="279"/>
      <c r="M84" s="1257">
        <v>552542</v>
      </c>
      <c r="N84" s="279"/>
      <c r="O84" s="279"/>
      <c r="P84" s="279"/>
      <c r="Q84" s="279">
        <f t="shared" si="9"/>
        <v>552542</v>
      </c>
      <c r="R84" s="270"/>
      <c r="S84" s="270"/>
      <c r="T84" s="266"/>
      <c r="U84" s="267"/>
    </row>
    <row r="85" spans="1:21" ht="12.75" x14ac:dyDescent="0.2">
      <c r="A85" s="265">
        <f t="shared" si="7"/>
        <v>26</v>
      </c>
      <c r="B85" s="270"/>
      <c r="C85" s="277">
        <v>398</v>
      </c>
      <c r="D85" s="270"/>
      <c r="E85" s="280" t="s">
        <v>1219</v>
      </c>
      <c r="F85" s="270"/>
      <c r="G85" s="1258">
        <v>78932.17</v>
      </c>
      <c r="H85" s="279"/>
      <c r="I85" s="282">
        <f t="shared" si="8"/>
        <v>39135</v>
      </c>
      <c r="J85" s="279"/>
      <c r="K85" s="279"/>
      <c r="L85" s="279"/>
      <c r="M85" s="1258">
        <v>39135</v>
      </c>
      <c r="N85" s="279"/>
      <c r="O85" s="283"/>
      <c r="P85" s="279"/>
      <c r="Q85" s="282">
        <f t="shared" si="9"/>
        <v>39135</v>
      </c>
      <c r="R85" s="270"/>
      <c r="S85" s="270"/>
      <c r="T85" s="266"/>
      <c r="U85" s="267"/>
    </row>
    <row r="86" spans="1:21" ht="12.75" x14ac:dyDescent="0.2">
      <c r="A86" s="265">
        <f t="shared" si="7"/>
        <v>27</v>
      </c>
      <c r="B86" s="270"/>
      <c r="C86" s="277"/>
      <c r="D86" s="270"/>
      <c r="E86" s="280" t="s">
        <v>1220</v>
      </c>
      <c r="F86" s="270"/>
      <c r="G86" s="279">
        <f>SUM(G73:G85)</f>
        <v>4666727.46</v>
      </c>
      <c r="H86" s="279"/>
      <c r="I86" s="279">
        <f>SUM(I73:I85)</f>
        <v>2660298</v>
      </c>
      <c r="J86" s="279"/>
      <c r="K86" s="279"/>
      <c r="L86" s="279"/>
      <c r="M86" s="279">
        <f>SUM(M73:M85)</f>
        <v>2660298</v>
      </c>
      <c r="N86" s="279"/>
      <c r="O86" s="279"/>
      <c r="P86" s="279"/>
      <c r="Q86" s="279">
        <f>SUM(Q73:Q85)</f>
        <v>2660298</v>
      </c>
      <c r="R86" s="270"/>
      <c r="S86" s="270"/>
      <c r="T86" s="266"/>
      <c r="U86" s="267"/>
    </row>
    <row r="87" spans="1:21" ht="12.75" x14ac:dyDescent="0.2">
      <c r="A87" s="265"/>
      <c r="B87" s="270"/>
      <c r="C87" s="277"/>
      <c r="D87" s="270"/>
      <c r="E87" s="277"/>
      <c r="F87" s="270"/>
      <c r="G87" s="285"/>
      <c r="H87" s="279"/>
      <c r="I87" s="285"/>
      <c r="J87" s="279"/>
      <c r="K87" s="279"/>
      <c r="L87" s="279"/>
      <c r="M87" s="285"/>
      <c r="N87" s="279"/>
      <c r="O87" s="285"/>
      <c r="P87" s="279"/>
      <c r="Q87" s="285"/>
      <c r="R87" s="270"/>
      <c r="S87" s="270"/>
      <c r="T87" s="266"/>
      <c r="U87" s="267"/>
    </row>
    <row r="88" spans="1:21" ht="12.75" x14ac:dyDescent="0.2">
      <c r="A88" s="265">
        <f>A86+1</f>
        <v>28</v>
      </c>
      <c r="B88" s="270"/>
      <c r="C88" s="277"/>
      <c r="D88" s="270"/>
      <c r="E88" s="270" t="s">
        <v>241</v>
      </c>
      <c r="F88" s="270"/>
      <c r="G88" s="286"/>
      <c r="H88" s="270"/>
      <c r="I88" s="286">
        <f>Q88</f>
        <v>-212406</v>
      </c>
      <c r="J88" s="270"/>
      <c r="K88" s="287"/>
      <c r="L88" s="270"/>
      <c r="M88" s="1259">
        <v>-212406</v>
      </c>
      <c r="N88" s="270"/>
      <c r="O88" s="288"/>
      <c r="P88" s="270"/>
      <c r="Q88" s="286">
        <f>M88+O88</f>
        <v>-212406</v>
      </c>
      <c r="R88" s="270"/>
      <c r="S88" s="270"/>
      <c r="T88" s="266"/>
      <c r="U88" s="267"/>
    </row>
    <row r="89" spans="1:21" ht="12.75" x14ac:dyDescent="0.2">
      <c r="A89" s="265"/>
      <c r="B89" s="270"/>
      <c r="C89" s="277"/>
      <c r="D89" s="270"/>
      <c r="E89" s="270"/>
      <c r="F89" s="270"/>
      <c r="G89" s="289"/>
      <c r="H89" s="270"/>
      <c r="I89" s="289"/>
      <c r="J89" s="270"/>
      <c r="K89" s="287"/>
      <c r="L89" s="270"/>
      <c r="M89" s="290"/>
      <c r="N89" s="270"/>
      <c r="O89" s="291"/>
      <c r="P89" s="270"/>
      <c r="Q89" s="289"/>
      <c r="R89" s="270"/>
      <c r="S89" s="270"/>
      <c r="T89" s="266"/>
      <c r="U89" s="267"/>
    </row>
    <row r="90" spans="1:21" ht="12.75" x14ac:dyDescent="0.2">
      <c r="A90" s="265"/>
      <c r="B90" s="270"/>
      <c r="C90" s="277"/>
      <c r="D90" s="270"/>
      <c r="E90" s="277"/>
      <c r="F90" s="270"/>
      <c r="G90" s="285"/>
      <c r="H90" s="279"/>
      <c r="I90" s="285"/>
      <c r="J90" s="279"/>
      <c r="K90" s="279"/>
      <c r="L90" s="279"/>
      <c r="M90" s="285"/>
      <c r="N90" s="279"/>
      <c r="O90" s="285"/>
      <c r="P90" s="279"/>
      <c r="Q90" s="285"/>
      <c r="R90" s="270"/>
      <c r="S90" s="270"/>
      <c r="T90" s="266"/>
      <c r="U90" s="267"/>
    </row>
    <row r="91" spans="1:21" ht="13.5" thickBot="1" x14ac:dyDescent="0.25">
      <c r="A91" s="265">
        <f>A88+1</f>
        <v>29</v>
      </c>
      <c r="B91" s="270"/>
      <c r="C91" s="277"/>
      <c r="D91" s="270"/>
      <c r="E91" s="280" t="s">
        <v>760</v>
      </c>
      <c r="F91" s="270"/>
      <c r="G91" s="292">
        <f>G19+G25+G70+G86+G88</f>
        <v>271692715.56000006</v>
      </c>
      <c r="H91" s="279"/>
      <c r="I91" s="292">
        <f>I19+I25+I70+I86+I88</f>
        <v>118596483</v>
      </c>
      <c r="J91" s="279"/>
      <c r="K91" s="279"/>
      <c r="L91" s="279"/>
      <c r="M91" s="292">
        <f>M19+M25+M70+M86+M88</f>
        <v>118596483</v>
      </c>
      <c r="N91" s="279"/>
      <c r="O91" s="279"/>
      <c r="P91" s="279"/>
      <c r="Q91" s="292">
        <f>Q19+Q25+Q70+Q86+Q88</f>
        <v>118596483</v>
      </c>
      <c r="R91" s="270"/>
      <c r="S91" s="270"/>
      <c r="T91" s="266"/>
      <c r="U91" s="267"/>
    </row>
    <row r="92" spans="1:21" ht="13.5" thickTop="1" x14ac:dyDescent="0.2">
      <c r="A92" s="293"/>
      <c r="B92" s="270"/>
      <c r="C92" s="270"/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66"/>
      <c r="U92" s="267"/>
    </row>
    <row r="93" spans="1:21" ht="12.75" x14ac:dyDescent="0.2">
      <c r="A93" s="270"/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87"/>
      <c r="N93" s="270"/>
      <c r="O93" s="270"/>
      <c r="P93" s="270"/>
      <c r="Q93" s="270"/>
      <c r="R93" s="270"/>
      <c r="S93" s="270"/>
      <c r="T93" s="266"/>
      <c r="U93" s="267"/>
    </row>
    <row r="94" spans="1:21" ht="12.75" x14ac:dyDescent="0.2">
      <c r="A94" s="270"/>
      <c r="B94" s="270"/>
      <c r="C94" s="270"/>
      <c r="D94" s="270"/>
      <c r="E94" s="270" t="s">
        <v>549</v>
      </c>
      <c r="F94" s="270"/>
      <c r="G94" s="270"/>
      <c r="H94" s="270"/>
      <c r="I94" s="287"/>
      <c r="J94" s="287"/>
      <c r="K94" s="287"/>
      <c r="L94" s="287"/>
      <c r="M94" s="287"/>
      <c r="N94" s="287"/>
      <c r="O94" s="287"/>
      <c r="P94" s="287"/>
      <c r="Q94" s="287"/>
      <c r="R94" s="270"/>
      <c r="S94" s="270"/>
      <c r="T94" s="266"/>
      <c r="U94" s="267"/>
    </row>
    <row r="95" spans="1:21" ht="12.75" x14ac:dyDescent="0.2">
      <c r="A95" s="270"/>
      <c r="B95" s="270"/>
      <c r="C95" s="270"/>
      <c r="D95" s="270"/>
      <c r="E95" s="270" t="s">
        <v>549</v>
      </c>
      <c r="F95" s="270"/>
      <c r="G95" s="287"/>
      <c r="H95" s="270"/>
      <c r="I95" s="287"/>
      <c r="J95" s="287"/>
      <c r="K95" s="287"/>
      <c r="L95" s="287"/>
      <c r="M95" s="287"/>
      <c r="N95" s="287"/>
      <c r="O95" s="287"/>
      <c r="P95" s="287"/>
      <c r="Q95" s="287"/>
      <c r="R95" s="270"/>
      <c r="S95" s="270"/>
      <c r="T95" s="266"/>
      <c r="U95" s="267"/>
    </row>
    <row r="96" spans="1:21" ht="12.75" x14ac:dyDescent="0.2">
      <c r="A96" s="270"/>
      <c r="B96" s="270"/>
      <c r="C96" s="270"/>
      <c r="D96" s="270"/>
      <c r="E96" s="270"/>
      <c r="F96" s="270"/>
      <c r="G96" s="270"/>
      <c r="H96" s="270"/>
      <c r="I96" s="287"/>
      <c r="J96" s="287"/>
      <c r="K96" s="287"/>
      <c r="L96" s="287"/>
      <c r="M96" s="287"/>
      <c r="N96" s="287"/>
      <c r="O96" s="287"/>
      <c r="P96" s="287"/>
      <c r="Q96" s="287"/>
      <c r="R96" s="270"/>
      <c r="S96" s="270"/>
      <c r="T96" s="266"/>
      <c r="U96" s="267"/>
    </row>
    <row r="97" spans="1:21" ht="12.75" x14ac:dyDescent="0.2">
      <c r="A97" s="270"/>
      <c r="B97" s="270"/>
      <c r="C97" s="270"/>
      <c r="D97" s="270"/>
      <c r="E97" s="270"/>
      <c r="F97" s="270"/>
      <c r="G97" s="270"/>
      <c r="H97" s="270"/>
      <c r="I97" s="287"/>
      <c r="J97" s="287"/>
      <c r="K97" s="287"/>
      <c r="L97" s="287"/>
      <c r="M97" s="270"/>
      <c r="N97" s="287"/>
      <c r="O97" s="287"/>
      <c r="P97" s="287"/>
      <c r="Q97" s="287"/>
      <c r="R97" s="270"/>
      <c r="S97" s="270"/>
      <c r="T97" s="266"/>
      <c r="U97" s="267"/>
    </row>
    <row r="98" spans="1:21" ht="12.75" x14ac:dyDescent="0.2">
      <c r="A98" s="270"/>
      <c r="B98" s="270"/>
      <c r="C98" s="270"/>
      <c r="D98" s="270"/>
      <c r="E98" s="270"/>
      <c r="F98" s="270"/>
      <c r="G98" s="270"/>
      <c r="H98" s="270"/>
      <c r="I98" s="286"/>
      <c r="J98" s="287"/>
      <c r="K98" s="287"/>
      <c r="L98" s="287"/>
      <c r="M98" s="286"/>
      <c r="N98" s="287"/>
      <c r="O98" s="287"/>
      <c r="P98" s="287"/>
      <c r="Q98" s="287"/>
      <c r="R98" s="270"/>
      <c r="S98" s="270"/>
      <c r="T98" s="266"/>
      <c r="U98" s="267"/>
    </row>
    <row r="99" spans="1:21" ht="12.75" x14ac:dyDescent="0.2">
      <c r="A99" s="270"/>
      <c r="B99" s="270"/>
      <c r="C99" s="270"/>
      <c r="D99" s="270"/>
      <c r="E99" s="270"/>
      <c r="F99" s="270"/>
      <c r="G99" s="270"/>
      <c r="H99" s="270"/>
      <c r="I99" s="287"/>
      <c r="J99" s="287"/>
      <c r="K99" s="287"/>
      <c r="L99" s="287"/>
      <c r="M99" s="287"/>
      <c r="N99" s="287"/>
      <c r="O99" s="287"/>
      <c r="P99" s="287"/>
      <c r="Q99" s="287"/>
      <c r="R99" s="270"/>
      <c r="S99" s="270"/>
      <c r="T99" s="266"/>
      <c r="U99" s="267"/>
    </row>
    <row r="100" spans="1:21" ht="12.75" x14ac:dyDescent="0.2">
      <c r="A100" s="270"/>
      <c r="B100" s="270"/>
      <c r="C100" s="270"/>
      <c r="D100" s="270"/>
      <c r="E100" s="270"/>
      <c r="F100" s="270"/>
      <c r="G100" s="270"/>
      <c r="H100" s="270"/>
      <c r="I100" s="287"/>
      <c r="J100" s="287"/>
      <c r="K100" s="287"/>
      <c r="L100" s="287"/>
      <c r="M100" s="287"/>
      <c r="N100" s="287"/>
      <c r="O100" s="287"/>
      <c r="P100" s="287"/>
      <c r="Q100" s="287"/>
      <c r="R100" s="270"/>
      <c r="S100" s="270"/>
      <c r="T100" s="266"/>
      <c r="U100" s="267"/>
    </row>
    <row r="101" spans="1:21" ht="12.75" x14ac:dyDescent="0.2">
      <c r="A101" s="270"/>
      <c r="B101" s="270"/>
      <c r="C101" s="270"/>
      <c r="D101" s="270"/>
      <c r="E101" s="270"/>
      <c r="F101" s="270"/>
      <c r="G101" s="270"/>
      <c r="H101" s="270"/>
      <c r="I101" s="287"/>
      <c r="J101" s="287"/>
      <c r="K101" s="287"/>
      <c r="L101" s="287"/>
      <c r="M101" s="287"/>
      <c r="N101" s="287"/>
      <c r="O101" s="287"/>
      <c r="P101" s="287"/>
      <c r="Q101" s="287"/>
      <c r="R101" s="270"/>
      <c r="S101" s="270"/>
      <c r="T101" s="266"/>
      <c r="U101" s="267"/>
    </row>
    <row r="102" spans="1:21" ht="12.75" x14ac:dyDescent="0.2">
      <c r="A102" s="270"/>
      <c r="B102" s="270"/>
      <c r="C102" s="270"/>
      <c r="D102" s="270"/>
      <c r="E102" s="270"/>
      <c r="F102" s="270"/>
      <c r="G102" s="287"/>
      <c r="H102" s="270"/>
      <c r="I102" s="270"/>
      <c r="J102" s="287"/>
      <c r="K102" s="287"/>
      <c r="L102" s="287"/>
      <c r="M102" s="286"/>
      <c r="N102" s="287"/>
      <c r="O102" s="287"/>
      <c r="P102" s="287"/>
      <c r="Q102" s="287"/>
      <c r="R102" s="270"/>
      <c r="S102" s="270"/>
      <c r="T102" s="266"/>
      <c r="U102" s="267"/>
    </row>
    <row r="103" spans="1:21" ht="12.75" x14ac:dyDescent="0.2">
      <c r="A103" s="270"/>
      <c r="B103" s="270"/>
      <c r="C103" s="270"/>
      <c r="D103" s="270"/>
      <c r="E103" s="677"/>
      <c r="F103" s="270"/>
      <c r="G103" s="287"/>
      <c r="H103" s="270"/>
      <c r="I103" s="270"/>
      <c r="J103" s="287"/>
      <c r="K103" s="287"/>
      <c r="L103" s="287"/>
      <c r="M103" s="287"/>
      <c r="N103" s="287"/>
      <c r="O103" s="287"/>
      <c r="P103" s="287"/>
      <c r="Q103" s="287"/>
      <c r="R103" s="270"/>
      <c r="S103" s="270"/>
      <c r="T103" s="266"/>
      <c r="U103" s="267"/>
    </row>
    <row r="104" spans="1:21" ht="12.75" x14ac:dyDescent="0.2">
      <c r="A104" s="270"/>
      <c r="B104" s="270"/>
      <c r="C104" s="270"/>
      <c r="D104" s="270"/>
      <c r="E104" s="677"/>
      <c r="F104" s="270"/>
      <c r="G104" s="286"/>
      <c r="H104" s="270"/>
      <c r="I104" s="270"/>
      <c r="J104" s="287"/>
      <c r="K104" s="287"/>
      <c r="L104" s="287"/>
      <c r="M104" s="287"/>
      <c r="N104" s="287"/>
      <c r="O104" s="287"/>
      <c r="P104" s="287"/>
      <c r="Q104" s="287"/>
      <c r="R104" s="270"/>
      <c r="S104" s="270"/>
      <c r="T104" s="266"/>
      <c r="U104" s="267"/>
    </row>
    <row r="105" spans="1:21" ht="12.75" x14ac:dyDescent="0.2">
      <c r="A105" s="270"/>
      <c r="B105" s="270"/>
      <c r="C105" s="270"/>
      <c r="D105" s="270"/>
      <c r="E105" s="270"/>
      <c r="F105" s="270"/>
      <c r="G105" s="270"/>
      <c r="H105" s="270"/>
      <c r="I105" s="286"/>
      <c r="J105" s="287"/>
      <c r="K105" s="287"/>
      <c r="L105" s="287"/>
      <c r="M105" s="287"/>
      <c r="N105" s="287"/>
      <c r="O105" s="287"/>
      <c r="P105" s="287"/>
      <c r="Q105" s="287"/>
      <c r="R105" s="270"/>
      <c r="S105" s="270"/>
      <c r="T105" s="266"/>
      <c r="U105" s="267"/>
    </row>
    <row r="106" spans="1:21" ht="12.75" x14ac:dyDescent="0.2">
      <c r="A106" s="270"/>
      <c r="B106" s="270"/>
      <c r="C106" s="270"/>
      <c r="D106" s="270"/>
      <c r="E106" s="270"/>
      <c r="F106" s="270"/>
      <c r="G106" s="270"/>
      <c r="H106" s="270"/>
      <c r="I106" s="287"/>
      <c r="J106" s="287"/>
      <c r="K106" s="287"/>
      <c r="L106" s="287"/>
      <c r="M106" s="287"/>
      <c r="N106" s="287"/>
      <c r="O106" s="287"/>
      <c r="P106" s="287"/>
      <c r="Q106" s="287"/>
      <c r="R106" s="270"/>
      <c r="S106" s="270"/>
      <c r="T106" s="266"/>
      <c r="U106" s="267"/>
    </row>
    <row r="107" spans="1:21" ht="12.75" x14ac:dyDescent="0.2">
      <c r="A107" s="270"/>
      <c r="B107" s="270"/>
      <c r="C107" s="270"/>
      <c r="D107" s="270"/>
      <c r="E107" s="270"/>
      <c r="F107" s="270"/>
      <c r="G107" s="270"/>
      <c r="H107" s="270"/>
      <c r="I107" s="287"/>
      <c r="J107" s="287"/>
      <c r="K107" s="287"/>
      <c r="L107" s="287"/>
      <c r="M107" s="287"/>
      <c r="N107" s="287"/>
      <c r="O107" s="287"/>
      <c r="P107" s="287"/>
      <c r="Q107" s="287"/>
      <c r="R107" s="270"/>
      <c r="S107" s="270"/>
      <c r="T107" s="266"/>
      <c r="U107" s="267"/>
    </row>
    <row r="108" spans="1:21" ht="12.75" x14ac:dyDescent="0.2">
      <c r="A108" s="270"/>
      <c r="B108" s="270"/>
      <c r="C108" s="270"/>
      <c r="D108" s="270"/>
      <c r="E108" s="270"/>
      <c r="F108" s="270"/>
      <c r="G108" s="270"/>
      <c r="H108" s="270"/>
      <c r="I108" s="287"/>
      <c r="J108" s="287"/>
      <c r="K108" s="287"/>
      <c r="L108" s="287"/>
      <c r="M108" s="287"/>
      <c r="N108" s="287"/>
      <c r="O108" s="287"/>
      <c r="P108" s="287"/>
      <c r="Q108" s="287"/>
      <c r="R108" s="270"/>
      <c r="S108" s="270"/>
      <c r="T108" s="266"/>
      <c r="U108" s="267"/>
    </row>
    <row r="109" spans="1:21" ht="12.75" x14ac:dyDescent="0.2">
      <c r="A109" s="270"/>
      <c r="B109" s="270"/>
      <c r="C109" s="270"/>
      <c r="D109" s="270"/>
      <c r="E109" s="270"/>
      <c r="F109" s="270"/>
      <c r="G109" s="270"/>
      <c r="H109" s="270"/>
      <c r="I109" s="287"/>
      <c r="J109" s="287"/>
      <c r="K109" s="287"/>
      <c r="L109" s="287"/>
      <c r="M109" s="287"/>
      <c r="N109" s="287"/>
      <c r="O109" s="287"/>
      <c r="P109" s="287"/>
      <c r="Q109" s="287"/>
      <c r="R109" s="270"/>
      <c r="S109" s="270"/>
      <c r="T109" s="266"/>
      <c r="U109" s="267"/>
    </row>
    <row r="110" spans="1:21" ht="12.75" x14ac:dyDescent="0.2">
      <c r="A110" s="270"/>
      <c r="B110" s="270"/>
      <c r="C110" s="270"/>
      <c r="D110" s="270"/>
      <c r="E110" s="270"/>
      <c r="F110" s="270"/>
      <c r="G110" s="270"/>
      <c r="H110" s="270"/>
      <c r="I110" s="287"/>
      <c r="J110" s="287"/>
      <c r="K110" s="287"/>
      <c r="L110" s="287"/>
      <c r="M110" s="287"/>
      <c r="N110" s="287"/>
      <c r="O110" s="287"/>
      <c r="P110" s="287"/>
      <c r="Q110" s="287"/>
      <c r="R110" s="270"/>
      <c r="S110" s="270"/>
      <c r="T110" s="266"/>
      <c r="U110" s="267"/>
    </row>
    <row r="111" spans="1:21" ht="12.75" x14ac:dyDescent="0.2">
      <c r="A111" s="270"/>
      <c r="B111" s="270"/>
      <c r="C111" s="270"/>
      <c r="D111" s="270"/>
      <c r="E111" s="270"/>
      <c r="F111" s="270"/>
      <c r="G111" s="270"/>
      <c r="H111" s="270"/>
      <c r="I111" s="287"/>
      <c r="J111" s="287"/>
      <c r="K111" s="287"/>
      <c r="L111" s="287"/>
      <c r="M111" s="287"/>
      <c r="N111" s="287"/>
      <c r="O111" s="287"/>
      <c r="P111" s="287"/>
      <c r="Q111" s="287"/>
      <c r="R111" s="270"/>
      <c r="S111" s="270"/>
      <c r="T111" s="266"/>
      <c r="U111" s="267"/>
    </row>
    <row r="112" spans="1:21" ht="12.75" x14ac:dyDescent="0.2">
      <c r="A112" s="270"/>
      <c r="B112" s="270"/>
      <c r="C112" s="270"/>
      <c r="D112" s="270"/>
      <c r="E112" s="270"/>
      <c r="F112" s="270"/>
      <c r="G112" s="270"/>
      <c r="H112" s="270"/>
      <c r="I112" s="287"/>
      <c r="J112" s="287"/>
      <c r="K112" s="287"/>
      <c r="L112" s="287"/>
      <c r="M112" s="287"/>
      <c r="N112" s="287"/>
      <c r="O112" s="287"/>
      <c r="P112" s="287"/>
      <c r="Q112" s="287"/>
      <c r="R112" s="270"/>
      <c r="S112" s="270"/>
      <c r="T112" s="266"/>
      <c r="U112" s="267"/>
    </row>
    <row r="113" spans="1:21" ht="12.75" x14ac:dyDescent="0.2">
      <c r="A113" s="270"/>
      <c r="B113" s="270"/>
      <c r="C113" s="270"/>
      <c r="D113" s="270"/>
      <c r="E113" s="270"/>
      <c r="F113" s="270"/>
      <c r="G113" s="270"/>
      <c r="H113" s="270"/>
      <c r="I113" s="287"/>
      <c r="J113" s="287"/>
      <c r="K113" s="287"/>
      <c r="L113" s="287"/>
      <c r="M113" s="287"/>
      <c r="N113" s="287"/>
      <c r="O113" s="287"/>
      <c r="P113" s="287"/>
      <c r="Q113" s="287"/>
      <c r="R113" s="270"/>
      <c r="S113" s="270"/>
      <c r="T113" s="266"/>
      <c r="U113" s="267"/>
    </row>
    <row r="114" spans="1:21" ht="12.75" x14ac:dyDescent="0.2">
      <c r="A114" s="270"/>
      <c r="B114" s="270"/>
      <c r="C114" s="270"/>
      <c r="D114" s="270"/>
      <c r="E114" s="270"/>
      <c r="F114" s="270"/>
      <c r="G114" s="270"/>
      <c r="H114" s="270"/>
      <c r="I114" s="287"/>
      <c r="J114" s="287"/>
      <c r="K114" s="287"/>
      <c r="L114" s="287"/>
      <c r="M114" s="287"/>
      <c r="N114" s="287"/>
      <c r="O114" s="287"/>
      <c r="P114" s="287"/>
      <c r="Q114" s="287"/>
      <c r="R114" s="270"/>
      <c r="S114" s="270"/>
      <c r="T114" s="266"/>
      <c r="U114" s="267"/>
    </row>
    <row r="115" spans="1:21" ht="12.75" x14ac:dyDescent="0.2">
      <c r="A115" s="270"/>
      <c r="B115" s="270"/>
      <c r="C115" s="270"/>
      <c r="D115" s="270"/>
      <c r="E115" s="270"/>
      <c r="F115" s="270"/>
      <c r="G115" s="270"/>
      <c r="H115" s="270"/>
      <c r="I115" s="287"/>
      <c r="J115" s="287"/>
      <c r="K115" s="287"/>
      <c r="L115" s="287"/>
      <c r="M115" s="287"/>
      <c r="N115" s="287"/>
      <c r="O115" s="287"/>
      <c r="P115" s="287"/>
      <c r="Q115" s="287"/>
      <c r="R115" s="270"/>
      <c r="S115" s="270"/>
      <c r="T115" s="266"/>
      <c r="U115" s="267"/>
    </row>
    <row r="116" spans="1:21" ht="12.75" x14ac:dyDescent="0.2">
      <c r="A116" s="270"/>
      <c r="B116" s="270"/>
      <c r="C116" s="270"/>
      <c r="D116" s="270"/>
      <c r="E116" s="270"/>
      <c r="F116" s="270"/>
      <c r="G116" s="270"/>
      <c r="H116" s="270"/>
      <c r="I116" s="287"/>
      <c r="J116" s="287"/>
      <c r="K116" s="287"/>
      <c r="L116" s="287"/>
      <c r="M116" s="287"/>
      <c r="N116" s="287"/>
      <c r="O116" s="287"/>
      <c r="P116" s="287"/>
      <c r="Q116" s="287"/>
      <c r="R116" s="270"/>
      <c r="S116" s="270"/>
      <c r="T116" s="266"/>
      <c r="U116" s="267"/>
    </row>
    <row r="117" spans="1:21" ht="12.75" x14ac:dyDescent="0.2">
      <c r="A117" s="270"/>
      <c r="B117" s="270"/>
      <c r="C117" s="270"/>
      <c r="D117" s="270"/>
      <c r="E117" s="270"/>
      <c r="F117" s="270"/>
      <c r="G117" s="270"/>
      <c r="H117" s="270"/>
      <c r="I117" s="287"/>
      <c r="J117" s="287"/>
      <c r="K117" s="287"/>
      <c r="L117" s="287"/>
      <c r="M117" s="287"/>
      <c r="N117" s="287"/>
      <c r="O117" s="287"/>
      <c r="P117" s="287"/>
      <c r="Q117" s="287"/>
      <c r="R117" s="270"/>
      <c r="S117" s="270"/>
      <c r="T117" s="266"/>
      <c r="U117" s="267"/>
    </row>
    <row r="118" spans="1:21" ht="12.75" x14ac:dyDescent="0.2">
      <c r="A118" s="270"/>
      <c r="B118" s="270"/>
      <c r="C118" s="270"/>
      <c r="D118" s="270"/>
      <c r="E118" s="270"/>
      <c r="F118" s="270"/>
      <c r="G118" s="270"/>
      <c r="H118" s="270"/>
      <c r="I118" s="287"/>
      <c r="J118" s="287"/>
      <c r="K118" s="287"/>
      <c r="L118" s="287"/>
      <c r="M118" s="287"/>
      <c r="N118" s="287"/>
      <c r="O118" s="287"/>
      <c r="P118" s="287"/>
      <c r="Q118" s="287"/>
      <c r="R118" s="270"/>
      <c r="S118" s="270"/>
      <c r="T118" s="266"/>
      <c r="U118" s="267"/>
    </row>
    <row r="119" spans="1:21" ht="12.75" x14ac:dyDescent="0.2">
      <c r="A119" s="270"/>
      <c r="B119" s="270"/>
      <c r="C119" s="270"/>
      <c r="D119" s="270"/>
      <c r="E119" s="270"/>
      <c r="F119" s="270"/>
      <c r="G119" s="270"/>
      <c r="H119" s="270"/>
      <c r="I119" s="287"/>
      <c r="J119" s="287"/>
      <c r="K119" s="287"/>
      <c r="L119" s="287"/>
      <c r="M119" s="287"/>
      <c r="N119" s="287"/>
      <c r="O119" s="287"/>
      <c r="P119" s="287"/>
      <c r="Q119" s="287"/>
      <c r="R119" s="270"/>
      <c r="S119" s="270"/>
      <c r="T119" s="266"/>
      <c r="U119" s="267"/>
    </row>
    <row r="120" spans="1:21" ht="12.75" x14ac:dyDescent="0.2">
      <c r="A120" s="270"/>
      <c r="B120" s="270"/>
      <c r="C120" s="270"/>
      <c r="D120" s="270"/>
      <c r="E120" s="270"/>
      <c r="F120" s="270"/>
      <c r="G120" s="270"/>
      <c r="H120" s="270"/>
      <c r="I120" s="287"/>
      <c r="J120" s="287"/>
      <c r="K120" s="287"/>
      <c r="L120" s="287"/>
      <c r="M120" s="287"/>
      <c r="N120" s="287"/>
      <c r="O120" s="287"/>
      <c r="P120" s="287"/>
      <c r="Q120" s="287"/>
      <c r="R120" s="270"/>
      <c r="S120" s="270"/>
      <c r="T120" s="266"/>
      <c r="U120" s="267"/>
    </row>
    <row r="121" spans="1:21" ht="12.75" x14ac:dyDescent="0.2">
      <c r="A121" s="270"/>
      <c r="B121" s="270"/>
      <c r="C121" s="270"/>
      <c r="D121" s="270"/>
      <c r="E121" s="270"/>
      <c r="F121" s="270"/>
      <c r="G121" s="270"/>
      <c r="H121" s="270"/>
      <c r="I121" s="287"/>
      <c r="J121" s="287"/>
      <c r="K121" s="287"/>
      <c r="L121" s="287"/>
      <c r="M121" s="287"/>
      <c r="N121" s="287"/>
      <c r="O121" s="287"/>
      <c r="P121" s="287"/>
      <c r="Q121" s="287"/>
      <c r="R121" s="270"/>
      <c r="S121" s="270"/>
      <c r="T121" s="266"/>
      <c r="U121" s="267"/>
    </row>
    <row r="122" spans="1:21" ht="12.75" x14ac:dyDescent="0.2">
      <c r="A122" s="270"/>
      <c r="B122" s="270"/>
      <c r="C122" s="270"/>
      <c r="D122" s="270"/>
      <c r="E122" s="270"/>
      <c r="F122" s="270"/>
      <c r="G122" s="270"/>
      <c r="H122" s="270"/>
      <c r="I122" s="287"/>
      <c r="J122" s="287"/>
      <c r="K122" s="287"/>
      <c r="L122" s="287"/>
      <c r="M122" s="287"/>
      <c r="N122" s="287"/>
      <c r="O122" s="287"/>
      <c r="P122" s="287"/>
      <c r="Q122" s="287"/>
      <c r="R122" s="270"/>
      <c r="S122" s="270"/>
      <c r="T122" s="266"/>
      <c r="U122" s="267"/>
    </row>
    <row r="123" spans="1:21" ht="12.75" x14ac:dyDescent="0.2">
      <c r="A123" s="270"/>
      <c r="B123" s="270"/>
      <c r="C123" s="270"/>
      <c r="D123" s="270"/>
      <c r="E123" s="270"/>
      <c r="F123" s="270"/>
      <c r="G123" s="270"/>
      <c r="H123" s="270"/>
      <c r="I123" s="287"/>
      <c r="J123" s="287"/>
      <c r="K123" s="287"/>
      <c r="L123" s="287"/>
      <c r="M123" s="287"/>
      <c r="N123" s="287"/>
      <c r="O123" s="287"/>
      <c r="P123" s="287"/>
      <c r="Q123" s="287"/>
      <c r="R123" s="270"/>
      <c r="S123" s="270"/>
      <c r="T123" s="266"/>
      <c r="U123" s="267"/>
    </row>
    <row r="124" spans="1:21" ht="12.75" x14ac:dyDescent="0.2">
      <c r="A124" s="270"/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70"/>
      <c r="T124" s="266"/>
      <c r="U124" s="267"/>
    </row>
    <row r="125" spans="1:21" ht="12.75" x14ac:dyDescent="0.2">
      <c r="A125" s="270"/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66"/>
      <c r="U125" s="267"/>
    </row>
    <row r="126" spans="1:21" ht="12.75" x14ac:dyDescent="0.2">
      <c r="A126" s="270"/>
      <c r="B126" s="270"/>
      <c r="C126" s="270"/>
      <c r="D126" s="270"/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66"/>
      <c r="U126" s="267"/>
    </row>
    <row r="127" spans="1:21" ht="12.75" x14ac:dyDescent="0.2">
      <c r="A127" s="270"/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0"/>
      <c r="R127" s="270"/>
      <c r="S127" s="270"/>
      <c r="T127" s="266"/>
      <c r="U127" s="267"/>
    </row>
    <row r="128" spans="1:21" ht="12.75" x14ac:dyDescent="0.2">
      <c r="A128" s="270"/>
      <c r="B128" s="270"/>
      <c r="C128" s="270"/>
      <c r="D128" s="270"/>
      <c r="E128" s="270"/>
      <c r="F128" s="270"/>
      <c r="G128" s="270"/>
      <c r="H128" s="270"/>
      <c r="I128" s="270"/>
      <c r="J128" s="270"/>
      <c r="K128" s="270"/>
      <c r="L128" s="270"/>
      <c r="M128" s="270"/>
      <c r="N128" s="270"/>
      <c r="O128" s="270"/>
      <c r="P128" s="270"/>
      <c r="Q128" s="270"/>
      <c r="R128" s="270"/>
      <c r="S128" s="270"/>
      <c r="T128" s="266"/>
      <c r="U128" s="267"/>
    </row>
    <row r="129" spans="1:21" ht="12.75" x14ac:dyDescent="0.2">
      <c r="A129" s="270"/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0"/>
      <c r="M129" s="270"/>
      <c r="N129" s="270"/>
      <c r="O129" s="270"/>
      <c r="P129" s="270"/>
      <c r="Q129" s="270"/>
      <c r="R129" s="270"/>
      <c r="S129" s="270"/>
      <c r="T129" s="266"/>
      <c r="U129" s="267"/>
    </row>
    <row r="130" spans="1:21" ht="12.75" x14ac:dyDescent="0.2">
      <c r="A130" s="270"/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0"/>
      <c r="M130" s="270"/>
      <c r="N130" s="270"/>
      <c r="O130" s="270"/>
      <c r="P130" s="270"/>
      <c r="Q130" s="270"/>
      <c r="R130" s="270"/>
      <c r="S130" s="270"/>
      <c r="T130" s="266"/>
      <c r="U130" s="267"/>
    </row>
    <row r="131" spans="1:21" ht="12.75" x14ac:dyDescent="0.2">
      <c r="A131" s="270"/>
      <c r="B131" s="270"/>
      <c r="C131" s="270"/>
      <c r="D131" s="270"/>
      <c r="E131" s="270"/>
      <c r="F131" s="270"/>
      <c r="G131" s="270"/>
      <c r="H131" s="270"/>
      <c r="I131" s="270"/>
      <c r="J131" s="270"/>
      <c r="K131" s="270"/>
      <c r="L131" s="270"/>
      <c r="M131" s="270"/>
      <c r="N131" s="270"/>
      <c r="O131" s="270"/>
      <c r="P131" s="270"/>
      <c r="Q131" s="270"/>
      <c r="R131" s="270"/>
      <c r="S131" s="270"/>
      <c r="T131" s="266"/>
      <c r="U131" s="267"/>
    </row>
    <row r="132" spans="1:21" ht="12.75" x14ac:dyDescent="0.2">
      <c r="A132" s="270"/>
      <c r="B132" s="270"/>
      <c r="C132" s="270"/>
      <c r="D132" s="270"/>
      <c r="E132" s="270"/>
      <c r="F132" s="270"/>
      <c r="G132" s="270"/>
      <c r="H132" s="270"/>
      <c r="I132" s="270"/>
      <c r="J132" s="270"/>
      <c r="K132" s="270"/>
      <c r="L132" s="270"/>
      <c r="M132" s="270"/>
      <c r="N132" s="270"/>
      <c r="O132" s="270"/>
      <c r="P132" s="270"/>
      <c r="Q132" s="270"/>
      <c r="R132" s="270"/>
      <c r="S132" s="270"/>
      <c r="T132" s="266"/>
      <c r="U132" s="267"/>
    </row>
    <row r="133" spans="1:21" ht="12.75" x14ac:dyDescent="0.2">
      <c r="A133" s="270"/>
      <c r="B133" s="270"/>
      <c r="C133" s="270"/>
      <c r="D133" s="270"/>
      <c r="E133" s="270"/>
      <c r="F133" s="270"/>
      <c r="G133" s="270"/>
      <c r="H133" s="270"/>
      <c r="I133" s="270"/>
      <c r="J133" s="270"/>
      <c r="K133" s="270"/>
      <c r="L133" s="270"/>
      <c r="M133" s="270"/>
      <c r="N133" s="270"/>
      <c r="O133" s="270"/>
      <c r="P133" s="270"/>
      <c r="Q133" s="270"/>
      <c r="R133" s="270"/>
      <c r="S133" s="270"/>
      <c r="T133" s="266"/>
      <c r="U133" s="267"/>
    </row>
    <row r="134" spans="1:21" ht="12.75" x14ac:dyDescent="0.2">
      <c r="A134" s="270"/>
      <c r="B134" s="270"/>
      <c r="C134" s="270"/>
      <c r="D134" s="270"/>
      <c r="E134" s="270"/>
      <c r="F134" s="270"/>
      <c r="G134" s="270"/>
      <c r="H134" s="270"/>
      <c r="I134" s="270"/>
      <c r="J134" s="270"/>
      <c r="K134" s="270"/>
      <c r="L134" s="270"/>
      <c r="M134" s="270"/>
      <c r="N134" s="270"/>
      <c r="O134" s="270"/>
      <c r="P134" s="270"/>
      <c r="Q134" s="270"/>
      <c r="R134" s="270"/>
      <c r="S134" s="270"/>
      <c r="T134" s="266"/>
      <c r="U134" s="267"/>
    </row>
    <row r="135" spans="1:21" ht="12.75" x14ac:dyDescent="0.2">
      <c r="A135" s="270"/>
      <c r="B135" s="270"/>
      <c r="C135" s="270"/>
      <c r="D135" s="270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66"/>
      <c r="U135" s="267"/>
    </row>
    <row r="136" spans="1:21" ht="12.75" x14ac:dyDescent="0.2">
      <c r="A136" s="270"/>
      <c r="B136" s="270"/>
      <c r="C136" s="270"/>
      <c r="D136" s="270"/>
      <c r="E136" s="270"/>
      <c r="F136" s="270"/>
      <c r="G136" s="270"/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/>
      <c r="T136" s="266"/>
      <c r="U136" s="267"/>
    </row>
    <row r="137" spans="1:21" ht="12.75" x14ac:dyDescent="0.2">
      <c r="A137" s="270"/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/>
      <c r="T137" s="266"/>
      <c r="U137" s="267"/>
    </row>
    <row r="138" spans="1:21" ht="12.75" x14ac:dyDescent="0.2">
      <c r="A138" s="270"/>
      <c r="B138" s="270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66"/>
      <c r="U138" s="267"/>
    </row>
    <row r="139" spans="1:21" ht="12.75" x14ac:dyDescent="0.2">
      <c r="A139" s="270"/>
      <c r="B139" s="270"/>
      <c r="C139" s="270"/>
      <c r="D139" s="270"/>
      <c r="E139" s="270"/>
      <c r="F139" s="270"/>
      <c r="G139" s="270"/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/>
      <c r="T139" s="266"/>
      <c r="U139" s="267"/>
    </row>
    <row r="140" spans="1:21" ht="12.75" x14ac:dyDescent="0.2">
      <c r="A140" s="270"/>
      <c r="B140" s="270"/>
      <c r="C140" s="270"/>
      <c r="D140" s="270"/>
      <c r="E140" s="270"/>
      <c r="F140" s="270"/>
      <c r="G140" s="270"/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/>
      <c r="T140" s="266"/>
      <c r="U140" s="267"/>
    </row>
    <row r="141" spans="1:21" ht="12.75" x14ac:dyDescent="0.2">
      <c r="A141" s="270"/>
      <c r="B141" s="270"/>
      <c r="C141" s="270"/>
      <c r="D141" s="270"/>
      <c r="E141" s="270"/>
      <c r="F141" s="270"/>
      <c r="G141" s="270"/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/>
      <c r="T141" s="266"/>
      <c r="U141" s="267"/>
    </row>
    <row r="142" spans="1:21" ht="12.75" x14ac:dyDescent="0.2">
      <c r="A142" s="270"/>
      <c r="B142" s="270"/>
      <c r="C142" s="270"/>
      <c r="D142" s="270"/>
      <c r="E142" s="270"/>
      <c r="F142" s="270"/>
      <c r="G142" s="270"/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/>
      <c r="T142" s="266"/>
      <c r="U142" s="267"/>
    </row>
    <row r="143" spans="1:21" ht="12.75" x14ac:dyDescent="0.2">
      <c r="A143" s="270"/>
      <c r="B143" s="270"/>
      <c r="C143" s="270"/>
      <c r="D143" s="270"/>
      <c r="E143" s="270"/>
      <c r="F143" s="270"/>
      <c r="G143" s="270"/>
      <c r="H143" s="270"/>
      <c r="I143" s="270"/>
      <c r="J143" s="270"/>
      <c r="K143" s="270"/>
      <c r="L143" s="270"/>
      <c r="M143" s="270"/>
      <c r="N143" s="270"/>
      <c r="O143" s="270"/>
      <c r="P143" s="270"/>
      <c r="Q143" s="270"/>
      <c r="R143" s="270"/>
      <c r="S143" s="270"/>
      <c r="T143" s="266"/>
      <c r="U143" s="267"/>
    </row>
    <row r="144" spans="1:21" ht="12.75" x14ac:dyDescent="0.2">
      <c r="A144" s="270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66"/>
      <c r="U144" s="267"/>
    </row>
    <row r="145" spans="1:21" ht="12.75" x14ac:dyDescent="0.2">
      <c r="A145" s="270"/>
      <c r="B145" s="270"/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0"/>
      <c r="N145" s="270"/>
      <c r="O145" s="270"/>
      <c r="P145" s="270"/>
      <c r="Q145" s="270"/>
      <c r="R145" s="270"/>
      <c r="S145" s="270"/>
      <c r="T145" s="266"/>
      <c r="U145" s="267"/>
    </row>
    <row r="146" spans="1:21" ht="12.75" x14ac:dyDescent="0.2">
      <c r="A146" s="270"/>
      <c r="B146" s="270"/>
      <c r="C146" s="270"/>
      <c r="D146" s="270"/>
      <c r="E146" s="270"/>
      <c r="F146" s="270"/>
      <c r="G146" s="270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R146" s="270"/>
      <c r="S146" s="270"/>
      <c r="T146" s="266"/>
      <c r="U146" s="267"/>
    </row>
    <row r="147" spans="1:21" ht="12.75" x14ac:dyDescent="0.2">
      <c r="A147" s="270"/>
      <c r="B147" s="270"/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0"/>
      <c r="N147" s="270"/>
      <c r="O147" s="270"/>
      <c r="P147" s="270"/>
      <c r="Q147" s="270"/>
      <c r="R147" s="270"/>
      <c r="S147" s="270"/>
      <c r="T147" s="266"/>
      <c r="U147" s="267"/>
    </row>
    <row r="148" spans="1:21" ht="12.75" x14ac:dyDescent="0.2">
      <c r="A148" s="270"/>
      <c r="B148" s="270"/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0"/>
      <c r="N148" s="270"/>
      <c r="O148" s="270"/>
      <c r="P148" s="270"/>
      <c r="Q148" s="270"/>
      <c r="R148" s="270"/>
      <c r="S148" s="270"/>
      <c r="T148" s="266"/>
      <c r="U148" s="267"/>
    </row>
    <row r="149" spans="1:21" ht="12.75" x14ac:dyDescent="0.2">
      <c r="A149" s="270"/>
      <c r="B149" s="270"/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0"/>
      <c r="N149" s="270"/>
      <c r="O149" s="270"/>
      <c r="P149" s="270"/>
      <c r="Q149" s="270"/>
      <c r="R149" s="270"/>
      <c r="S149" s="270"/>
      <c r="T149" s="266"/>
      <c r="U149" s="267"/>
    </row>
    <row r="150" spans="1:21" ht="12.75" x14ac:dyDescent="0.2">
      <c r="A150" s="270"/>
      <c r="B150" s="270"/>
      <c r="C150" s="270"/>
      <c r="D150" s="270"/>
      <c r="E150" s="270"/>
      <c r="F150" s="270"/>
      <c r="G150" s="270"/>
      <c r="H150" s="270"/>
      <c r="I150" s="270"/>
      <c r="J150" s="270"/>
      <c r="K150" s="270"/>
      <c r="L150" s="270"/>
      <c r="M150" s="270"/>
      <c r="N150" s="270"/>
      <c r="O150" s="270"/>
      <c r="P150" s="270"/>
      <c r="Q150" s="270"/>
      <c r="R150" s="270"/>
      <c r="S150" s="270"/>
      <c r="T150" s="266"/>
      <c r="U150" s="267"/>
    </row>
    <row r="151" spans="1:21" ht="12.75" x14ac:dyDescent="0.2">
      <c r="A151" s="270"/>
      <c r="B151" s="270"/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0"/>
      <c r="N151" s="270"/>
      <c r="O151" s="270"/>
      <c r="P151" s="270"/>
      <c r="Q151" s="270"/>
      <c r="R151" s="270"/>
      <c r="S151" s="270"/>
      <c r="T151" s="266"/>
      <c r="U151" s="267"/>
    </row>
    <row r="152" spans="1:21" ht="12.75" x14ac:dyDescent="0.2">
      <c r="A152" s="270"/>
      <c r="B152" s="270"/>
      <c r="C152" s="270"/>
      <c r="D152" s="270"/>
      <c r="E152" s="270"/>
      <c r="F152" s="270"/>
      <c r="G152" s="270"/>
      <c r="H152" s="270"/>
      <c r="I152" s="270"/>
      <c r="J152" s="270"/>
      <c r="K152" s="270"/>
      <c r="L152" s="270"/>
      <c r="M152" s="270"/>
      <c r="N152" s="270"/>
      <c r="O152" s="270"/>
      <c r="P152" s="270"/>
      <c r="Q152" s="270"/>
      <c r="R152" s="270"/>
      <c r="S152" s="270"/>
      <c r="T152" s="266"/>
      <c r="U152" s="267"/>
    </row>
    <row r="153" spans="1:21" ht="12.75" x14ac:dyDescent="0.2">
      <c r="A153" s="270"/>
      <c r="B153" s="270"/>
      <c r="C153" s="270"/>
      <c r="D153" s="270"/>
      <c r="E153" s="270"/>
      <c r="F153" s="270"/>
      <c r="G153" s="270"/>
      <c r="H153" s="270"/>
      <c r="I153" s="270"/>
      <c r="J153" s="270"/>
      <c r="K153" s="270"/>
      <c r="L153" s="270"/>
      <c r="M153" s="270"/>
      <c r="N153" s="270"/>
      <c r="O153" s="270"/>
      <c r="P153" s="270"/>
      <c r="Q153" s="270"/>
      <c r="R153" s="270"/>
      <c r="S153" s="270"/>
      <c r="T153" s="266"/>
      <c r="U153" s="267"/>
    </row>
    <row r="154" spans="1:21" ht="12.75" x14ac:dyDescent="0.2">
      <c r="A154" s="270"/>
      <c r="B154" s="270"/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66"/>
      <c r="U154" s="267"/>
    </row>
    <row r="155" spans="1:21" ht="12.75" x14ac:dyDescent="0.2">
      <c r="A155" s="270"/>
      <c r="B155" s="270"/>
      <c r="C155" s="270"/>
      <c r="D155" s="270"/>
      <c r="E155" s="270"/>
      <c r="F155" s="270"/>
      <c r="G155" s="270"/>
      <c r="H155" s="270"/>
      <c r="I155" s="270"/>
      <c r="J155" s="270"/>
      <c r="K155" s="270"/>
      <c r="L155" s="270"/>
      <c r="M155" s="270"/>
      <c r="N155" s="270"/>
      <c r="O155" s="270"/>
      <c r="P155" s="270"/>
      <c r="Q155" s="270"/>
      <c r="R155" s="270"/>
      <c r="S155" s="270"/>
      <c r="T155" s="266"/>
      <c r="U155" s="267"/>
    </row>
    <row r="156" spans="1:21" ht="12.75" x14ac:dyDescent="0.2">
      <c r="A156" s="270"/>
      <c r="B156" s="270"/>
      <c r="C156" s="270"/>
      <c r="D156" s="270"/>
      <c r="E156" s="270"/>
      <c r="F156" s="270"/>
      <c r="G156" s="270"/>
      <c r="H156" s="270"/>
      <c r="I156" s="270"/>
      <c r="J156" s="270"/>
      <c r="K156" s="270"/>
      <c r="L156" s="270"/>
      <c r="M156" s="270"/>
      <c r="N156" s="270"/>
      <c r="O156" s="270"/>
      <c r="P156" s="270"/>
      <c r="Q156" s="270"/>
      <c r="R156" s="270"/>
      <c r="S156" s="270"/>
      <c r="T156" s="266"/>
      <c r="U156" s="267"/>
    </row>
    <row r="157" spans="1:21" ht="12.75" x14ac:dyDescent="0.2">
      <c r="A157" s="288"/>
      <c r="B157" s="288"/>
      <c r="C157" s="288"/>
      <c r="D157" s="288"/>
      <c r="E157" s="288"/>
      <c r="F157" s="288"/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  <c r="S157" s="288"/>
      <c r="T157" s="266"/>
      <c r="U157" s="267"/>
    </row>
    <row r="158" spans="1:21" ht="12.75" x14ac:dyDescent="0.2">
      <c r="A158" s="288"/>
      <c r="B158" s="288"/>
      <c r="C158" s="288"/>
      <c r="D158" s="288"/>
      <c r="E158" s="288"/>
      <c r="F158" s="288"/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  <c r="S158" s="288"/>
      <c r="T158" s="266"/>
      <c r="U158" s="267"/>
    </row>
    <row r="159" spans="1:21" ht="12.75" x14ac:dyDescent="0.2">
      <c r="A159" s="288"/>
      <c r="B159" s="288"/>
      <c r="C159" s="288"/>
      <c r="D159" s="288"/>
      <c r="E159" s="288"/>
      <c r="F159" s="288"/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  <c r="S159" s="288"/>
      <c r="T159" s="266"/>
      <c r="U159" s="267"/>
    </row>
    <row r="160" spans="1:21" ht="12.75" x14ac:dyDescent="0.2">
      <c r="A160" s="288"/>
      <c r="B160" s="288"/>
      <c r="C160" s="288"/>
      <c r="D160" s="288"/>
      <c r="E160" s="288"/>
      <c r="F160" s="288"/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  <c r="S160" s="288"/>
      <c r="T160" s="266"/>
      <c r="U160" s="267"/>
    </row>
    <row r="161" spans="1:21" ht="12.75" x14ac:dyDescent="0.2">
      <c r="A161" s="288"/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  <c r="S161" s="270"/>
      <c r="T161" s="267"/>
      <c r="U161" s="267"/>
    </row>
    <row r="162" spans="1:21" ht="12.75" x14ac:dyDescent="0.2">
      <c r="A162" s="288"/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70"/>
      <c r="T162" s="267"/>
      <c r="U162" s="267"/>
    </row>
    <row r="163" spans="1:21" ht="12.75" x14ac:dyDescent="0.2">
      <c r="A163" s="288"/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  <c r="S163" s="270"/>
      <c r="T163" s="267"/>
      <c r="U163" s="267"/>
    </row>
    <row r="164" spans="1:21" ht="12.75" x14ac:dyDescent="0.2">
      <c r="A164" s="288"/>
      <c r="B164" s="288"/>
      <c r="C164" s="288"/>
      <c r="D164" s="288"/>
      <c r="E164" s="288"/>
      <c r="F164" s="288"/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  <c r="S164" s="270"/>
      <c r="T164" s="267"/>
      <c r="U164" s="267"/>
    </row>
    <row r="165" spans="1:21" ht="12.75" x14ac:dyDescent="0.2">
      <c r="A165" s="288"/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  <c r="S165" s="270"/>
      <c r="T165" s="267"/>
      <c r="U165" s="267"/>
    </row>
    <row r="166" spans="1:21" ht="12.75" x14ac:dyDescent="0.2">
      <c r="A166" s="288"/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  <c r="S166" s="270"/>
      <c r="T166" s="267"/>
      <c r="U166" s="267"/>
    </row>
    <row r="167" spans="1:21" ht="12.75" x14ac:dyDescent="0.2">
      <c r="A167" s="288"/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  <c r="S167" s="270"/>
      <c r="T167" s="267"/>
      <c r="U167" s="267"/>
    </row>
    <row r="168" spans="1:21" ht="12.75" x14ac:dyDescent="0.2">
      <c r="A168" s="288"/>
      <c r="B168" s="288"/>
      <c r="C168" s="288"/>
      <c r="D168" s="288"/>
      <c r="E168" s="288"/>
      <c r="F168" s="288"/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  <c r="S168" s="270"/>
      <c r="T168" s="267"/>
      <c r="U168" s="267"/>
    </row>
    <row r="169" spans="1:21" ht="12.75" x14ac:dyDescent="0.2">
      <c r="A169" s="288"/>
      <c r="B169" s="288"/>
      <c r="C169" s="288"/>
      <c r="D169" s="288"/>
      <c r="E169" s="288"/>
      <c r="F169" s="288"/>
      <c r="G169" s="288"/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  <c r="S169" s="270"/>
      <c r="T169" s="267"/>
      <c r="U169" s="267"/>
    </row>
    <row r="170" spans="1:21" ht="12.75" x14ac:dyDescent="0.2">
      <c r="A170" s="288"/>
      <c r="B170" s="288"/>
      <c r="C170" s="288"/>
      <c r="D170" s="288"/>
      <c r="E170" s="288"/>
      <c r="F170" s="288"/>
      <c r="G170" s="288"/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  <c r="S170" s="270"/>
      <c r="T170" s="267"/>
      <c r="U170" s="267"/>
    </row>
    <row r="171" spans="1:21" ht="12.75" x14ac:dyDescent="0.2">
      <c r="A171" s="288"/>
      <c r="B171" s="288"/>
      <c r="C171" s="288"/>
      <c r="D171" s="288"/>
      <c r="E171" s="288"/>
      <c r="F171" s="288"/>
      <c r="G171" s="288"/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  <c r="S171" s="270"/>
      <c r="T171" s="267"/>
      <c r="U171" s="267"/>
    </row>
    <row r="172" spans="1:21" ht="12.75" x14ac:dyDescent="0.2">
      <c r="A172" s="288"/>
      <c r="B172" s="288"/>
      <c r="C172" s="288"/>
      <c r="D172" s="288"/>
      <c r="E172" s="288"/>
      <c r="F172" s="288"/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70"/>
      <c r="T172" s="267"/>
      <c r="U172" s="267"/>
    </row>
    <row r="173" spans="1:21" ht="12.75" x14ac:dyDescent="0.2">
      <c r="A173" s="288"/>
      <c r="B173" s="288"/>
      <c r="C173" s="288"/>
      <c r="D173" s="288"/>
      <c r="E173" s="288"/>
      <c r="F173" s="288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70"/>
      <c r="T173" s="267"/>
      <c r="U173" s="267"/>
    </row>
    <row r="174" spans="1:21" ht="12.75" x14ac:dyDescent="0.2">
      <c r="A174" s="288"/>
      <c r="B174" s="288"/>
      <c r="C174" s="288"/>
      <c r="D174" s="288"/>
      <c r="E174" s="288"/>
      <c r="F174" s="288"/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70"/>
      <c r="T174" s="267"/>
      <c r="U174" s="267"/>
    </row>
    <row r="175" spans="1:21" ht="12.75" x14ac:dyDescent="0.2">
      <c r="A175" s="288"/>
      <c r="B175" s="288"/>
      <c r="C175" s="288"/>
      <c r="D175" s="288"/>
      <c r="E175" s="288"/>
      <c r="F175" s="288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70"/>
      <c r="T175" s="267"/>
      <c r="U175" s="267"/>
    </row>
    <row r="176" spans="1:21" ht="12.75" x14ac:dyDescent="0.2">
      <c r="A176" s="288"/>
      <c r="B176" s="288"/>
      <c r="C176" s="288"/>
      <c r="D176" s="288"/>
      <c r="E176" s="288"/>
      <c r="F176" s="288"/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70"/>
      <c r="T176" s="267"/>
      <c r="U176" s="267"/>
    </row>
    <row r="177" spans="1:21" ht="12.75" x14ac:dyDescent="0.2">
      <c r="A177" s="288"/>
      <c r="B177" s="288"/>
      <c r="C177" s="288"/>
      <c r="D177" s="288"/>
      <c r="E177" s="288"/>
      <c r="F177" s="288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70"/>
      <c r="T177" s="267"/>
      <c r="U177" s="267"/>
    </row>
    <row r="178" spans="1:21" ht="12.75" x14ac:dyDescent="0.2">
      <c r="A178" s="288"/>
      <c r="B178" s="288"/>
      <c r="C178" s="288"/>
      <c r="D178" s="288"/>
      <c r="E178" s="288"/>
      <c r="F178" s="288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70"/>
      <c r="T178" s="267"/>
      <c r="U178" s="267"/>
    </row>
    <row r="179" spans="1:21" ht="12.75" x14ac:dyDescent="0.2">
      <c r="A179" s="288"/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70"/>
      <c r="T179" s="267"/>
      <c r="U179" s="267"/>
    </row>
    <row r="180" spans="1:21" ht="12.75" x14ac:dyDescent="0.2">
      <c r="A180" s="288"/>
      <c r="B180" s="288"/>
      <c r="C180" s="288"/>
      <c r="D180" s="288"/>
      <c r="E180" s="288"/>
      <c r="F180" s="288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70"/>
      <c r="T180" s="267"/>
      <c r="U180" s="267"/>
    </row>
    <row r="181" spans="1:21" ht="12.75" x14ac:dyDescent="0.2">
      <c r="A181" s="288"/>
      <c r="B181" s="288"/>
      <c r="C181" s="288"/>
      <c r="D181" s="288"/>
      <c r="E181" s="288"/>
      <c r="F181" s="288"/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70"/>
      <c r="T181" s="267"/>
      <c r="U181" s="267"/>
    </row>
    <row r="182" spans="1:21" ht="12.75" x14ac:dyDescent="0.2">
      <c r="A182" s="288"/>
      <c r="B182" s="288"/>
      <c r="C182" s="288"/>
      <c r="D182" s="288"/>
      <c r="E182" s="288"/>
      <c r="F182" s="288"/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70"/>
      <c r="T182" s="267"/>
      <c r="U182" s="267"/>
    </row>
    <row r="183" spans="1:21" ht="12.75" x14ac:dyDescent="0.2">
      <c r="A183" s="288"/>
      <c r="B183" s="288"/>
      <c r="C183" s="288"/>
      <c r="D183" s="288"/>
      <c r="E183" s="288"/>
      <c r="F183" s="288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70"/>
      <c r="T183" s="267"/>
      <c r="U183" s="267"/>
    </row>
    <row r="184" spans="1:21" ht="12.75" x14ac:dyDescent="0.2">
      <c r="A184" s="288"/>
      <c r="B184" s="288"/>
      <c r="C184" s="288"/>
      <c r="D184" s="288"/>
      <c r="E184" s="288"/>
      <c r="F184" s="288"/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70"/>
      <c r="T184" s="267"/>
      <c r="U184" s="267"/>
    </row>
    <row r="185" spans="1:21" ht="12.75" x14ac:dyDescent="0.2">
      <c r="A185" s="288"/>
      <c r="B185" s="288"/>
      <c r="C185" s="288"/>
      <c r="D185" s="288"/>
      <c r="E185" s="288"/>
      <c r="F185" s="288"/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70"/>
      <c r="T185" s="267"/>
      <c r="U185" s="267"/>
    </row>
    <row r="186" spans="1:21" ht="12.75" x14ac:dyDescent="0.2">
      <c r="A186" s="288"/>
      <c r="B186" s="288"/>
      <c r="C186" s="288"/>
      <c r="D186" s="288"/>
      <c r="E186" s="288"/>
      <c r="F186" s="288"/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70"/>
      <c r="T186" s="267"/>
      <c r="U186" s="267"/>
    </row>
    <row r="187" spans="1:21" ht="12.75" x14ac:dyDescent="0.2">
      <c r="A187" s="288"/>
      <c r="B187" s="288"/>
      <c r="C187" s="288"/>
      <c r="D187" s="288"/>
      <c r="E187" s="288"/>
      <c r="F187" s="288"/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70"/>
      <c r="T187" s="267"/>
      <c r="U187" s="267"/>
    </row>
    <row r="188" spans="1:21" ht="12.75" x14ac:dyDescent="0.2">
      <c r="A188" s="288"/>
      <c r="B188" s="288"/>
      <c r="C188" s="288"/>
      <c r="D188" s="288"/>
      <c r="E188" s="288"/>
      <c r="F188" s="288"/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70"/>
      <c r="T188" s="267"/>
      <c r="U188" s="267"/>
    </row>
    <row r="189" spans="1:21" ht="12.75" x14ac:dyDescent="0.2">
      <c r="A189" s="288"/>
      <c r="B189" s="288"/>
      <c r="C189" s="288"/>
      <c r="D189" s="288"/>
      <c r="E189" s="288"/>
      <c r="F189" s="288"/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70"/>
      <c r="T189" s="267"/>
      <c r="U189" s="267"/>
    </row>
    <row r="190" spans="1:21" ht="12.75" x14ac:dyDescent="0.2">
      <c r="A190" s="288"/>
      <c r="B190" s="288"/>
      <c r="C190" s="288"/>
      <c r="D190" s="288"/>
      <c r="E190" s="288"/>
      <c r="F190" s="288"/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70"/>
      <c r="T190" s="267"/>
      <c r="U190" s="267"/>
    </row>
    <row r="191" spans="1:21" ht="12.75" x14ac:dyDescent="0.2">
      <c r="A191" s="288"/>
      <c r="B191" s="288"/>
      <c r="C191" s="288"/>
      <c r="D191" s="288"/>
      <c r="E191" s="288"/>
      <c r="F191" s="288"/>
      <c r="G191" s="288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70"/>
      <c r="T191" s="267"/>
      <c r="U191" s="267"/>
    </row>
    <row r="192" spans="1:21" ht="12.75" x14ac:dyDescent="0.2">
      <c r="A192" s="288"/>
      <c r="B192" s="288"/>
      <c r="C192" s="288"/>
      <c r="D192" s="288"/>
      <c r="E192" s="288"/>
      <c r="F192" s="288"/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70"/>
      <c r="T192" s="267"/>
      <c r="U192" s="267"/>
    </row>
    <row r="193" spans="1:21" ht="12.75" x14ac:dyDescent="0.2">
      <c r="A193" s="288"/>
      <c r="B193" s="288"/>
      <c r="C193" s="288"/>
      <c r="D193" s="288"/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70"/>
      <c r="T193" s="267"/>
      <c r="U193" s="267"/>
    </row>
    <row r="194" spans="1:21" ht="12.75" x14ac:dyDescent="0.2">
      <c r="A194" s="288"/>
      <c r="B194" s="288"/>
      <c r="C194" s="288"/>
      <c r="D194" s="288"/>
      <c r="E194" s="288"/>
      <c r="F194" s="288"/>
      <c r="G194" s="288"/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70"/>
      <c r="T194" s="267"/>
      <c r="U194" s="267"/>
    </row>
    <row r="195" spans="1:21" ht="12.75" x14ac:dyDescent="0.2">
      <c r="A195" s="288"/>
      <c r="B195" s="288"/>
      <c r="C195" s="288"/>
      <c r="D195" s="288"/>
      <c r="E195" s="288"/>
      <c r="F195" s="288"/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70"/>
      <c r="T195" s="267"/>
      <c r="U195" s="267"/>
    </row>
    <row r="196" spans="1:21" ht="12.75" x14ac:dyDescent="0.2">
      <c r="A196" s="288"/>
      <c r="B196" s="288"/>
      <c r="C196" s="288"/>
      <c r="D196" s="288"/>
      <c r="E196" s="288"/>
      <c r="F196" s="288"/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70"/>
      <c r="T196" s="267"/>
      <c r="U196" s="267"/>
    </row>
    <row r="197" spans="1:21" ht="12.75" x14ac:dyDescent="0.2">
      <c r="A197" s="288"/>
      <c r="B197" s="288"/>
      <c r="C197" s="288"/>
      <c r="D197" s="288"/>
      <c r="E197" s="288"/>
      <c r="F197" s="288"/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70"/>
      <c r="T197" s="267"/>
      <c r="U197" s="267"/>
    </row>
    <row r="198" spans="1:21" ht="12.75" x14ac:dyDescent="0.2">
      <c r="A198" s="288"/>
      <c r="B198" s="288"/>
      <c r="C198" s="288"/>
      <c r="D198" s="288"/>
      <c r="E198" s="288"/>
      <c r="F198" s="288"/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70"/>
      <c r="T198" s="267"/>
      <c r="U198" s="267"/>
    </row>
    <row r="199" spans="1:21" ht="12.75" x14ac:dyDescent="0.2">
      <c r="A199" s="288"/>
      <c r="B199" s="288"/>
      <c r="C199" s="288"/>
      <c r="D199" s="288"/>
      <c r="E199" s="288"/>
      <c r="F199" s="288"/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70"/>
      <c r="T199" s="267"/>
      <c r="U199" s="267"/>
    </row>
    <row r="200" spans="1:21" x14ac:dyDescent="0.15">
      <c r="A200" s="267"/>
      <c r="B200" s="267"/>
      <c r="C200" s="267"/>
      <c r="D200" s="267"/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</row>
  </sheetData>
  <mergeCells count="8">
    <mergeCell ref="A49:Q49"/>
    <mergeCell ref="A50:Q50"/>
    <mergeCell ref="A1:Q1"/>
    <mergeCell ref="A2:Q2"/>
    <mergeCell ref="A3:Q3"/>
    <mergeCell ref="A4:Q4"/>
    <mergeCell ref="A47:Q47"/>
    <mergeCell ref="A48:Q48"/>
  </mergeCells>
  <phoneticPr fontId="3" type="noConversion"/>
  <printOptions horizontalCentered="1"/>
  <pageMargins left="0.25" right="0.25" top="1" bottom="0.5" header="0.5" footer="0.5"/>
  <pageSetup scale="85" orientation="landscape" r:id="rId1"/>
  <headerFooter alignWithMargins="0"/>
  <rowBreaks count="1" manualBreakCount="1">
    <brk id="4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35"/>
  <sheetViews>
    <sheetView zoomScaleNormal="125" workbookViewId="0">
      <selection activeCell="O8" sqref="O8"/>
    </sheetView>
  </sheetViews>
  <sheetFormatPr defaultColWidth="12.5" defaultRowHeight="9" x14ac:dyDescent="0.15"/>
  <cols>
    <col min="1" max="1" width="4.1640625" style="67" customWidth="1"/>
    <col min="2" max="2" width="1.6640625" style="67" customWidth="1"/>
    <col min="3" max="3" width="7.5" style="67" customWidth="1"/>
    <col min="4" max="4" width="1.6640625" style="67" customWidth="1"/>
    <col min="5" max="5" width="31.6640625" style="67" customWidth="1"/>
    <col min="6" max="6" width="1.6640625" style="67" customWidth="1"/>
    <col min="7" max="7" width="20.5" style="67" bestFit="1" customWidth="1"/>
    <col min="8" max="8" width="1.6640625" style="67" customWidth="1"/>
    <col min="9" max="9" width="19.5" style="67" bestFit="1" customWidth="1"/>
    <col min="10" max="10" width="1.6640625" style="67" customWidth="1"/>
    <col min="11" max="11" width="19.5" style="67" bestFit="1" customWidth="1"/>
    <col min="12" max="12" width="1.6640625" style="67" customWidth="1"/>
    <col min="13" max="13" width="15.83203125" style="67" bestFit="1" customWidth="1"/>
    <col min="14" max="14" width="1.6640625" style="67" customWidth="1"/>
    <col min="15" max="15" width="35.1640625" style="67" bestFit="1" customWidth="1"/>
    <col min="16" max="16384" width="12.5" style="67"/>
  </cols>
  <sheetData>
    <row r="1" spans="1:15" ht="12.75" x14ac:dyDescent="0.2">
      <c r="A1" s="1400" t="s">
        <v>993</v>
      </c>
      <c r="B1" s="1400"/>
      <c r="C1" s="1400"/>
      <c r="D1" s="1400"/>
      <c r="E1" s="1400"/>
      <c r="F1" s="1400"/>
      <c r="G1" s="1400"/>
      <c r="H1" s="1400"/>
      <c r="I1" s="1400"/>
      <c r="J1" s="1400"/>
      <c r="K1" s="1400"/>
      <c r="L1" s="1400"/>
      <c r="M1" s="1400"/>
      <c r="N1" s="1400"/>
      <c r="O1" s="1400"/>
    </row>
    <row r="2" spans="1:15" ht="12.75" x14ac:dyDescent="0.2">
      <c r="A2" s="1402" t="str">
        <f>+Input!C4</f>
        <v>CASE NO. 2017-xxxxx</v>
      </c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1402"/>
      <c r="M2" s="1402"/>
      <c r="N2" s="1402"/>
      <c r="O2" s="1402"/>
    </row>
    <row r="3" spans="1:15" ht="12.75" x14ac:dyDescent="0.2">
      <c r="A3" s="1400" t="s">
        <v>242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</row>
    <row r="4" spans="1:15" ht="12.75" x14ac:dyDescent="0.2">
      <c r="A4" s="1401" t="str">
        <f>+Input!C7</f>
        <v>AS OF DECEMBER 31, 2017</v>
      </c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</row>
    <row r="5" spans="1:15" ht="12.75" x14ac:dyDescent="0.2">
      <c r="A5" s="269" t="s">
        <v>839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1" t="s">
        <v>243</v>
      </c>
    </row>
    <row r="6" spans="1:15" ht="12.75" x14ac:dyDescent="0.2">
      <c r="A6" s="269" t="s">
        <v>490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1" t="s">
        <v>491</v>
      </c>
    </row>
    <row r="7" spans="1:15" ht="12.75" x14ac:dyDescent="0.2">
      <c r="A7" s="272" t="s">
        <v>840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1" t="str">
        <f>+Input!E27</f>
        <v>WITNESS:  C. Y. LAI</v>
      </c>
    </row>
    <row r="8" spans="1:15" ht="12.75" x14ac:dyDescent="0.2">
      <c r="A8" s="273"/>
      <c r="B8" s="273"/>
      <c r="C8" s="273"/>
      <c r="D8" s="273"/>
      <c r="E8" s="273"/>
      <c r="F8" s="273"/>
      <c r="G8" s="274" t="s">
        <v>739</v>
      </c>
      <c r="H8" s="273"/>
      <c r="I8" s="273"/>
      <c r="J8" s="273"/>
      <c r="K8" s="273"/>
      <c r="L8" s="273"/>
      <c r="M8" s="273"/>
      <c r="N8" s="273"/>
      <c r="O8" s="273"/>
    </row>
    <row r="9" spans="1:15" ht="12.75" x14ac:dyDescent="0.2">
      <c r="A9" s="269" t="s">
        <v>493</v>
      </c>
      <c r="B9" s="270"/>
      <c r="C9" s="265" t="s">
        <v>1143</v>
      </c>
      <c r="D9" s="270"/>
      <c r="E9" s="270"/>
      <c r="F9" s="270"/>
      <c r="G9" s="265" t="s">
        <v>1148</v>
      </c>
      <c r="H9" s="270"/>
      <c r="I9" s="265" t="s">
        <v>523</v>
      </c>
      <c r="J9" s="270"/>
      <c r="K9" s="265" t="s">
        <v>523</v>
      </c>
      <c r="L9" s="270"/>
      <c r="M9" s="265" t="s">
        <v>1232</v>
      </c>
      <c r="N9" s="270"/>
      <c r="O9" s="265" t="s">
        <v>244</v>
      </c>
    </row>
    <row r="10" spans="1:15" ht="12.75" x14ac:dyDescent="0.2">
      <c r="A10" s="265" t="s">
        <v>496</v>
      </c>
      <c r="B10" s="270"/>
      <c r="C10" s="265" t="s">
        <v>496</v>
      </c>
      <c r="D10" s="270"/>
      <c r="E10" s="265" t="s">
        <v>235</v>
      </c>
      <c r="F10" s="270"/>
      <c r="G10" s="265" t="s">
        <v>1235</v>
      </c>
      <c r="H10" s="270"/>
      <c r="I10" s="265" t="s">
        <v>983</v>
      </c>
      <c r="J10" s="270"/>
      <c r="K10" s="265" t="s">
        <v>1235</v>
      </c>
      <c r="L10" s="270"/>
      <c r="M10" s="265" t="s">
        <v>852</v>
      </c>
      <c r="N10" s="270"/>
      <c r="O10" s="265" t="s">
        <v>245</v>
      </c>
    </row>
    <row r="11" spans="1:15" ht="12.75" x14ac:dyDescent="0.2">
      <c r="A11" s="275" t="s">
        <v>1746</v>
      </c>
      <c r="B11" s="276"/>
      <c r="C11" s="275" t="s">
        <v>1747</v>
      </c>
      <c r="D11" s="276"/>
      <c r="E11" s="275" t="s">
        <v>1748</v>
      </c>
      <c r="F11" s="276"/>
      <c r="G11" s="275" t="s">
        <v>1749</v>
      </c>
      <c r="H11" s="276"/>
      <c r="I11" s="275" t="s">
        <v>136</v>
      </c>
      <c r="J11" s="276"/>
      <c r="K11" s="275" t="s">
        <v>1751</v>
      </c>
      <c r="L11" s="276"/>
      <c r="M11" s="275" t="s">
        <v>180</v>
      </c>
      <c r="N11" s="276"/>
      <c r="O11" s="275" t="s">
        <v>237</v>
      </c>
    </row>
    <row r="12" spans="1:15" ht="12.75" x14ac:dyDescent="0.2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</row>
    <row r="13" spans="1:15" ht="12.75" x14ac:dyDescent="0.2">
      <c r="A13" s="294"/>
      <c r="B13" s="270"/>
      <c r="C13" s="277"/>
      <c r="D13" s="270"/>
      <c r="E13" s="295"/>
      <c r="F13" s="270"/>
      <c r="G13" s="277"/>
      <c r="H13" s="270"/>
      <c r="I13" s="277"/>
      <c r="J13" s="270"/>
      <c r="K13" s="277"/>
      <c r="L13" s="270"/>
      <c r="M13" s="277"/>
      <c r="N13" s="270"/>
      <c r="O13" s="277"/>
    </row>
    <row r="14" spans="1:15" ht="12.75" x14ac:dyDescent="0.2">
      <c r="A14" s="294"/>
      <c r="B14" s="270"/>
      <c r="C14" s="277"/>
      <c r="D14" s="270"/>
      <c r="E14" s="277"/>
      <c r="F14" s="270"/>
      <c r="G14" s="277"/>
      <c r="H14" s="270"/>
      <c r="I14" s="277"/>
      <c r="J14" s="270"/>
      <c r="K14" s="277"/>
      <c r="L14" s="270"/>
      <c r="M14" s="277"/>
      <c r="N14" s="270"/>
      <c r="O14" s="277"/>
    </row>
    <row r="15" spans="1:15" ht="12.75" x14ac:dyDescent="0.2">
      <c r="A15" s="1402"/>
      <c r="B15" s="1402"/>
      <c r="C15" s="1402"/>
      <c r="D15" s="1402"/>
      <c r="E15" s="1402"/>
      <c r="F15" s="1402"/>
      <c r="G15" s="1402"/>
      <c r="H15" s="1402"/>
      <c r="I15" s="1402"/>
      <c r="J15" s="1402"/>
      <c r="K15" s="1402"/>
      <c r="L15" s="1402"/>
      <c r="M15" s="1402"/>
      <c r="N15" s="1402"/>
      <c r="O15" s="1402"/>
    </row>
    <row r="16" spans="1:15" ht="12.75" customHeight="1" x14ac:dyDescent="0.2">
      <c r="A16" s="1402" t="s">
        <v>246</v>
      </c>
      <c r="B16" s="1402"/>
      <c r="C16" s="1402"/>
      <c r="D16" s="1402"/>
      <c r="E16" s="1402"/>
      <c r="F16" s="1402"/>
      <c r="G16" s="1402"/>
      <c r="H16" s="1402"/>
      <c r="I16" s="1402"/>
      <c r="J16" s="1402"/>
      <c r="K16" s="1402"/>
      <c r="L16" s="1402"/>
      <c r="M16" s="1402"/>
      <c r="N16" s="1402"/>
      <c r="O16" s="1402"/>
    </row>
    <row r="17" spans="1:15" ht="12.75" x14ac:dyDescent="0.2">
      <c r="A17" s="294"/>
      <c r="B17" s="270"/>
      <c r="C17" s="277"/>
      <c r="D17" s="270"/>
      <c r="E17" s="277"/>
      <c r="F17" s="270"/>
      <c r="G17" s="277"/>
      <c r="H17" s="270"/>
      <c r="I17" s="277"/>
      <c r="J17" s="270"/>
      <c r="K17" s="277"/>
      <c r="L17" s="270"/>
      <c r="M17" s="277"/>
      <c r="N17" s="270"/>
      <c r="O17" s="277"/>
    </row>
    <row r="18" spans="1:15" ht="12.75" x14ac:dyDescent="0.2">
      <c r="A18" s="294"/>
      <c r="B18" s="270"/>
      <c r="C18" s="277"/>
      <c r="D18" s="270"/>
      <c r="E18" s="277"/>
      <c r="F18" s="270"/>
      <c r="G18" s="277"/>
      <c r="H18" s="270"/>
      <c r="I18" s="277"/>
      <c r="J18" s="270"/>
      <c r="K18" s="277"/>
      <c r="L18" s="270"/>
      <c r="M18" s="277"/>
      <c r="N18" s="270"/>
      <c r="O18" s="277"/>
    </row>
    <row r="19" spans="1:15" x14ac:dyDescent="0.15">
      <c r="A19" s="296"/>
      <c r="B19" s="267"/>
      <c r="C19" s="297"/>
      <c r="D19" s="267"/>
      <c r="E19" s="297"/>
      <c r="F19" s="267"/>
      <c r="G19" s="297"/>
      <c r="H19" s="267"/>
      <c r="I19" s="297"/>
      <c r="J19" s="267"/>
      <c r="K19" s="297"/>
      <c r="L19" s="267"/>
      <c r="M19" s="297"/>
      <c r="N19" s="267"/>
      <c r="O19" s="297"/>
    </row>
    <row r="20" spans="1:15" x14ac:dyDescent="0.15">
      <c r="A20" s="70"/>
      <c r="C20" s="68"/>
      <c r="E20" s="68"/>
      <c r="G20" s="68"/>
      <c r="I20" s="68"/>
      <c r="K20" s="68"/>
      <c r="M20" s="68"/>
      <c r="O20" s="68"/>
    </row>
    <row r="21" spans="1:15" x14ac:dyDescent="0.15">
      <c r="A21" s="70"/>
      <c r="C21" s="68"/>
      <c r="E21" s="71"/>
      <c r="G21" s="68"/>
      <c r="I21" s="68"/>
      <c r="K21" s="68"/>
      <c r="M21" s="68"/>
      <c r="O21" s="68"/>
    </row>
    <row r="22" spans="1:15" x14ac:dyDescent="0.15">
      <c r="A22" s="70"/>
      <c r="C22" s="68"/>
      <c r="E22" s="68"/>
      <c r="G22" s="68"/>
      <c r="I22" s="68"/>
      <c r="K22" s="68"/>
      <c r="M22" s="68"/>
      <c r="O22" s="68"/>
    </row>
    <row r="23" spans="1:15" x14ac:dyDescent="0.15">
      <c r="A23" s="70"/>
      <c r="C23" s="68"/>
      <c r="E23" s="68"/>
      <c r="G23" s="68"/>
      <c r="I23" s="68"/>
      <c r="K23" s="68"/>
      <c r="M23" s="68"/>
      <c r="O23" s="68"/>
    </row>
    <row r="24" spans="1:15" x14ac:dyDescent="0.15">
      <c r="A24" s="70"/>
      <c r="C24" s="68"/>
      <c r="E24" s="68"/>
      <c r="G24" s="68"/>
      <c r="I24" s="68"/>
      <c r="K24" s="68"/>
      <c r="M24" s="68"/>
      <c r="O24" s="68"/>
    </row>
    <row r="25" spans="1:15" x14ac:dyDescent="0.15">
      <c r="A25" s="70"/>
      <c r="C25" s="68"/>
      <c r="E25" s="68"/>
      <c r="G25" s="68"/>
      <c r="I25" s="68"/>
      <c r="K25" s="68"/>
      <c r="M25" s="68"/>
      <c r="O25" s="68"/>
    </row>
    <row r="26" spans="1:15" x14ac:dyDescent="0.15">
      <c r="A26" s="70"/>
      <c r="C26" s="68"/>
      <c r="E26" s="68"/>
      <c r="G26" s="68"/>
      <c r="I26" s="68"/>
      <c r="K26" s="68"/>
      <c r="M26" s="68"/>
      <c r="O26" s="68"/>
    </row>
    <row r="27" spans="1:15" x14ac:dyDescent="0.15">
      <c r="A27" s="70"/>
      <c r="C27" s="68"/>
      <c r="E27" s="71"/>
      <c r="G27" s="68"/>
      <c r="I27" s="68"/>
      <c r="K27" s="68"/>
      <c r="M27" s="68"/>
      <c r="O27" s="68"/>
    </row>
    <row r="28" spans="1:15" x14ac:dyDescent="0.15">
      <c r="A28" s="70"/>
      <c r="C28" s="68"/>
      <c r="E28" s="68"/>
      <c r="G28" s="68"/>
      <c r="I28" s="68"/>
      <c r="K28" s="68"/>
      <c r="M28" s="68"/>
      <c r="O28" s="68"/>
    </row>
    <row r="29" spans="1:15" x14ac:dyDescent="0.15">
      <c r="A29" s="70"/>
      <c r="C29" s="68"/>
      <c r="E29" s="68"/>
      <c r="G29" s="68"/>
      <c r="I29" s="68"/>
      <c r="K29" s="68"/>
      <c r="M29" s="68"/>
      <c r="O29" s="68"/>
    </row>
    <row r="30" spans="1:15" x14ac:dyDescent="0.15">
      <c r="A30" s="70"/>
      <c r="C30" s="68"/>
      <c r="E30" s="68"/>
      <c r="G30" s="68"/>
      <c r="I30" s="68"/>
      <c r="K30" s="68"/>
      <c r="M30" s="68"/>
      <c r="O30" s="68"/>
    </row>
    <row r="31" spans="1:15" x14ac:dyDescent="0.15">
      <c r="A31" s="70"/>
      <c r="C31" s="68"/>
      <c r="E31" s="68"/>
      <c r="G31" s="68"/>
      <c r="I31" s="68"/>
      <c r="K31" s="68"/>
      <c r="M31" s="68"/>
      <c r="O31" s="68"/>
    </row>
    <row r="32" spans="1:15" x14ac:dyDescent="0.15">
      <c r="A32" s="70"/>
      <c r="C32" s="68"/>
      <c r="E32" s="68"/>
      <c r="G32" s="68"/>
      <c r="I32" s="68"/>
      <c r="K32" s="68"/>
      <c r="M32" s="68"/>
      <c r="O32" s="68"/>
    </row>
    <row r="33" spans="1:15" x14ac:dyDescent="0.15">
      <c r="A33" s="70"/>
      <c r="C33" s="68"/>
      <c r="E33" s="68"/>
      <c r="G33" s="68"/>
      <c r="I33" s="68"/>
      <c r="K33" s="68"/>
      <c r="M33" s="68"/>
      <c r="O33" s="68"/>
    </row>
    <row r="34" spans="1:15" x14ac:dyDescent="0.15">
      <c r="A34" s="70"/>
      <c r="C34" s="68"/>
      <c r="E34" s="68"/>
      <c r="G34" s="68"/>
      <c r="I34" s="68"/>
      <c r="K34" s="68"/>
      <c r="M34" s="68"/>
      <c r="O34" s="68"/>
    </row>
    <row r="35" spans="1:15" x14ac:dyDescent="0.15">
      <c r="A35" s="70"/>
      <c r="C35" s="68"/>
      <c r="E35" s="68"/>
      <c r="G35" s="68"/>
      <c r="I35" s="68"/>
      <c r="K35" s="68"/>
      <c r="M35" s="68"/>
      <c r="O35" s="68"/>
    </row>
  </sheetData>
  <mergeCells count="6">
    <mergeCell ref="A15:O15"/>
    <mergeCell ref="A16:O16"/>
    <mergeCell ref="A1:O1"/>
    <mergeCell ref="A2:O2"/>
    <mergeCell ref="A3:O3"/>
    <mergeCell ref="A4:O4"/>
  </mergeCells>
  <phoneticPr fontId="3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Z245"/>
  <sheetViews>
    <sheetView zoomScale="85" zoomScaleNormal="125" zoomScaleSheetLayoutView="75" workbookViewId="0">
      <selection activeCell="E25" sqref="E25"/>
    </sheetView>
  </sheetViews>
  <sheetFormatPr defaultColWidth="12.5" defaultRowHeight="9" x14ac:dyDescent="0.15"/>
  <cols>
    <col min="1" max="1" width="5.5" style="67" customWidth="1"/>
    <col min="2" max="2" width="1.6640625" style="67" customWidth="1"/>
    <col min="3" max="3" width="8.6640625" style="67" customWidth="1"/>
    <col min="4" max="4" width="1.6640625" style="67" customWidth="1"/>
    <col min="5" max="5" width="51.5" style="67" bestFit="1" customWidth="1"/>
    <col min="6" max="6" width="1.6640625" style="67" customWidth="1"/>
    <col min="7" max="7" width="17" style="67" bestFit="1" customWidth="1"/>
    <col min="8" max="8" width="1.6640625" style="67" customWidth="1"/>
    <col min="9" max="9" width="14.83203125" style="67" customWidth="1"/>
    <col min="10" max="10" width="1.6640625" style="67" customWidth="1"/>
    <col min="11" max="11" width="21.33203125" style="1230" bestFit="1" customWidth="1"/>
    <col min="12" max="12" width="1.6640625" style="67" customWidth="1"/>
    <col min="13" max="13" width="12.6640625" style="67" bestFit="1" customWidth="1"/>
    <col min="14" max="14" width="1.6640625" style="67" customWidth="1"/>
    <col min="15" max="15" width="10.6640625" style="67" customWidth="1"/>
    <col min="16" max="16" width="1.6640625" style="67" customWidth="1"/>
    <col min="17" max="17" width="18.33203125" style="67" customWidth="1"/>
    <col min="18" max="18" width="1.6640625" style="67" customWidth="1"/>
    <col min="19" max="19" width="16.1640625" style="67" customWidth="1"/>
    <col min="20" max="16384" width="12.5" style="67"/>
  </cols>
  <sheetData>
    <row r="1" spans="1:26" ht="12.75" x14ac:dyDescent="0.2">
      <c r="A1" s="1400" t="s">
        <v>993</v>
      </c>
      <c r="B1" s="1400"/>
      <c r="C1" s="1400"/>
      <c r="D1" s="1400"/>
      <c r="E1" s="1400"/>
      <c r="F1" s="1400"/>
      <c r="G1" s="1400"/>
      <c r="H1" s="1400"/>
      <c r="I1" s="1400"/>
      <c r="J1" s="1400"/>
      <c r="K1" s="1400"/>
      <c r="L1" s="1400"/>
      <c r="M1" s="1400"/>
      <c r="N1" s="1400"/>
      <c r="O1" s="1400"/>
      <c r="P1" s="1400"/>
      <c r="Q1" s="1400"/>
      <c r="R1" s="1400"/>
      <c r="S1" s="1400"/>
      <c r="T1" s="270"/>
      <c r="U1" s="270"/>
      <c r="W1" s="69"/>
      <c r="X1" s="69"/>
      <c r="Y1" s="69"/>
      <c r="Z1" s="69"/>
    </row>
    <row r="2" spans="1:26" ht="12.75" x14ac:dyDescent="0.2">
      <c r="A2" s="1402" t="str">
        <f>+Input!C4</f>
        <v>CASE NO. 2017-xxxxx</v>
      </c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1402"/>
      <c r="M2" s="1402"/>
      <c r="N2" s="1402"/>
      <c r="O2" s="1402"/>
      <c r="P2" s="1402"/>
      <c r="Q2" s="1402"/>
      <c r="R2" s="1402"/>
      <c r="S2" s="1402"/>
      <c r="T2" s="270"/>
      <c r="U2" s="270"/>
      <c r="W2" s="69"/>
      <c r="X2" s="69"/>
      <c r="Y2" s="69"/>
      <c r="Z2" s="69"/>
    </row>
    <row r="3" spans="1:26" ht="12.75" x14ac:dyDescent="0.2">
      <c r="A3" s="1400" t="s">
        <v>247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  <c r="Q3" s="1400"/>
      <c r="R3" s="1400"/>
      <c r="S3" s="1400"/>
      <c r="T3" s="270"/>
      <c r="U3" s="270"/>
      <c r="W3" s="69"/>
      <c r="X3" s="69"/>
      <c r="Y3" s="69"/>
      <c r="Z3" s="69"/>
    </row>
    <row r="4" spans="1:26" ht="12.75" x14ac:dyDescent="0.2">
      <c r="A4" s="1402" t="str">
        <f>+Input!C12</f>
        <v>HISTORIC PERIOD ENDING DECEMBER 31, 2017</v>
      </c>
      <c r="B4" s="1402"/>
      <c r="C4" s="1402"/>
      <c r="D4" s="1402"/>
      <c r="E4" s="1402"/>
      <c r="F4" s="1402"/>
      <c r="G4" s="1402"/>
      <c r="H4" s="1402"/>
      <c r="I4" s="1402"/>
      <c r="J4" s="1402"/>
      <c r="K4" s="1402"/>
      <c r="L4" s="1402"/>
      <c r="M4" s="1402"/>
      <c r="N4" s="1402"/>
      <c r="O4" s="1402"/>
      <c r="P4" s="1402"/>
      <c r="Q4" s="1402"/>
      <c r="R4" s="1402"/>
      <c r="S4" s="1402"/>
      <c r="T4" s="270"/>
      <c r="U4" s="270"/>
      <c r="W4" s="69"/>
      <c r="X4" s="69"/>
      <c r="Y4" s="69"/>
      <c r="Z4" s="69"/>
    </row>
    <row r="5" spans="1:26" ht="12.75" x14ac:dyDescent="0.2">
      <c r="A5" s="269" t="s">
        <v>839</v>
      </c>
      <c r="B5" s="270"/>
      <c r="C5" s="270"/>
      <c r="D5" s="270"/>
      <c r="E5" s="270"/>
      <c r="F5" s="270"/>
      <c r="G5" s="270"/>
      <c r="H5" s="270"/>
      <c r="I5" s="270"/>
      <c r="J5" s="270"/>
      <c r="K5" s="311"/>
      <c r="L5" s="270"/>
      <c r="M5" s="270"/>
      <c r="N5" s="270"/>
      <c r="P5" s="270"/>
      <c r="Q5" s="270"/>
      <c r="R5" s="270"/>
      <c r="S5" s="271" t="s">
        <v>248</v>
      </c>
      <c r="T5" s="270"/>
      <c r="U5" s="270"/>
      <c r="W5" s="69"/>
      <c r="X5" s="69"/>
      <c r="Y5" s="69"/>
      <c r="Z5" s="69"/>
    </row>
    <row r="6" spans="1:26" ht="12.75" x14ac:dyDescent="0.2">
      <c r="A6" s="269" t="s">
        <v>490</v>
      </c>
      <c r="B6" s="270"/>
      <c r="C6" s="270"/>
      <c r="D6" s="270"/>
      <c r="E6" s="270"/>
      <c r="F6" s="270"/>
      <c r="G6" s="270"/>
      <c r="H6" s="270"/>
      <c r="I6" s="270"/>
      <c r="J6" s="270"/>
      <c r="K6" s="311"/>
      <c r="L6" s="270"/>
      <c r="M6" s="270"/>
      <c r="N6" s="270"/>
      <c r="P6" s="270"/>
      <c r="Q6" s="270"/>
      <c r="R6" s="270"/>
      <c r="S6" s="271" t="s">
        <v>997</v>
      </c>
      <c r="T6" s="270"/>
      <c r="U6" s="270"/>
      <c r="W6" s="69"/>
      <c r="X6" s="69"/>
      <c r="Y6" s="69"/>
      <c r="Z6" s="69"/>
    </row>
    <row r="7" spans="1:26" ht="12.75" x14ac:dyDescent="0.2">
      <c r="A7" s="298" t="s">
        <v>840</v>
      </c>
      <c r="B7" s="291"/>
      <c r="C7" s="291"/>
      <c r="D7" s="291"/>
      <c r="E7" s="291"/>
      <c r="F7" s="291"/>
      <c r="G7" s="291"/>
      <c r="H7" s="291"/>
      <c r="I7" s="291"/>
      <c r="J7" s="291"/>
      <c r="K7" s="313"/>
      <c r="L7" s="291"/>
      <c r="M7" s="291"/>
      <c r="N7" s="291"/>
      <c r="P7" s="291"/>
      <c r="Q7" s="291"/>
      <c r="R7" s="291"/>
      <c r="S7" s="299" t="str">
        <f>+Input!E27</f>
        <v>WITNESS:  C. Y. LAI</v>
      </c>
      <c r="T7" s="270"/>
      <c r="U7" s="270"/>
      <c r="W7" s="69"/>
      <c r="X7" s="69"/>
      <c r="Y7" s="69"/>
      <c r="Z7" s="69"/>
    </row>
    <row r="8" spans="1:26" ht="12.75" x14ac:dyDescent="0.2">
      <c r="A8" s="273"/>
      <c r="B8" s="273"/>
      <c r="C8" s="273"/>
      <c r="D8" s="273"/>
      <c r="E8" s="273"/>
      <c r="F8" s="273"/>
      <c r="G8" s="300"/>
      <c r="H8" s="300"/>
      <c r="I8" s="301" t="s">
        <v>249</v>
      </c>
      <c r="J8" s="300"/>
      <c r="K8" s="302"/>
      <c r="L8" s="273"/>
      <c r="M8" s="274" t="s">
        <v>495</v>
      </c>
      <c r="N8" s="273"/>
      <c r="O8" s="302"/>
      <c r="P8" s="302"/>
      <c r="Q8" s="303" t="str">
        <f>+Input!C7</f>
        <v>AS OF DECEMBER 31, 2017</v>
      </c>
      <c r="R8" s="304"/>
      <c r="S8" s="302"/>
      <c r="T8" s="270"/>
      <c r="U8" s="270"/>
      <c r="W8" s="69"/>
      <c r="X8" s="69"/>
      <c r="Y8" s="69"/>
      <c r="Z8" s="69"/>
    </row>
    <row r="9" spans="1:26" ht="12.75" x14ac:dyDescent="0.2">
      <c r="A9" s="265" t="s">
        <v>493</v>
      </c>
      <c r="B9" s="270"/>
      <c r="C9" s="265" t="s">
        <v>1143</v>
      </c>
      <c r="D9" s="270"/>
      <c r="E9" s="270"/>
      <c r="F9" s="270"/>
      <c r="G9" s="1404" t="str">
        <f>+Input!C7</f>
        <v>AS OF DECEMBER 31, 2017</v>
      </c>
      <c r="H9" s="1404"/>
      <c r="I9" s="1404"/>
      <c r="J9" s="270"/>
      <c r="K9" s="268" t="s">
        <v>250</v>
      </c>
      <c r="L9" s="270"/>
      <c r="M9" s="265" t="s">
        <v>753</v>
      </c>
      <c r="N9" s="270"/>
      <c r="O9" s="265" t="s">
        <v>252</v>
      </c>
      <c r="P9" s="270"/>
      <c r="Q9" s="265" t="s">
        <v>253</v>
      </c>
      <c r="R9" s="270"/>
      <c r="S9" s="265" t="s">
        <v>254</v>
      </c>
      <c r="T9" s="270"/>
      <c r="U9" s="270"/>
      <c r="W9" s="69"/>
      <c r="X9" s="69"/>
      <c r="Y9" s="69"/>
      <c r="Z9" s="69"/>
    </row>
    <row r="10" spans="1:26" ht="12.75" x14ac:dyDescent="0.2">
      <c r="A10" s="265" t="s">
        <v>496</v>
      </c>
      <c r="B10" s="270"/>
      <c r="C10" s="265" t="s">
        <v>496</v>
      </c>
      <c r="D10" s="270"/>
      <c r="E10" s="265" t="s">
        <v>235</v>
      </c>
      <c r="F10" s="270"/>
      <c r="G10" s="265" t="s">
        <v>236</v>
      </c>
      <c r="H10" s="270"/>
      <c r="I10" s="265" t="s">
        <v>255</v>
      </c>
      <c r="J10" s="270"/>
      <c r="K10" s="268" t="s">
        <v>1449</v>
      </c>
      <c r="L10" s="270"/>
      <c r="M10" s="265" t="s">
        <v>754</v>
      </c>
      <c r="N10" s="270"/>
      <c r="O10" s="265" t="s">
        <v>256</v>
      </c>
      <c r="P10" s="270"/>
      <c r="Q10" s="265" t="s">
        <v>257</v>
      </c>
      <c r="R10" s="270"/>
      <c r="S10" s="265" t="s">
        <v>258</v>
      </c>
      <c r="T10" s="270"/>
      <c r="U10" s="270"/>
      <c r="W10" s="69"/>
      <c r="X10" s="69"/>
      <c r="Y10" s="69"/>
      <c r="Z10" s="69"/>
    </row>
    <row r="11" spans="1:26" ht="12.75" x14ac:dyDescent="0.2">
      <c r="A11" s="275" t="s">
        <v>1746</v>
      </c>
      <c r="B11" s="276"/>
      <c r="C11" s="275" t="s">
        <v>1747</v>
      </c>
      <c r="D11" s="276"/>
      <c r="E11" s="275" t="s">
        <v>1748</v>
      </c>
      <c r="F11" s="276"/>
      <c r="G11" s="275" t="s">
        <v>1749</v>
      </c>
      <c r="H11" s="276"/>
      <c r="I11" s="275" t="s">
        <v>136</v>
      </c>
      <c r="J11" s="276"/>
      <c r="K11" s="317" t="s">
        <v>1751</v>
      </c>
      <c r="L11" s="276"/>
      <c r="M11" s="275" t="s">
        <v>180</v>
      </c>
      <c r="N11" s="276"/>
      <c r="O11" s="275" t="s">
        <v>237</v>
      </c>
      <c r="P11" s="276"/>
      <c r="Q11" s="275" t="s">
        <v>238</v>
      </c>
      <c r="R11" s="276"/>
      <c r="S11" s="275" t="s">
        <v>259</v>
      </c>
      <c r="T11" s="270"/>
      <c r="U11" s="270"/>
      <c r="W11" s="69"/>
      <c r="X11" s="69"/>
      <c r="Y11" s="69"/>
      <c r="Z11" s="69"/>
    </row>
    <row r="12" spans="1:26" ht="12.75" x14ac:dyDescent="0.2">
      <c r="A12" s="305"/>
      <c r="B12" s="270"/>
      <c r="C12" s="270"/>
      <c r="D12" s="270"/>
      <c r="E12" s="270"/>
      <c r="F12" s="270"/>
      <c r="G12" s="270"/>
      <c r="H12" s="270"/>
      <c r="I12" s="270"/>
      <c r="J12" s="270"/>
      <c r="K12" s="311"/>
      <c r="L12" s="270"/>
      <c r="M12" s="270"/>
      <c r="N12" s="270"/>
      <c r="O12" s="270"/>
      <c r="P12" s="270"/>
      <c r="Q12" s="270"/>
      <c r="R12" s="270"/>
      <c r="S12" s="305"/>
      <c r="T12" s="270"/>
      <c r="U12" s="270"/>
      <c r="W12" s="69"/>
      <c r="X12" s="69"/>
      <c r="Y12" s="69"/>
      <c r="Z12" s="69"/>
    </row>
    <row r="13" spans="1:26" ht="12.75" x14ac:dyDescent="0.2">
      <c r="A13" s="265">
        <v>1</v>
      </c>
      <c r="B13" s="270"/>
      <c r="C13" s="277">
        <v>303</v>
      </c>
      <c r="D13" s="270"/>
      <c r="E13" s="280" t="s">
        <v>1151</v>
      </c>
      <c r="F13" s="270"/>
      <c r="G13" s="279">
        <f>+'Accum Depr &amp; Amort Summary B-3'!G15</f>
        <v>164630.54</v>
      </c>
      <c r="H13" s="279"/>
      <c r="I13" s="279">
        <f>+'Accum Depr &amp; Amort Summary B-3'!I15</f>
        <v>118321</v>
      </c>
      <c r="J13" s="279"/>
      <c r="K13" s="1257">
        <v>0</v>
      </c>
      <c r="L13" s="270"/>
      <c r="M13" s="306" t="s">
        <v>264</v>
      </c>
      <c r="N13" s="270"/>
      <c r="O13" s="270"/>
      <c r="P13" s="270"/>
      <c r="Q13" s="307"/>
      <c r="R13" s="270"/>
      <c r="S13" s="305"/>
      <c r="T13" s="270"/>
      <c r="U13" s="270"/>
      <c r="W13" s="69"/>
      <c r="X13" s="69"/>
      <c r="Y13" s="69"/>
      <c r="Z13" s="69"/>
    </row>
    <row r="14" spans="1:26" ht="12.75" x14ac:dyDescent="0.2">
      <c r="A14" s="265">
        <f>A13+1</f>
        <v>2</v>
      </c>
      <c r="B14" s="270"/>
      <c r="C14" s="306">
        <v>303.10000000000002</v>
      </c>
      <c r="D14" s="270"/>
      <c r="E14" s="280" t="s">
        <v>1152</v>
      </c>
      <c r="F14" s="270"/>
      <c r="G14" s="279">
        <f>+'Accum Depr &amp; Amort Summary B-3'!G16</f>
        <v>0</v>
      </c>
      <c r="H14" s="279"/>
      <c r="I14" s="279">
        <f>+'Accum Depr &amp; Amort Summary B-3'!I16</f>
        <v>0</v>
      </c>
      <c r="J14" s="279"/>
      <c r="K14" s="1257">
        <v>0</v>
      </c>
      <c r="L14" s="270"/>
      <c r="M14" s="306" t="s">
        <v>264</v>
      </c>
      <c r="N14" s="279"/>
      <c r="O14" s="279"/>
      <c r="P14" s="270"/>
      <c r="Q14" s="307"/>
      <c r="R14" s="270"/>
      <c r="S14" s="305"/>
      <c r="T14" s="270"/>
      <c r="U14" s="270"/>
      <c r="W14" s="69"/>
      <c r="X14" s="69"/>
      <c r="Y14" s="69"/>
      <c r="Z14" s="69"/>
    </row>
    <row r="15" spans="1:26" ht="12.75" x14ac:dyDescent="0.2">
      <c r="A15" s="265">
        <f>A14+1</f>
        <v>3</v>
      </c>
      <c r="B15" s="270"/>
      <c r="C15" s="277">
        <v>303.2</v>
      </c>
      <c r="D15" s="270"/>
      <c r="E15" s="280" t="s">
        <v>1153</v>
      </c>
      <c r="F15" s="270"/>
      <c r="G15" s="279">
        <f>+'Accum Depr &amp; Amort Summary B-3'!G17</f>
        <v>0</v>
      </c>
      <c r="H15" s="279"/>
      <c r="I15" s="279">
        <f>+'Accum Depr &amp; Amort Summary B-3'!I17</f>
        <v>0</v>
      </c>
      <c r="J15" s="279"/>
      <c r="K15" s="1257">
        <v>0</v>
      </c>
      <c r="L15" s="270"/>
      <c r="M15" s="306" t="s">
        <v>264</v>
      </c>
      <c r="N15" s="279"/>
      <c r="O15" s="279"/>
      <c r="P15" s="270"/>
      <c r="Q15" s="307"/>
      <c r="R15" s="270"/>
      <c r="S15" s="305"/>
      <c r="T15" s="270"/>
      <c r="U15" s="270"/>
      <c r="W15" s="69"/>
      <c r="X15" s="69"/>
      <c r="Y15" s="69"/>
      <c r="Z15" s="69"/>
    </row>
    <row r="16" spans="1:26" ht="12.75" x14ac:dyDescent="0.2">
      <c r="A16" s="265">
        <f>A15+1</f>
        <v>4</v>
      </c>
      <c r="B16" s="270"/>
      <c r="C16" s="277">
        <v>303.3</v>
      </c>
      <c r="D16" s="270"/>
      <c r="E16" s="280" t="s">
        <v>1154</v>
      </c>
      <c r="F16" s="270"/>
      <c r="G16" s="279">
        <f>+'Accum Depr &amp; Amort Summary B-3'!G18</f>
        <v>1285367.95</v>
      </c>
      <c r="H16" s="279"/>
      <c r="I16" s="279">
        <f>+'Accum Depr &amp; Amort Summary B-3'!I18</f>
        <v>748163</v>
      </c>
      <c r="J16" s="279"/>
      <c r="K16" s="1257">
        <v>0</v>
      </c>
      <c r="L16" s="270"/>
      <c r="M16" s="306" t="s">
        <v>264</v>
      </c>
      <c r="N16" s="279"/>
      <c r="O16" s="279"/>
      <c r="P16" s="270"/>
      <c r="Q16" s="307"/>
      <c r="R16" s="270"/>
      <c r="S16" s="305"/>
      <c r="T16" s="270"/>
      <c r="U16" s="270"/>
      <c r="W16" s="69"/>
      <c r="X16" s="69"/>
      <c r="Y16" s="69"/>
      <c r="Z16" s="69"/>
    </row>
    <row r="17" spans="1:26" ht="12.75" x14ac:dyDescent="0.2">
      <c r="A17" s="265"/>
      <c r="B17" s="270"/>
      <c r="C17" s="277"/>
      <c r="D17" s="270"/>
      <c r="E17" s="277"/>
      <c r="F17" s="270"/>
      <c r="G17" s="279"/>
      <c r="H17" s="279"/>
      <c r="I17" s="279"/>
      <c r="J17" s="279"/>
      <c r="K17" s="1257"/>
      <c r="L17" s="270"/>
      <c r="M17" s="277"/>
      <c r="N17" s="270"/>
      <c r="O17" s="279"/>
      <c r="P17" s="270"/>
      <c r="Q17" s="307"/>
      <c r="R17" s="270"/>
      <c r="S17" s="305"/>
      <c r="T17" s="270"/>
      <c r="U17" s="270"/>
      <c r="W17" s="69"/>
      <c r="X17" s="69"/>
      <c r="Y17" s="69"/>
      <c r="Z17" s="69"/>
    </row>
    <row r="18" spans="1:26" ht="12.75" x14ac:dyDescent="0.2">
      <c r="A18" s="265">
        <f>A16+1</f>
        <v>5</v>
      </c>
      <c r="B18" s="270"/>
      <c r="C18" s="277">
        <v>305</v>
      </c>
      <c r="D18" s="270"/>
      <c r="E18" s="280" t="s">
        <v>240</v>
      </c>
      <c r="F18" s="270"/>
      <c r="G18" s="279">
        <f>+'Accum Depr &amp; Amort Summary B-3'!G23</f>
        <v>0</v>
      </c>
      <c r="H18" s="279"/>
      <c r="I18" s="279">
        <f>+'Accum Depr &amp; Amort Summary B-3'!I23</f>
        <v>0</v>
      </c>
      <c r="J18" s="279"/>
      <c r="K18" s="1257">
        <v>0</v>
      </c>
      <c r="L18" s="270"/>
      <c r="M18" s="1272">
        <v>0</v>
      </c>
      <c r="N18" s="279"/>
      <c r="O18" s="287"/>
      <c r="P18" s="270"/>
      <c r="Q18" s="270"/>
      <c r="R18" s="270"/>
      <c r="S18" s="305"/>
      <c r="T18" s="270"/>
      <c r="U18" s="270"/>
      <c r="W18" s="69"/>
      <c r="X18" s="69"/>
      <c r="Y18" s="69"/>
      <c r="Z18" s="69"/>
    </row>
    <row r="19" spans="1:26" ht="12.75" x14ac:dyDescent="0.2">
      <c r="A19" s="265">
        <f>A18+1</f>
        <v>6</v>
      </c>
      <c r="B19" s="270"/>
      <c r="C19" s="277">
        <v>311</v>
      </c>
      <c r="D19" s="270"/>
      <c r="E19" s="280" t="s">
        <v>632</v>
      </c>
      <c r="F19" s="270"/>
      <c r="G19" s="279">
        <f>+'Accum Depr &amp; Amort Summary B-3'!G24</f>
        <v>0</v>
      </c>
      <c r="H19" s="279"/>
      <c r="I19" s="279">
        <f>+'Accum Depr &amp; Amort Summary B-3'!I24</f>
        <v>0</v>
      </c>
      <c r="J19" s="279"/>
      <c r="K19" s="1257">
        <v>0</v>
      </c>
      <c r="L19" s="270"/>
      <c r="M19" s="1272">
        <v>0</v>
      </c>
      <c r="N19" s="279"/>
      <c r="O19" s="287"/>
      <c r="P19" s="270"/>
      <c r="Q19" s="270"/>
      <c r="R19" s="270"/>
      <c r="S19" s="305"/>
      <c r="T19" s="270"/>
      <c r="U19" s="270"/>
      <c r="W19" s="69"/>
      <c r="X19" s="69"/>
      <c r="Y19" s="69"/>
      <c r="Z19" s="69"/>
    </row>
    <row r="20" spans="1:26" ht="12.75" x14ac:dyDescent="0.2">
      <c r="A20" s="265"/>
      <c r="B20" s="270"/>
      <c r="C20" s="277"/>
      <c r="D20" s="270"/>
      <c r="E20" s="277"/>
      <c r="F20" s="270"/>
      <c r="G20" s="279"/>
      <c r="H20" s="279"/>
      <c r="I20" s="279"/>
      <c r="J20" s="279"/>
      <c r="K20" s="1257"/>
      <c r="L20" s="270"/>
      <c r="M20" s="308"/>
      <c r="N20" s="270"/>
      <c r="O20" s="279"/>
      <c r="P20" s="270"/>
      <c r="Q20" s="307"/>
      <c r="R20" s="270"/>
      <c r="S20" s="305"/>
      <c r="T20" s="270"/>
      <c r="U20" s="270"/>
      <c r="W20" s="69"/>
      <c r="X20" s="69"/>
      <c r="Y20" s="69"/>
      <c r="Z20" s="69"/>
    </row>
    <row r="21" spans="1:26" ht="12.75" x14ac:dyDescent="0.2">
      <c r="A21" s="265">
        <f>A19+1</f>
        <v>7</v>
      </c>
      <c r="B21" s="270"/>
      <c r="C21" s="277">
        <v>374.4</v>
      </c>
      <c r="D21" s="270"/>
      <c r="E21" s="280" t="s">
        <v>1162</v>
      </c>
      <c r="F21" s="270"/>
      <c r="G21" s="279">
        <f>+'Accum Depr &amp; Amort Summary B-3'!G30</f>
        <v>555084.6</v>
      </c>
      <c r="H21" s="279"/>
      <c r="I21" s="279">
        <f>+'Accum Depr &amp; Amort Summary B-3'!I30</f>
        <v>124496</v>
      </c>
      <c r="J21" s="279"/>
      <c r="K21" s="1260">
        <v>9457</v>
      </c>
      <c r="L21" s="270"/>
      <c r="M21" s="312">
        <f>ROUND(K21/G21*100,2)</f>
        <v>1.7</v>
      </c>
      <c r="N21" s="270"/>
      <c r="O21" s="1257">
        <v>0</v>
      </c>
      <c r="P21" s="1263"/>
      <c r="Q21" s="1262">
        <v>45.5</v>
      </c>
      <c r="R21" s="1263"/>
      <c r="S21" s="1264" t="s">
        <v>915</v>
      </c>
      <c r="T21" s="270"/>
      <c r="U21" s="270"/>
      <c r="W21" s="69"/>
      <c r="X21" s="69"/>
      <c r="Y21" s="69"/>
      <c r="Z21" s="69"/>
    </row>
    <row r="22" spans="1:26" ht="12.75" x14ac:dyDescent="0.2">
      <c r="A22" s="265">
        <f t="shared" ref="A22:A47" si="0">A21+1</f>
        <v>8</v>
      </c>
      <c r="B22" s="270"/>
      <c r="C22" s="277">
        <v>374.5</v>
      </c>
      <c r="D22" s="270"/>
      <c r="E22" s="280" t="s">
        <v>1163</v>
      </c>
      <c r="F22" s="270"/>
      <c r="G22" s="279">
        <f>+'Accum Depr &amp; Amort Summary B-3'!G31</f>
        <v>2668348.92</v>
      </c>
      <c r="H22" s="279"/>
      <c r="I22" s="279">
        <f>+'Accum Depr &amp; Amort Summary B-3'!I31</f>
        <v>673713</v>
      </c>
      <c r="J22" s="279"/>
      <c r="K22" s="1260">
        <v>34116</v>
      </c>
      <c r="L22" s="270"/>
      <c r="M22" s="312">
        <f t="shared" ref="M22:M47" si="1">ROUND(K22/G22*100,2)</f>
        <v>1.28</v>
      </c>
      <c r="N22" s="270"/>
      <c r="O22" s="1257">
        <v>0</v>
      </c>
      <c r="P22" s="1263"/>
      <c r="Q22" s="1262">
        <v>58.5</v>
      </c>
      <c r="R22" s="1263"/>
      <c r="S22" s="1264" t="s">
        <v>914</v>
      </c>
      <c r="T22" s="270"/>
      <c r="U22" s="270"/>
      <c r="W22" s="69"/>
      <c r="X22" s="69"/>
      <c r="Y22" s="69"/>
      <c r="Z22" s="69"/>
    </row>
    <row r="23" spans="1:26" ht="12.75" x14ac:dyDescent="0.2">
      <c r="A23" s="265">
        <f t="shared" si="0"/>
        <v>9</v>
      </c>
      <c r="B23" s="270"/>
      <c r="C23" s="277">
        <v>375.2</v>
      </c>
      <c r="D23" s="270"/>
      <c r="E23" s="280" t="s">
        <v>1164</v>
      </c>
      <c r="F23" s="270"/>
      <c r="G23" s="279">
        <f>+'Accum Depr &amp; Amort Summary B-3'!G32</f>
        <v>5249.05</v>
      </c>
      <c r="H23" s="309"/>
      <c r="I23" s="279">
        <f>+'Accum Depr &amp; Amort Summary B-3'!I32</f>
        <v>5523</v>
      </c>
      <c r="J23" s="309"/>
      <c r="K23" s="1260">
        <v>127.5</v>
      </c>
      <c r="L23" s="311"/>
      <c r="M23" s="312">
        <f t="shared" si="1"/>
        <v>2.4300000000000002</v>
      </c>
      <c r="N23" s="270"/>
      <c r="O23" s="1257">
        <v>-10</v>
      </c>
      <c r="P23" s="1263"/>
      <c r="Q23" s="1262">
        <v>24.4</v>
      </c>
      <c r="R23" s="1263"/>
      <c r="S23" s="1264" t="s">
        <v>913</v>
      </c>
      <c r="T23" s="270"/>
      <c r="U23" s="270"/>
      <c r="W23" s="69"/>
      <c r="X23" s="69"/>
      <c r="Y23" s="69"/>
      <c r="Z23" s="69"/>
    </row>
    <row r="24" spans="1:26" ht="12.75" x14ac:dyDescent="0.2">
      <c r="A24" s="265">
        <f t="shared" si="0"/>
        <v>10</v>
      </c>
      <c r="B24" s="270"/>
      <c r="C24" s="277">
        <v>375.3</v>
      </c>
      <c r="D24" s="270"/>
      <c r="E24" s="280" t="s">
        <v>1165</v>
      </c>
      <c r="F24" s="270"/>
      <c r="G24" s="279">
        <f>+'Accum Depr &amp; Amort Summary B-3'!G33</f>
        <v>10848.26</v>
      </c>
      <c r="H24" s="309"/>
      <c r="I24" s="279">
        <f>+'Accum Depr &amp; Amort Summary B-3'!I33</f>
        <v>10948</v>
      </c>
      <c r="J24" s="309"/>
      <c r="K24" s="1260">
        <v>264</v>
      </c>
      <c r="L24" s="311"/>
      <c r="M24" s="312">
        <f t="shared" si="1"/>
        <v>2.4300000000000002</v>
      </c>
      <c r="N24" s="270"/>
      <c r="O24" s="1257">
        <v>-10</v>
      </c>
      <c r="P24" s="1263"/>
      <c r="Q24" s="1262">
        <v>24.4</v>
      </c>
      <c r="R24" s="1263"/>
      <c r="S24" s="1264" t="s">
        <v>913</v>
      </c>
      <c r="T24" s="270"/>
      <c r="U24" s="270"/>
      <c r="W24" s="69"/>
      <c r="X24" s="69"/>
      <c r="Y24" s="69"/>
      <c r="Z24" s="69"/>
    </row>
    <row r="25" spans="1:26" ht="12.75" x14ac:dyDescent="0.2">
      <c r="A25" s="265">
        <f t="shared" si="0"/>
        <v>11</v>
      </c>
      <c r="B25" s="270"/>
      <c r="C25" s="277">
        <v>375.4</v>
      </c>
      <c r="D25" s="270"/>
      <c r="E25" s="280" t="s">
        <v>1166</v>
      </c>
      <c r="F25" s="270"/>
      <c r="G25" s="279">
        <f>+'Accum Depr &amp; Amort Summary B-3'!G34</f>
        <v>628347.37</v>
      </c>
      <c r="H25" s="309"/>
      <c r="I25" s="279">
        <f>+'Accum Depr &amp; Amort Summary B-3'!I34</f>
        <v>314927</v>
      </c>
      <c r="J25" s="309"/>
      <c r="K25" s="1260">
        <v>15247</v>
      </c>
      <c r="L25" s="311"/>
      <c r="M25" s="312">
        <f t="shared" si="1"/>
        <v>2.4300000000000002</v>
      </c>
      <c r="N25" s="270"/>
      <c r="O25" s="1257">
        <v>-10</v>
      </c>
      <c r="P25" s="1263"/>
      <c r="Q25" s="1262">
        <v>24.4</v>
      </c>
      <c r="R25" s="1263"/>
      <c r="S25" s="1264" t="s">
        <v>913</v>
      </c>
      <c r="T25" s="270"/>
      <c r="U25" s="270"/>
      <c r="W25" s="69"/>
      <c r="X25" s="69"/>
      <c r="Y25" s="69"/>
      <c r="Z25" s="69"/>
    </row>
    <row r="26" spans="1:26" ht="12.75" x14ac:dyDescent="0.2">
      <c r="A26" s="265">
        <f t="shared" si="0"/>
        <v>12</v>
      </c>
      <c r="B26" s="270"/>
      <c r="C26" s="277">
        <v>375.6</v>
      </c>
      <c r="D26" s="270"/>
      <c r="E26" s="280" t="s">
        <v>1167</v>
      </c>
      <c r="F26" s="270"/>
      <c r="G26" s="279">
        <f>+'Accum Depr &amp; Amort Summary B-3'!G35</f>
        <v>88210.2</v>
      </c>
      <c r="H26" s="309"/>
      <c r="I26" s="279">
        <f>+'Accum Depr &amp; Amort Summary B-3'!I35</f>
        <v>40358</v>
      </c>
      <c r="J26" s="309"/>
      <c r="K26" s="1260">
        <v>2144</v>
      </c>
      <c r="L26" s="311"/>
      <c r="M26" s="312">
        <f t="shared" si="1"/>
        <v>2.4300000000000002</v>
      </c>
      <c r="N26" s="270"/>
      <c r="O26" s="1257">
        <v>-10</v>
      </c>
      <c r="P26" s="1263"/>
      <c r="Q26" s="1262">
        <v>24.4</v>
      </c>
      <c r="R26" s="1263"/>
      <c r="S26" s="1264" t="s">
        <v>913</v>
      </c>
      <c r="T26" s="270"/>
      <c r="U26" s="270"/>
      <c r="W26" s="69"/>
      <c r="X26" s="69"/>
      <c r="Y26" s="69"/>
      <c r="Z26" s="69"/>
    </row>
    <row r="27" spans="1:26" ht="12.75" x14ac:dyDescent="0.2">
      <c r="A27" s="265">
        <f t="shared" si="0"/>
        <v>13</v>
      </c>
      <c r="B27" s="270"/>
      <c r="C27" s="277">
        <v>375.7</v>
      </c>
      <c r="D27" s="270"/>
      <c r="E27" s="280" t="s">
        <v>1168</v>
      </c>
      <c r="F27" s="270"/>
      <c r="G27" s="279">
        <f>+'Accum Depr &amp; Amort Summary B-3'!G36</f>
        <v>7179383.5199999996</v>
      </c>
      <c r="H27" s="279"/>
      <c r="I27" s="309">
        <f>+'Accum Depr &amp; Amort Summary B-3'!I36</f>
        <v>2121307</v>
      </c>
      <c r="J27" s="309"/>
      <c r="K27" s="1260">
        <v>145921</v>
      </c>
      <c r="L27" s="270"/>
      <c r="M27" s="312">
        <f t="shared" si="1"/>
        <v>2.0299999999999998</v>
      </c>
      <c r="N27" s="270"/>
      <c r="O27" s="1257">
        <v>0</v>
      </c>
      <c r="P27" s="1263"/>
      <c r="Q27" s="1271">
        <v>19.8</v>
      </c>
      <c r="R27" s="1263"/>
      <c r="S27" s="1264" t="s">
        <v>1280</v>
      </c>
      <c r="T27" s="270"/>
      <c r="U27" s="270"/>
      <c r="W27" s="69"/>
      <c r="X27" s="69"/>
      <c r="Y27" s="69"/>
      <c r="Z27" s="69"/>
    </row>
    <row r="28" spans="1:26" ht="12.75" x14ac:dyDescent="0.2">
      <c r="A28" s="265">
        <f t="shared" si="0"/>
        <v>14</v>
      </c>
      <c r="B28" s="270"/>
      <c r="C28" s="277">
        <v>375.71</v>
      </c>
      <c r="D28" s="270"/>
      <c r="E28" s="280" t="s">
        <v>1169</v>
      </c>
      <c r="F28" s="270"/>
      <c r="G28" s="309">
        <f>+'Accum Depr &amp; Amort Summary B-3'!G37</f>
        <v>0</v>
      </c>
      <c r="H28" s="309"/>
      <c r="I28" s="309">
        <f>+'Accum Depr &amp; Amort Summary B-3'!I37</f>
        <v>0</v>
      </c>
      <c r="J28" s="309"/>
      <c r="K28" s="1257">
        <v>0</v>
      </c>
      <c r="L28" s="270"/>
      <c r="M28" s="990" t="s">
        <v>264</v>
      </c>
      <c r="N28" s="270"/>
      <c r="O28" s="1257">
        <v>0</v>
      </c>
      <c r="P28" s="1263"/>
      <c r="Q28" s="1262">
        <v>35.200000000000003</v>
      </c>
      <c r="R28" s="1263"/>
      <c r="S28" s="1269" t="s">
        <v>265</v>
      </c>
      <c r="T28" s="270"/>
      <c r="U28" s="270"/>
      <c r="W28" s="69"/>
      <c r="X28" s="69"/>
      <c r="Y28" s="69"/>
      <c r="Z28" s="69"/>
    </row>
    <row r="29" spans="1:26" ht="12.75" x14ac:dyDescent="0.2">
      <c r="A29" s="265">
        <f t="shared" si="0"/>
        <v>15</v>
      </c>
      <c r="B29" s="270"/>
      <c r="C29" s="277">
        <v>375.8</v>
      </c>
      <c r="D29" s="270"/>
      <c r="E29" s="280" t="s">
        <v>1170</v>
      </c>
      <c r="F29" s="270"/>
      <c r="G29" s="309">
        <f>+'Accum Depr &amp; Amort Summary B-3'!G38</f>
        <v>33260.58</v>
      </c>
      <c r="H29" s="309"/>
      <c r="I29" s="309">
        <f>+'Accum Depr &amp; Amort Summary B-3'!I38</f>
        <v>25786</v>
      </c>
      <c r="J29" s="309"/>
      <c r="K29" s="1260">
        <v>800</v>
      </c>
      <c r="L29" s="270"/>
      <c r="M29" s="312">
        <f t="shared" si="1"/>
        <v>2.41</v>
      </c>
      <c r="N29" s="270"/>
      <c r="O29" s="1257">
        <v>0</v>
      </c>
      <c r="P29" s="1263"/>
      <c r="Q29" s="1262">
        <v>9.3000000000000007</v>
      </c>
      <c r="R29" s="1263"/>
      <c r="S29" s="1264" t="s">
        <v>266</v>
      </c>
      <c r="T29" s="270"/>
      <c r="U29" s="270"/>
      <c r="W29" s="69"/>
      <c r="X29" s="69"/>
      <c r="Y29" s="69"/>
      <c r="Z29" s="69"/>
    </row>
    <row r="30" spans="1:26" ht="12.75" x14ac:dyDescent="0.2">
      <c r="A30" s="265">
        <f t="shared" si="0"/>
        <v>16</v>
      </c>
      <c r="B30" s="270"/>
      <c r="C30" s="277">
        <v>376.1</v>
      </c>
      <c r="D30" s="270"/>
      <c r="E30" s="280" t="s">
        <v>1001</v>
      </c>
      <c r="F30" s="270"/>
      <c r="G30" s="1257">
        <v>287300.46000000002</v>
      </c>
      <c r="H30" s="1265"/>
      <c r="I30" s="1257">
        <v>227689</v>
      </c>
      <c r="J30" s="309"/>
      <c r="K30" s="1260">
        <v>4940</v>
      </c>
      <c r="L30" s="270"/>
      <c r="M30" s="312">
        <f t="shared" si="1"/>
        <v>1.72</v>
      </c>
      <c r="N30" s="270"/>
      <c r="O30" s="1257">
        <v>-15</v>
      </c>
      <c r="P30" s="1263"/>
      <c r="Q30" s="1262">
        <v>15.6</v>
      </c>
      <c r="R30" s="1263"/>
      <c r="S30" s="1264" t="s">
        <v>916</v>
      </c>
      <c r="T30" s="270"/>
      <c r="U30" s="270"/>
      <c r="W30" s="69"/>
      <c r="X30" s="69"/>
      <c r="Y30" s="69"/>
      <c r="Z30" s="69"/>
    </row>
    <row r="31" spans="1:26" ht="12.75" x14ac:dyDescent="0.2">
      <c r="A31" s="265">
        <f t="shared" si="0"/>
        <v>17</v>
      </c>
      <c r="B31" s="270"/>
      <c r="C31" s="277">
        <v>376.2</v>
      </c>
      <c r="D31" s="270"/>
      <c r="E31" s="280" t="s">
        <v>1002</v>
      </c>
      <c r="F31" s="270"/>
      <c r="G31" s="1267">
        <v>18226235.82</v>
      </c>
      <c r="H31" s="1265"/>
      <c r="I31" s="1257">
        <v>13889593</v>
      </c>
      <c r="J31" s="309"/>
      <c r="K31" s="1260">
        <v>327623</v>
      </c>
      <c r="L31" s="270"/>
      <c r="M31" s="312">
        <f t="shared" si="1"/>
        <v>1.8</v>
      </c>
      <c r="N31" s="270"/>
      <c r="O31" s="1257">
        <v>-15</v>
      </c>
      <c r="P31" s="1263"/>
      <c r="Q31" s="1262">
        <v>16</v>
      </c>
      <c r="R31" s="1263"/>
      <c r="S31" s="1264" t="s">
        <v>916</v>
      </c>
      <c r="T31" s="270"/>
      <c r="U31" s="270"/>
      <c r="W31" s="69"/>
      <c r="X31" s="69"/>
      <c r="Y31" s="69"/>
      <c r="Z31" s="69"/>
    </row>
    <row r="32" spans="1:26" ht="12.75" x14ac:dyDescent="0.2">
      <c r="A32" s="265">
        <f t="shared" si="0"/>
        <v>18</v>
      </c>
      <c r="B32" s="270"/>
      <c r="C32" s="277">
        <v>376.3</v>
      </c>
      <c r="D32" s="270"/>
      <c r="E32" s="280" t="s">
        <v>918</v>
      </c>
      <c r="F32" s="270"/>
      <c r="G32" s="1267">
        <v>38761932.460000001</v>
      </c>
      <c r="H32" s="1265"/>
      <c r="I32" s="1257">
        <v>11540092</v>
      </c>
      <c r="J32" s="309"/>
      <c r="K32" s="1260">
        <v>792889</v>
      </c>
      <c r="L32" s="270"/>
      <c r="M32" s="312">
        <f t="shared" si="1"/>
        <v>2.0499999999999998</v>
      </c>
      <c r="N32" s="270"/>
      <c r="O32" s="1257">
        <v>-15</v>
      </c>
      <c r="P32" s="1263"/>
      <c r="Q32" s="1262">
        <v>41.6</v>
      </c>
      <c r="R32" s="1263"/>
      <c r="S32" s="1264" t="s">
        <v>916</v>
      </c>
      <c r="T32" s="270"/>
      <c r="U32" s="270"/>
      <c r="W32" s="69"/>
      <c r="X32" s="69"/>
      <c r="Y32" s="69"/>
      <c r="Z32" s="69"/>
    </row>
    <row r="33" spans="1:26" ht="12.75" x14ac:dyDescent="0.2">
      <c r="A33" s="265">
        <f>A32+1</f>
        <v>19</v>
      </c>
      <c r="B33" s="270"/>
      <c r="C33" s="277">
        <v>376.4</v>
      </c>
      <c r="D33" s="270"/>
      <c r="E33" s="280" t="s">
        <v>919</v>
      </c>
      <c r="F33" s="270"/>
      <c r="G33" s="1267">
        <v>79314158.629999995</v>
      </c>
      <c r="H33" s="1265"/>
      <c r="I33" s="1257">
        <v>20186173</v>
      </c>
      <c r="J33" s="309"/>
      <c r="K33" s="1260">
        <v>1709265</v>
      </c>
      <c r="L33" s="270"/>
      <c r="M33" s="312">
        <f>ROUND(K33/G33*100,2)</f>
        <v>2.16</v>
      </c>
      <c r="N33" s="270"/>
      <c r="O33" s="1257">
        <v>-15</v>
      </c>
      <c r="P33" s="1263"/>
      <c r="Q33" s="1262">
        <v>41.5</v>
      </c>
      <c r="R33" s="1263"/>
      <c r="S33" s="1264" t="s">
        <v>917</v>
      </c>
      <c r="T33" s="270"/>
      <c r="U33" s="270"/>
      <c r="W33" s="69"/>
      <c r="X33" s="69"/>
      <c r="Y33" s="69"/>
      <c r="Z33" s="69"/>
    </row>
    <row r="34" spans="1:26" ht="12.75" x14ac:dyDescent="0.2">
      <c r="A34" s="265">
        <f>A33+1</f>
        <v>20</v>
      </c>
      <c r="B34" s="270"/>
      <c r="C34" s="277">
        <v>378.1</v>
      </c>
      <c r="D34" s="270"/>
      <c r="E34" s="280" t="s">
        <v>1174</v>
      </c>
      <c r="F34" s="270"/>
      <c r="G34" s="309">
        <f>+'Accum Depr &amp; Amort Summary B-3'!G40</f>
        <v>250523.1</v>
      </c>
      <c r="H34" s="309"/>
      <c r="I34" s="309">
        <f>+'Accum Depr &amp; Amort Summary B-3'!I40</f>
        <v>263026</v>
      </c>
      <c r="J34" s="309"/>
      <c r="K34" s="1260">
        <v>7156</v>
      </c>
      <c r="L34" s="311"/>
      <c r="M34" s="312">
        <f t="shared" si="1"/>
        <v>2.86</v>
      </c>
      <c r="N34" s="270"/>
      <c r="O34" s="1257">
        <v>-10</v>
      </c>
      <c r="P34" s="1263"/>
      <c r="Q34" s="1262">
        <v>20.3</v>
      </c>
      <c r="R34" s="1263"/>
      <c r="S34" s="1264" t="s">
        <v>447</v>
      </c>
      <c r="T34" s="270"/>
      <c r="U34" s="270"/>
      <c r="W34" s="69"/>
      <c r="X34" s="69"/>
      <c r="Y34" s="69"/>
      <c r="Z34" s="69"/>
    </row>
    <row r="35" spans="1:26" ht="12.75" x14ac:dyDescent="0.2">
      <c r="A35" s="265">
        <f t="shared" si="0"/>
        <v>21</v>
      </c>
      <c r="B35" s="270"/>
      <c r="C35" s="277">
        <v>378.2</v>
      </c>
      <c r="D35" s="270"/>
      <c r="E35" s="280" t="s">
        <v>1178</v>
      </c>
      <c r="F35" s="270"/>
      <c r="G35" s="309">
        <f>+'Accum Depr &amp; Amort Summary B-3'!G41</f>
        <v>4542334.07</v>
      </c>
      <c r="H35" s="309"/>
      <c r="I35" s="309">
        <f>+'Accum Depr &amp; Amort Summary B-3'!I41</f>
        <v>2223224</v>
      </c>
      <c r="J35" s="309"/>
      <c r="K35" s="1260">
        <v>129725</v>
      </c>
      <c r="L35" s="311"/>
      <c r="M35" s="312">
        <f t="shared" si="1"/>
        <v>2.86</v>
      </c>
      <c r="N35" s="270"/>
      <c r="O35" s="1257">
        <v>-10</v>
      </c>
      <c r="P35" s="1263"/>
      <c r="Q35" s="1262">
        <v>20.3</v>
      </c>
      <c r="R35" s="1263"/>
      <c r="S35" s="1264" t="s">
        <v>447</v>
      </c>
      <c r="T35" s="270"/>
      <c r="U35" s="270"/>
      <c r="W35" s="69"/>
      <c r="X35" s="69"/>
      <c r="Y35" s="69"/>
      <c r="Z35" s="69"/>
    </row>
    <row r="36" spans="1:26" ht="12.75" x14ac:dyDescent="0.2">
      <c r="A36" s="265">
        <f t="shared" si="0"/>
        <v>22</v>
      </c>
      <c r="B36" s="270"/>
      <c r="C36" s="277">
        <v>378.3</v>
      </c>
      <c r="D36" s="270"/>
      <c r="E36" s="280" t="s">
        <v>1179</v>
      </c>
      <c r="F36" s="270"/>
      <c r="G36" s="279">
        <f>+'Accum Depr &amp; Amort Summary B-3'!G42</f>
        <v>45443.08</v>
      </c>
      <c r="H36" s="309"/>
      <c r="I36" s="279">
        <f>+'Accum Depr &amp; Amort Summary B-3'!I42</f>
        <v>27335</v>
      </c>
      <c r="J36" s="309"/>
      <c r="K36" s="1260">
        <v>1300</v>
      </c>
      <c r="L36" s="311"/>
      <c r="M36" s="312">
        <f t="shared" si="1"/>
        <v>2.86</v>
      </c>
      <c r="N36" s="270"/>
      <c r="O36" s="1257">
        <v>-10</v>
      </c>
      <c r="P36" s="1263"/>
      <c r="Q36" s="1262">
        <v>20.3</v>
      </c>
      <c r="R36" s="1263"/>
      <c r="S36" s="1264" t="s">
        <v>447</v>
      </c>
      <c r="T36" s="270"/>
      <c r="U36" s="270"/>
      <c r="W36" s="69"/>
      <c r="X36" s="69"/>
      <c r="Y36" s="69"/>
      <c r="Z36" s="69"/>
    </row>
    <row r="37" spans="1:26" ht="12.75" x14ac:dyDescent="0.2">
      <c r="A37" s="265">
        <f t="shared" si="0"/>
        <v>23</v>
      </c>
      <c r="B37" s="270"/>
      <c r="C37" s="277">
        <v>379.1</v>
      </c>
      <c r="D37" s="270"/>
      <c r="E37" s="280" t="s">
        <v>1180</v>
      </c>
      <c r="F37" s="270"/>
      <c r="G37" s="279">
        <f>+'Accum Depr &amp; Amort Summary B-3'!G43</f>
        <v>257908.74</v>
      </c>
      <c r="H37" s="279"/>
      <c r="I37" s="279">
        <f>+'Accum Depr &amp; Amort Summary B-3'!I43</f>
        <v>261813</v>
      </c>
      <c r="J37" s="279"/>
      <c r="K37" s="1260">
        <v>2258</v>
      </c>
      <c r="L37" s="270"/>
      <c r="M37" s="312">
        <f t="shared" si="1"/>
        <v>0.88</v>
      </c>
      <c r="N37" s="270"/>
      <c r="O37" s="1257">
        <v>-10</v>
      </c>
      <c r="P37" s="1263"/>
      <c r="Q37" s="1262">
        <v>9.6999999999999993</v>
      </c>
      <c r="R37" s="1263"/>
      <c r="S37" s="1264" t="s">
        <v>448</v>
      </c>
      <c r="T37" s="270"/>
      <c r="U37" s="270"/>
      <c r="W37" s="69"/>
      <c r="X37" s="69"/>
      <c r="Y37" s="69"/>
      <c r="Z37" s="69"/>
    </row>
    <row r="38" spans="1:26" ht="12.75" x14ac:dyDescent="0.2">
      <c r="A38" s="265">
        <f t="shared" si="0"/>
        <v>24</v>
      </c>
      <c r="B38" s="270"/>
      <c r="C38" s="277">
        <v>380</v>
      </c>
      <c r="D38" s="270"/>
      <c r="E38" s="280" t="s">
        <v>1561</v>
      </c>
      <c r="F38" s="270"/>
      <c r="G38" s="279">
        <f>+'Accum Depr &amp; Amort Summary B-3'!G44</f>
        <v>80363819.980000004</v>
      </c>
      <c r="H38" s="309"/>
      <c r="I38" s="279">
        <f>+'Accum Depr &amp; Amort Summary B-3'!I44</f>
        <v>51026459</v>
      </c>
      <c r="J38" s="309"/>
      <c r="K38" s="1260">
        <v>3361836</v>
      </c>
      <c r="L38" s="311"/>
      <c r="M38" s="312">
        <f t="shared" si="1"/>
        <v>4.18</v>
      </c>
      <c r="N38" s="270"/>
      <c r="O38" s="1257">
        <v>-60</v>
      </c>
      <c r="P38" s="1263"/>
      <c r="Q38" s="1262">
        <v>23.1</v>
      </c>
      <c r="R38" s="1263"/>
      <c r="S38" s="1264" t="s">
        <v>449</v>
      </c>
      <c r="T38" s="270"/>
      <c r="U38" s="270"/>
      <c r="W38" s="69"/>
      <c r="X38" s="69"/>
      <c r="Y38" s="69"/>
      <c r="Z38" s="69"/>
    </row>
    <row r="39" spans="1:26" ht="12.75" x14ac:dyDescent="0.2">
      <c r="A39" s="265">
        <f t="shared" si="0"/>
        <v>25</v>
      </c>
      <c r="B39" s="270"/>
      <c r="C39" s="277">
        <v>381</v>
      </c>
      <c r="D39" s="270"/>
      <c r="E39" s="280" t="s">
        <v>1183</v>
      </c>
      <c r="F39" s="270"/>
      <c r="G39" s="279">
        <f>+'Accum Depr &amp; Amort Summary B-3'!G59</f>
        <v>11782894.09</v>
      </c>
      <c r="H39" s="309"/>
      <c r="I39" s="279">
        <f>+'Accum Depr &amp; Amort Summary B-3'!I59</f>
        <v>4064067</v>
      </c>
      <c r="J39" s="309"/>
      <c r="K39" s="1260">
        <v>407451</v>
      </c>
      <c r="L39" s="311"/>
      <c r="M39" s="312">
        <f t="shared" si="1"/>
        <v>3.46</v>
      </c>
      <c r="N39" s="270"/>
      <c r="O39" s="1257">
        <v>0</v>
      </c>
      <c r="P39" s="1263"/>
      <c r="Q39" s="1262">
        <v>18.899999999999999</v>
      </c>
      <c r="R39" s="1263"/>
      <c r="S39" s="1264" t="s">
        <v>450</v>
      </c>
      <c r="T39" s="270"/>
      <c r="U39" s="270"/>
      <c r="W39" s="69"/>
      <c r="X39" s="69"/>
      <c r="Y39" s="69"/>
      <c r="Z39" s="69"/>
    </row>
    <row r="40" spans="1:26" ht="12.75" x14ac:dyDescent="0.2">
      <c r="A40" s="265">
        <f t="shared" si="0"/>
        <v>26</v>
      </c>
      <c r="B40" s="270"/>
      <c r="C40" s="277">
        <v>382</v>
      </c>
      <c r="D40" s="270"/>
      <c r="E40" s="280" t="s">
        <v>1186</v>
      </c>
      <c r="F40" s="270"/>
      <c r="G40" s="279">
        <f>+'Accum Depr &amp; Amort Summary B-3'!G60</f>
        <v>7818665.0999999996</v>
      </c>
      <c r="H40" s="309"/>
      <c r="I40" s="279">
        <f>+'Accum Depr &amp; Amort Summary B-3'!I60</f>
        <v>3356529</v>
      </c>
      <c r="J40" s="309"/>
      <c r="K40" s="1260">
        <v>260523</v>
      </c>
      <c r="L40" s="311"/>
      <c r="M40" s="312">
        <f t="shared" si="1"/>
        <v>3.33</v>
      </c>
      <c r="N40" s="270"/>
      <c r="O40" s="1257">
        <v>-10</v>
      </c>
      <c r="P40" s="1263"/>
      <c r="Q40" s="1262">
        <v>20.100000000000001</v>
      </c>
      <c r="R40" s="1263"/>
      <c r="S40" s="1264" t="s">
        <v>451</v>
      </c>
      <c r="T40" s="270"/>
      <c r="U40" s="270"/>
      <c r="W40" s="69"/>
      <c r="X40" s="69"/>
      <c r="Y40" s="69"/>
      <c r="Z40" s="69"/>
    </row>
    <row r="41" spans="1:26" ht="12.75" x14ac:dyDescent="0.2">
      <c r="A41" s="265">
        <f t="shared" si="0"/>
        <v>27</v>
      </c>
      <c r="B41" s="270"/>
      <c r="C41" s="277">
        <v>383</v>
      </c>
      <c r="D41" s="270"/>
      <c r="E41" s="280" t="s">
        <v>1190</v>
      </c>
      <c r="F41" s="270"/>
      <c r="G41" s="279">
        <f>+'Accum Depr &amp; Amort Summary B-3'!G61</f>
        <v>3575312.32</v>
      </c>
      <c r="H41" s="309"/>
      <c r="I41" s="279">
        <f>+'Accum Depr &amp; Amort Summary B-3'!I61</f>
        <v>1027633</v>
      </c>
      <c r="J41" s="309"/>
      <c r="K41" s="1260">
        <v>109967</v>
      </c>
      <c r="L41" s="311"/>
      <c r="M41" s="312">
        <f t="shared" si="1"/>
        <v>3.08</v>
      </c>
      <c r="N41" s="270"/>
      <c r="O41" s="1257">
        <v>-5</v>
      </c>
      <c r="P41" s="1263"/>
      <c r="Q41" s="1262">
        <v>24.8</v>
      </c>
      <c r="R41" s="1263"/>
      <c r="S41" s="1264" t="s">
        <v>452</v>
      </c>
      <c r="T41" s="270"/>
      <c r="U41" s="270"/>
      <c r="W41" s="69"/>
      <c r="X41" s="69"/>
      <c r="Y41" s="69"/>
      <c r="Z41" s="69"/>
    </row>
    <row r="42" spans="1:26" ht="12.75" x14ac:dyDescent="0.2">
      <c r="A42" s="265">
        <f t="shared" si="0"/>
        <v>28</v>
      </c>
      <c r="B42" s="270"/>
      <c r="C42" s="277">
        <v>384</v>
      </c>
      <c r="D42" s="270"/>
      <c r="E42" s="280" t="s">
        <v>1191</v>
      </c>
      <c r="F42" s="270"/>
      <c r="G42" s="279">
        <f>+'Accum Depr &amp; Amort Summary B-3'!G62</f>
        <v>2327988.3199999998</v>
      </c>
      <c r="H42" s="309"/>
      <c r="I42" s="279">
        <f>+'Accum Depr &amp; Amort Summary B-3'!I62</f>
        <v>1640703</v>
      </c>
      <c r="J42" s="309"/>
      <c r="K42" s="1260">
        <v>38499</v>
      </c>
      <c r="L42" s="311"/>
      <c r="M42" s="312">
        <f t="shared" si="1"/>
        <v>1.65</v>
      </c>
      <c r="N42" s="270"/>
      <c r="O42" s="1257">
        <v>0</v>
      </c>
      <c r="P42" s="1263"/>
      <c r="Q42" s="1262">
        <v>17.899999999999999</v>
      </c>
      <c r="R42" s="1263"/>
      <c r="S42" s="1264" t="s">
        <v>453</v>
      </c>
      <c r="T42" s="270"/>
      <c r="U42" s="270"/>
      <c r="W42" s="69"/>
      <c r="X42" s="69"/>
      <c r="Y42" s="69"/>
      <c r="Z42" s="69"/>
    </row>
    <row r="43" spans="1:26" ht="12.75" x14ac:dyDescent="0.2">
      <c r="A43" s="265">
        <f t="shared" si="0"/>
        <v>29</v>
      </c>
      <c r="B43" s="270"/>
      <c r="C43" s="277">
        <v>385</v>
      </c>
      <c r="D43" s="270"/>
      <c r="E43" s="280" t="s">
        <v>1192</v>
      </c>
      <c r="F43" s="270"/>
      <c r="G43" s="279">
        <f>+'Accum Depr &amp; Amort Summary B-3'!G63</f>
        <v>2717196.56</v>
      </c>
      <c r="H43" s="309"/>
      <c r="I43" s="279">
        <f>+'Accum Depr &amp; Amort Summary B-3'!I63</f>
        <v>933051</v>
      </c>
      <c r="J43" s="309"/>
      <c r="K43" s="1260">
        <v>112933</v>
      </c>
      <c r="L43" s="311"/>
      <c r="M43" s="312">
        <f t="shared" si="1"/>
        <v>4.16</v>
      </c>
      <c r="N43" s="270"/>
      <c r="O43" s="1257">
        <v>-5</v>
      </c>
      <c r="P43" s="1263"/>
      <c r="Q43" s="1262">
        <v>17</v>
      </c>
      <c r="R43" s="1263"/>
      <c r="S43" s="1264" t="s">
        <v>454</v>
      </c>
      <c r="T43" s="270"/>
      <c r="U43" s="270"/>
      <c r="W43" s="69"/>
      <c r="X43" s="69"/>
      <c r="Y43" s="69"/>
      <c r="Z43" s="69"/>
    </row>
    <row r="44" spans="1:26" ht="12.75" x14ac:dyDescent="0.2">
      <c r="A44" s="265">
        <f t="shared" si="0"/>
        <v>30</v>
      </c>
      <c r="B44" s="270"/>
      <c r="C44" s="277">
        <v>387.2</v>
      </c>
      <c r="D44" s="270"/>
      <c r="E44" s="280" t="s">
        <v>1193</v>
      </c>
      <c r="F44" s="270"/>
      <c r="G44" s="279">
        <f>+'Accum Depr &amp; Amort Summary B-3'!G64</f>
        <v>28895</v>
      </c>
      <c r="H44" s="309"/>
      <c r="I44" s="279">
        <f>+'Accum Depr &amp; Amort Summary B-3'!I64</f>
        <v>-33290</v>
      </c>
      <c r="J44" s="309"/>
      <c r="K44" s="1260">
        <v>25369</v>
      </c>
      <c r="L44" s="311"/>
      <c r="M44" s="312">
        <f t="shared" si="1"/>
        <v>87.8</v>
      </c>
      <c r="N44" s="270"/>
      <c r="O44" s="1257">
        <v>-5</v>
      </c>
      <c r="P44" s="1263"/>
      <c r="Q44" s="1262">
        <v>2.5</v>
      </c>
      <c r="R44" s="1263"/>
      <c r="S44" s="1264" t="s">
        <v>267</v>
      </c>
      <c r="T44" s="270"/>
      <c r="U44" s="270"/>
      <c r="W44" s="69"/>
      <c r="X44" s="69"/>
      <c r="Y44" s="69"/>
      <c r="Z44" s="69"/>
    </row>
    <row r="45" spans="1:26" ht="12.75" x14ac:dyDescent="0.2">
      <c r="A45" s="265">
        <f t="shared" si="0"/>
        <v>31</v>
      </c>
      <c r="B45" s="270"/>
      <c r="C45" s="277">
        <v>387.41</v>
      </c>
      <c r="D45" s="270"/>
      <c r="E45" s="280" t="s">
        <v>1194</v>
      </c>
      <c r="F45" s="270"/>
      <c r="G45" s="279">
        <f>+'Accum Depr &amp; Amort Summary B-3'!G65</f>
        <v>711152.01</v>
      </c>
      <c r="H45" s="309"/>
      <c r="I45" s="279">
        <f>+'Accum Depr &amp; Amort Summary B-3'!I65</f>
        <v>243858</v>
      </c>
      <c r="J45" s="309"/>
      <c r="K45" s="1260">
        <v>26197.38</v>
      </c>
      <c r="L45" s="311"/>
      <c r="M45" s="312">
        <f t="shared" si="1"/>
        <v>3.68</v>
      </c>
      <c r="N45" s="311"/>
      <c r="O45" s="1257">
        <v>-5</v>
      </c>
      <c r="P45" s="1263"/>
      <c r="Q45" s="1262">
        <v>17.3</v>
      </c>
      <c r="R45" s="1263"/>
      <c r="S45" s="1264" t="s">
        <v>455</v>
      </c>
      <c r="T45" s="270"/>
      <c r="U45" s="270"/>
      <c r="W45" s="69"/>
      <c r="X45" s="69"/>
      <c r="Y45" s="69"/>
      <c r="Z45" s="69"/>
    </row>
    <row r="46" spans="1:26" ht="12.75" x14ac:dyDescent="0.2">
      <c r="A46" s="265">
        <f t="shared" si="0"/>
        <v>32</v>
      </c>
      <c r="B46" s="270"/>
      <c r="C46" s="277">
        <v>387.42</v>
      </c>
      <c r="D46" s="270"/>
      <c r="E46" s="280" t="s">
        <v>1195</v>
      </c>
      <c r="F46" s="270"/>
      <c r="G46" s="279">
        <f>+'Accum Depr &amp; Amort Summary B-3'!G66</f>
        <v>872759.08</v>
      </c>
      <c r="H46" s="309"/>
      <c r="I46" s="279">
        <f>+'Accum Depr &amp; Amort Summary B-3'!I66</f>
        <v>498444</v>
      </c>
      <c r="J46" s="309"/>
      <c r="K46" s="1260">
        <v>32150.65</v>
      </c>
      <c r="L46" s="311"/>
      <c r="M46" s="312">
        <f t="shared" si="1"/>
        <v>3.68</v>
      </c>
      <c r="N46" s="311"/>
      <c r="O46" s="1257">
        <v>-5</v>
      </c>
      <c r="P46" s="1263"/>
      <c r="Q46" s="1262">
        <v>17.3</v>
      </c>
      <c r="R46" s="1263"/>
      <c r="S46" s="1264" t="s">
        <v>455</v>
      </c>
      <c r="T46" s="270"/>
      <c r="U46" s="270"/>
      <c r="W46" s="69"/>
      <c r="X46" s="69"/>
      <c r="Y46" s="69"/>
      <c r="Z46" s="69"/>
    </row>
    <row r="47" spans="1:26" ht="12.75" x14ac:dyDescent="0.2">
      <c r="A47" s="265">
        <f t="shared" si="0"/>
        <v>33</v>
      </c>
      <c r="B47" s="270"/>
      <c r="C47" s="277">
        <v>387.44</v>
      </c>
      <c r="D47" s="270"/>
      <c r="E47" s="280" t="s">
        <v>1196</v>
      </c>
      <c r="F47" s="270"/>
      <c r="G47" s="279">
        <f>+'Accum Depr &amp; Amort Summary B-3'!G67</f>
        <v>169912.74</v>
      </c>
      <c r="H47" s="309"/>
      <c r="I47" s="279">
        <f>+'Accum Depr &amp; Amort Summary B-3'!I67</f>
        <v>57471</v>
      </c>
      <c r="J47" s="309"/>
      <c r="K47" s="1260">
        <v>6259.24</v>
      </c>
      <c r="L47" s="311"/>
      <c r="M47" s="312">
        <f t="shared" si="1"/>
        <v>3.68</v>
      </c>
      <c r="N47" s="311"/>
      <c r="O47" s="1257">
        <v>-5</v>
      </c>
      <c r="P47" s="1263"/>
      <c r="Q47" s="1262">
        <v>17.3</v>
      </c>
      <c r="R47" s="1263"/>
      <c r="S47" s="1264" t="s">
        <v>455</v>
      </c>
      <c r="T47" s="270"/>
      <c r="U47" s="270"/>
      <c r="W47" s="69"/>
      <c r="X47" s="69"/>
      <c r="Y47" s="69"/>
      <c r="Z47" s="69"/>
    </row>
    <row r="48" spans="1:26" ht="12.75" x14ac:dyDescent="0.2">
      <c r="A48" s="271"/>
      <c r="B48" s="270"/>
      <c r="C48" s="277"/>
      <c r="D48" s="270"/>
      <c r="E48" s="280"/>
      <c r="F48" s="270"/>
      <c r="G48" s="309"/>
      <c r="H48" s="309"/>
      <c r="I48" s="309"/>
      <c r="J48" s="309"/>
      <c r="K48" s="309"/>
      <c r="L48" s="311"/>
      <c r="M48" s="312"/>
      <c r="N48" s="311"/>
      <c r="O48" s="279"/>
      <c r="P48" s="270"/>
      <c r="Q48" s="991"/>
      <c r="R48" s="270"/>
      <c r="S48" s="265"/>
      <c r="T48" s="270"/>
      <c r="U48" s="270"/>
      <c r="W48" s="69"/>
      <c r="X48" s="69"/>
      <c r="Y48" s="69"/>
      <c r="Z48" s="69"/>
    </row>
    <row r="49" spans="1:26" ht="12.75" x14ac:dyDescent="0.2">
      <c r="A49" s="1403" t="s">
        <v>993</v>
      </c>
      <c r="B49" s="1403"/>
      <c r="C49" s="1403"/>
      <c r="D49" s="1403"/>
      <c r="E49" s="1403"/>
      <c r="F49" s="1403"/>
      <c r="G49" s="1403"/>
      <c r="H49" s="1403"/>
      <c r="I49" s="1403"/>
      <c r="J49" s="1403"/>
      <c r="K49" s="1403"/>
      <c r="L49" s="1403"/>
      <c r="M49" s="1403"/>
      <c r="N49" s="1403"/>
      <c r="O49" s="1403"/>
      <c r="P49" s="1403"/>
      <c r="Q49" s="1403"/>
      <c r="R49" s="1403"/>
      <c r="S49" s="1403"/>
      <c r="T49" s="270"/>
      <c r="U49" s="270"/>
      <c r="W49" s="69"/>
      <c r="X49" s="69"/>
      <c r="Y49" s="69"/>
      <c r="Z49" s="69"/>
    </row>
    <row r="50" spans="1:26" ht="12.75" x14ac:dyDescent="0.2">
      <c r="A50" s="1401" t="str">
        <f>+Input!C4</f>
        <v>CASE NO. 2017-xxxxx</v>
      </c>
      <c r="B50" s="1401"/>
      <c r="C50" s="1401"/>
      <c r="D50" s="1401"/>
      <c r="E50" s="1401"/>
      <c r="F50" s="1401"/>
      <c r="G50" s="1401"/>
      <c r="H50" s="1401"/>
      <c r="I50" s="1401"/>
      <c r="J50" s="1401"/>
      <c r="K50" s="1401"/>
      <c r="L50" s="1401"/>
      <c r="M50" s="1401"/>
      <c r="N50" s="1401"/>
      <c r="O50" s="1401"/>
      <c r="P50" s="1401"/>
      <c r="Q50" s="1401"/>
      <c r="R50" s="1401"/>
      <c r="S50" s="1401"/>
      <c r="T50" s="270"/>
      <c r="U50" s="270"/>
      <c r="W50" s="69"/>
      <c r="X50" s="69"/>
      <c r="Y50" s="69"/>
      <c r="Z50" s="69"/>
    </row>
    <row r="51" spans="1:26" ht="12.75" x14ac:dyDescent="0.2">
      <c r="A51" s="1403" t="s">
        <v>247</v>
      </c>
      <c r="B51" s="1403"/>
      <c r="C51" s="1403"/>
      <c r="D51" s="1403"/>
      <c r="E51" s="1403"/>
      <c r="F51" s="1403"/>
      <c r="G51" s="1403"/>
      <c r="H51" s="1403"/>
      <c r="I51" s="1403"/>
      <c r="J51" s="1403"/>
      <c r="K51" s="1403"/>
      <c r="L51" s="1403"/>
      <c r="M51" s="1403"/>
      <c r="N51" s="1403"/>
      <c r="O51" s="1403"/>
      <c r="P51" s="1403"/>
      <c r="Q51" s="1403"/>
      <c r="R51" s="1403"/>
      <c r="S51" s="1403"/>
      <c r="T51" s="270"/>
      <c r="U51" s="270"/>
      <c r="W51" s="69"/>
      <c r="X51" s="69"/>
      <c r="Y51" s="69"/>
      <c r="Z51" s="69"/>
    </row>
    <row r="52" spans="1:26" ht="12.75" x14ac:dyDescent="0.2">
      <c r="A52" s="1401" t="str">
        <f>+Input!C12</f>
        <v>HISTORIC PERIOD ENDING DECEMBER 31, 2017</v>
      </c>
      <c r="B52" s="1401"/>
      <c r="C52" s="1401"/>
      <c r="D52" s="1401"/>
      <c r="E52" s="1401"/>
      <c r="F52" s="1401"/>
      <c r="G52" s="1401"/>
      <c r="H52" s="1401"/>
      <c r="I52" s="1401"/>
      <c r="J52" s="1401"/>
      <c r="K52" s="1401"/>
      <c r="L52" s="1401"/>
      <c r="M52" s="1401"/>
      <c r="N52" s="1401"/>
      <c r="O52" s="1401"/>
      <c r="P52" s="1401"/>
      <c r="Q52" s="1401"/>
      <c r="R52" s="1401"/>
      <c r="S52" s="1401"/>
      <c r="T52" s="270"/>
      <c r="U52" s="270"/>
      <c r="W52" s="69"/>
      <c r="X52" s="69"/>
      <c r="Y52" s="69"/>
      <c r="Z52" s="69"/>
    </row>
    <row r="53" spans="1:26" ht="12.75" x14ac:dyDescent="0.2">
      <c r="A53" s="269" t="s">
        <v>839</v>
      </c>
      <c r="B53" s="270"/>
      <c r="C53" s="270"/>
      <c r="D53" s="270"/>
      <c r="E53" s="270"/>
      <c r="F53" s="270"/>
      <c r="G53" s="992"/>
      <c r="H53" s="311"/>
      <c r="I53" s="992"/>
      <c r="J53" s="311"/>
      <c r="K53" s="992"/>
      <c r="L53" s="311"/>
      <c r="M53" s="311"/>
      <c r="N53" s="311"/>
      <c r="P53" s="270"/>
      <c r="Q53" s="270"/>
      <c r="R53" s="270"/>
      <c r="S53" s="271" t="s">
        <v>248</v>
      </c>
      <c r="T53" s="270"/>
      <c r="U53" s="270"/>
      <c r="W53" s="69"/>
      <c r="X53" s="69"/>
      <c r="Y53" s="69"/>
      <c r="Z53" s="69"/>
    </row>
    <row r="54" spans="1:26" ht="12.75" x14ac:dyDescent="0.2">
      <c r="A54" s="269" t="s">
        <v>490</v>
      </c>
      <c r="B54" s="270"/>
      <c r="C54" s="270"/>
      <c r="D54" s="270"/>
      <c r="E54" s="270"/>
      <c r="F54" s="270"/>
      <c r="G54" s="311"/>
      <c r="H54" s="311"/>
      <c r="I54" s="311"/>
      <c r="J54" s="311"/>
      <c r="K54" s="1227"/>
      <c r="L54" s="311"/>
      <c r="M54" s="311"/>
      <c r="N54" s="311"/>
      <c r="P54" s="270"/>
      <c r="Q54" s="270"/>
      <c r="R54" s="270"/>
      <c r="S54" s="271" t="s">
        <v>1182</v>
      </c>
      <c r="T54" s="270"/>
      <c r="U54" s="270"/>
      <c r="W54" s="69"/>
      <c r="X54" s="69"/>
      <c r="Y54" s="69"/>
      <c r="Z54" s="69"/>
    </row>
    <row r="55" spans="1:26" ht="12.75" x14ac:dyDescent="0.2">
      <c r="A55" s="298" t="s">
        <v>840</v>
      </c>
      <c r="B55" s="291"/>
      <c r="C55" s="291"/>
      <c r="D55" s="291"/>
      <c r="E55" s="291"/>
      <c r="F55" s="291"/>
      <c r="G55" s="313"/>
      <c r="H55" s="313"/>
      <c r="I55" s="313"/>
      <c r="J55" s="313"/>
      <c r="K55" s="313"/>
      <c r="L55" s="313"/>
      <c r="M55" s="313"/>
      <c r="N55" s="313"/>
      <c r="P55" s="291"/>
      <c r="Q55" s="291"/>
      <c r="R55" s="291"/>
      <c r="S55" s="299" t="str">
        <f>+Input!E27</f>
        <v>WITNESS:  C. Y. LAI</v>
      </c>
      <c r="T55" s="270"/>
      <c r="U55" s="270"/>
      <c r="W55" s="69"/>
      <c r="X55" s="69"/>
      <c r="Y55" s="69"/>
      <c r="Z55" s="69"/>
    </row>
    <row r="56" spans="1:26" ht="12.75" x14ac:dyDescent="0.2">
      <c r="A56" s="284"/>
      <c r="B56" s="273"/>
      <c r="C56" s="273"/>
      <c r="D56" s="273"/>
      <c r="E56" s="273"/>
      <c r="F56" s="273"/>
      <c r="G56" s="302"/>
      <c r="H56" s="302"/>
      <c r="I56" s="303" t="s">
        <v>249</v>
      </c>
      <c r="J56" s="302"/>
      <c r="K56" s="302"/>
      <c r="L56" s="314"/>
      <c r="M56" s="274" t="s">
        <v>495</v>
      </c>
      <c r="N56" s="314"/>
      <c r="O56" s="302"/>
      <c r="P56" s="302"/>
      <c r="Q56" s="315" t="str">
        <f>+Input!C7</f>
        <v>AS OF DECEMBER 31, 2017</v>
      </c>
      <c r="R56" s="302"/>
      <c r="S56" s="302"/>
      <c r="T56" s="270"/>
      <c r="U56" s="270"/>
      <c r="W56" s="69"/>
      <c r="X56" s="69"/>
      <c r="Y56" s="69"/>
      <c r="Z56" s="69"/>
    </row>
    <row r="57" spans="1:26" ht="12.75" x14ac:dyDescent="0.2">
      <c r="A57" s="265" t="s">
        <v>493</v>
      </c>
      <c r="B57" s="270"/>
      <c r="C57" s="265" t="s">
        <v>1143</v>
      </c>
      <c r="D57" s="270"/>
      <c r="E57" s="270"/>
      <c r="F57" s="270"/>
      <c r="G57" s="1404" t="str">
        <f>+Input!C7</f>
        <v>AS OF DECEMBER 31, 2017</v>
      </c>
      <c r="H57" s="1404"/>
      <c r="I57" s="1404"/>
      <c r="J57" s="311"/>
      <c r="K57" s="268" t="s">
        <v>250</v>
      </c>
      <c r="L57" s="311"/>
      <c r="M57" s="265" t="s">
        <v>753</v>
      </c>
      <c r="N57" s="311"/>
      <c r="O57" s="265" t="s">
        <v>252</v>
      </c>
      <c r="P57" s="270"/>
      <c r="Q57" s="265" t="s">
        <v>253</v>
      </c>
      <c r="R57" s="270"/>
      <c r="S57" s="265" t="s">
        <v>254</v>
      </c>
      <c r="T57" s="270"/>
      <c r="U57" s="270"/>
      <c r="W57" s="69"/>
      <c r="X57" s="69"/>
      <c r="Y57" s="69"/>
      <c r="Z57" s="69"/>
    </row>
    <row r="58" spans="1:26" ht="12.75" x14ac:dyDescent="0.2">
      <c r="A58" s="265" t="s">
        <v>496</v>
      </c>
      <c r="B58" s="270"/>
      <c r="C58" s="265" t="s">
        <v>496</v>
      </c>
      <c r="D58" s="270"/>
      <c r="E58" s="265" t="s">
        <v>235</v>
      </c>
      <c r="F58" s="270"/>
      <c r="G58" s="268" t="s">
        <v>236</v>
      </c>
      <c r="H58" s="311"/>
      <c r="I58" s="268" t="s">
        <v>255</v>
      </c>
      <c r="J58" s="311"/>
      <c r="K58" s="268" t="s">
        <v>1449</v>
      </c>
      <c r="L58" s="311"/>
      <c r="M58" s="265" t="s">
        <v>754</v>
      </c>
      <c r="N58" s="311"/>
      <c r="O58" s="265" t="s">
        <v>256</v>
      </c>
      <c r="P58" s="270"/>
      <c r="Q58" s="265" t="s">
        <v>257</v>
      </c>
      <c r="R58" s="270"/>
      <c r="S58" s="265" t="s">
        <v>258</v>
      </c>
      <c r="T58" s="270"/>
      <c r="U58" s="270"/>
      <c r="W58" s="69"/>
      <c r="X58" s="69"/>
      <c r="Y58" s="69"/>
      <c r="Z58" s="69"/>
    </row>
    <row r="59" spans="1:26" ht="12.75" x14ac:dyDescent="0.2">
      <c r="A59" s="275" t="s">
        <v>1746</v>
      </c>
      <c r="B59" s="276"/>
      <c r="C59" s="275" t="s">
        <v>1747</v>
      </c>
      <c r="D59" s="276"/>
      <c r="E59" s="275" t="s">
        <v>1748</v>
      </c>
      <c r="F59" s="276"/>
      <c r="G59" s="317" t="s">
        <v>1749</v>
      </c>
      <c r="H59" s="316"/>
      <c r="I59" s="317" t="s">
        <v>136</v>
      </c>
      <c r="J59" s="316"/>
      <c r="K59" s="317" t="s">
        <v>1751</v>
      </c>
      <c r="L59" s="316"/>
      <c r="M59" s="275" t="s">
        <v>180</v>
      </c>
      <c r="N59" s="316"/>
      <c r="O59" s="275" t="s">
        <v>237</v>
      </c>
      <c r="P59" s="276"/>
      <c r="Q59" s="275" t="s">
        <v>238</v>
      </c>
      <c r="R59" s="276"/>
      <c r="S59" s="275" t="s">
        <v>259</v>
      </c>
      <c r="T59" s="270"/>
      <c r="U59" s="270"/>
      <c r="W59" s="69"/>
      <c r="X59" s="69"/>
      <c r="Y59" s="69"/>
      <c r="Z59" s="69"/>
    </row>
    <row r="60" spans="1:26" ht="12.75" x14ac:dyDescent="0.2">
      <c r="A60" s="270"/>
      <c r="B60" s="270"/>
      <c r="C60" s="270"/>
      <c r="D60" s="270"/>
      <c r="E60" s="270"/>
      <c r="F60" s="270"/>
      <c r="G60" s="311"/>
      <c r="H60" s="311"/>
      <c r="I60" s="311"/>
      <c r="J60" s="311"/>
      <c r="K60" s="311"/>
      <c r="L60" s="311"/>
      <c r="M60" s="311"/>
      <c r="N60" s="311"/>
      <c r="O60" s="270"/>
      <c r="P60" s="270"/>
      <c r="Q60" s="270"/>
      <c r="R60" s="270"/>
      <c r="S60" s="305"/>
      <c r="T60" s="270"/>
      <c r="U60" s="270"/>
      <c r="W60" s="69"/>
      <c r="X60" s="69"/>
      <c r="Y60" s="69"/>
      <c r="Z60" s="69"/>
    </row>
    <row r="61" spans="1:26" ht="12.75" x14ac:dyDescent="0.2">
      <c r="A61" s="265">
        <v>1</v>
      </c>
      <c r="B61" s="270"/>
      <c r="C61" s="277">
        <v>387.45</v>
      </c>
      <c r="D61" s="270"/>
      <c r="E61" s="280" t="s">
        <v>1197</v>
      </c>
      <c r="F61" s="270"/>
      <c r="G61" s="309">
        <f>+'Accum Depr &amp; Amort Summary B-3'!G68</f>
        <v>1343593.93</v>
      </c>
      <c r="H61" s="309"/>
      <c r="I61" s="309">
        <f>+'Accum Depr &amp; Amort Summary B-3'!I68</f>
        <v>427837</v>
      </c>
      <c r="J61" s="309"/>
      <c r="K61" s="1260">
        <v>49495.24</v>
      </c>
      <c r="L61" s="311"/>
      <c r="M61" s="312">
        <f>ROUND(K61/G61*100,2)</f>
        <v>3.68</v>
      </c>
      <c r="N61" s="311"/>
      <c r="O61" s="1257">
        <v>-5</v>
      </c>
      <c r="P61" s="1261"/>
      <c r="Q61" s="1262">
        <v>17.3</v>
      </c>
      <c r="R61" s="1263"/>
      <c r="S61" s="1264" t="s">
        <v>455</v>
      </c>
      <c r="T61" s="270"/>
      <c r="U61" s="270"/>
      <c r="W61" s="69"/>
      <c r="X61" s="69"/>
      <c r="Y61" s="69"/>
      <c r="Z61" s="69"/>
    </row>
    <row r="62" spans="1:26" ht="12.75" x14ac:dyDescent="0.2">
      <c r="A62" s="265">
        <f>A61+1</f>
        <v>2</v>
      </c>
      <c r="B62" s="270"/>
      <c r="C62" s="277">
        <v>387.46</v>
      </c>
      <c r="D62" s="270"/>
      <c r="E62" s="280" t="s">
        <v>1198</v>
      </c>
      <c r="F62" s="270"/>
      <c r="G62" s="309">
        <f>+'Accum Depr &amp; Amort Summary B-3'!G69</f>
        <v>127354.97</v>
      </c>
      <c r="H62" s="309"/>
      <c r="I62" s="309">
        <f>+'Accum Depr &amp; Amort Summary B-3'!I69</f>
        <v>103342</v>
      </c>
      <c r="J62" s="309"/>
      <c r="K62" s="1260">
        <v>4691.5</v>
      </c>
      <c r="L62" s="311"/>
      <c r="M62" s="312">
        <f>ROUND(K62/G62*100,2)</f>
        <v>3.68</v>
      </c>
      <c r="N62" s="311"/>
      <c r="O62" s="1257">
        <v>-5</v>
      </c>
      <c r="P62" s="1261"/>
      <c r="Q62" s="1262">
        <v>17.3</v>
      </c>
      <c r="R62" s="1263"/>
      <c r="S62" s="1264" t="s">
        <v>455</v>
      </c>
      <c r="T62" s="270"/>
      <c r="U62" s="270"/>
      <c r="W62" s="69"/>
      <c r="X62" s="69"/>
      <c r="Y62" s="69"/>
      <c r="Z62" s="69"/>
    </row>
    <row r="63" spans="1:26" ht="12.75" x14ac:dyDescent="0.2">
      <c r="A63" s="265"/>
      <c r="B63" s="270"/>
      <c r="C63" s="277"/>
      <c r="D63" s="270"/>
      <c r="E63" s="295"/>
      <c r="F63" s="270"/>
      <c r="G63" s="309"/>
      <c r="H63" s="309"/>
      <c r="I63" s="309"/>
      <c r="J63" s="309"/>
      <c r="K63" s="310"/>
      <c r="L63" s="311"/>
      <c r="M63" s="312"/>
      <c r="N63" s="311"/>
      <c r="O63" s="1265"/>
      <c r="P63" s="1261"/>
      <c r="Q63" s="1262"/>
      <c r="R63" s="1261"/>
      <c r="S63" s="1266"/>
      <c r="T63" s="270"/>
      <c r="U63" s="270"/>
      <c r="W63" s="69"/>
      <c r="X63" s="69"/>
      <c r="Y63" s="69"/>
      <c r="Z63" s="69"/>
    </row>
    <row r="64" spans="1:26" ht="12.75" x14ac:dyDescent="0.2">
      <c r="A64" s="265">
        <f>A62+1</f>
        <v>3</v>
      </c>
      <c r="B64" s="270"/>
      <c r="C64" s="277">
        <v>391.1</v>
      </c>
      <c r="D64" s="270"/>
      <c r="E64" s="280" t="s">
        <v>1201</v>
      </c>
      <c r="F64" s="270"/>
      <c r="G64" s="279">
        <f>+'Accum Depr &amp; Amort Summary B-3'!G73</f>
        <v>1213530.1100000001</v>
      </c>
      <c r="H64" s="279"/>
      <c r="I64" s="279">
        <f>+'Accum Depr &amp; Amort Summary B-3'!I73</f>
        <v>587724</v>
      </c>
      <c r="J64" s="279"/>
      <c r="K64" s="1257">
        <f>60620+54638</f>
        <v>115258</v>
      </c>
      <c r="L64" s="270"/>
      <c r="M64" s="990" t="s">
        <v>264</v>
      </c>
      <c r="N64" s="270"/>
      <c r="O64" s="1267">
        <v>0</v>
      </c>
      <c r="P64" s="1261"/>
      <c r="Q64" s="1268">
        <v>5.8</v>
      </c>
      <c r="R64" s="1261"/>
      <c r="S64" s="1269" t="s">
        <v>1281</v>
      </c>
      <c r="T64" s="270"/>
      <c r="U64" s="270"/>
      <c r="W64" s="69"/>
      <c r="X64" s="69"/>
      <c r="Y64" s="69"/>
      <c r="Z64" s="69"/>
    </row>
    <row r="65" spans="1:26" ht="12.75" x14ac:dyDescent="0.2">
      <c r="A65" s="265">
        <f t="shared" ref="A65:A76" si="2">A64+1</f>
        <v>4</v>
      </c>
      <c r="B65" s="270"/>
      <c r="C65" s="277">
        <v>391.11</v>
      </c>
      <c r="D65" s="270"/>
      <c r="E65" s="280" t="s">
        <v>1202</v>
      </c>
      <c r="F65" s="270"/>
      <c r="G65" s="279">
        <f>+'Accum Depr &amp; Amort Summary B-3'!G74</f>
        <v>13816.01</v>
      </c>
      <c r="H65" s="279"/>
      <c r="I65" s="279">
        <f>+'Accum Depr &amp; Amort Summary B-3'!I74</f>
        <v>-24393</v>
      </c>
      <c r="J65" s="279"/>
      <c r="K65" s="1257">
        <f>921+5548</f>
        <v>6469</v>
      </c>
      <c r="L65" s="270"/>
      <c r="M65" s="990" t="s">
        <v>264</v>
      </c>
      <c r="N65" s="270"/>
      <c r="O65" s="1267">
        <v>0</v>
      </c>
      <c r="P65" s="1261"/>
      <c r="Q65" s="1268">
        <v>11.4</v>
      </c>
      <c r="R65" s="1261"/>
      <c r="S65" s="1269" t="s">
        <v>1282</v>
      </c>
      <c r="T65" s="270"/>
      <c r="U65" s="270"/>
      <c r="W65" s="69"/>
      <c r="X65" s="69"/>
      <c r="Y65" s="69"/>
      <c r="Z65" s="69"/>
    </row>
    <row r="66" spans="1:26" ht="12.75" x14ac:dyDescent="0.2">
      <c r="A66" s="265">
        <f t="shared" si="2"/>
        <v>5</v>
      </c>
      <c r="B66" s="270"/>
      <c r="C66" s="277">
        <v>391.12</v>
      </c>
      <c r="D66" s="270"/>
      <c r="E66" s="280" t="s">
        <v>1204</v>
      </c>
      <c r="F66" s="270"/>
      <c r="G66" s="279">
        <f>+'Accum Depr &amp; Amort Summary B-3'!G75</f>
        <v>269713.82</v>
      </c>
      <c r="H66" s="279"/>
      <c r="I66" s="279">
        <f>+'Accum Depr &amp; Amort Summary B-3'!I75</f>
        <v>260990</v>
      </c>
      <c r="J66" s="279"/>
      <c r="K66" s="1257">
        <f>50481-16498</f>
        <v>33983</v>
      </c>
      <c r="L66" s="270"/>
      <c r="M66" s="990" t="s">
        <v>264</v>
      </c>
      <c r="N66" s="270"/>
      <c r="O66" s="1267">
        <v>0</v>
      </c>
      <c r="P66" s="1261"/>
      <c r="Q66" s="1268">
        <v>1.8</v>
      </c>
      <c r="R66" s="1261"/>
      <c r="S66" s="1269" t="s">
        <v>1283</v>
      </c>
      <c r="T66" s="270"/>
      <c r="U66" s="270"/>
      <c r="W66" s="69"/>
      <c r="X66" s="69"/>
      <c r="Y66" s="69"/>
      <c r="Z66" s="69"/>
    </row>
    <row r="67" spans="1:26" ht="12.75" x14ac:dyDescent="0.2">
      <c r="A67" s="265">
        <f t="shared" si="2"/>
        <v>6</v>
      </c>
      <c r="B67" s="270"/>
      <c r="C67" s="277">
        <v>392.2</v>
      </c>
      <c r="D67" s="270"/>
      <c r="E67" s="280" t="s">
        <v>1228</v>
      </c>
      <c r="F67" s="270"/>
      <c r="G67" s="279">
        <f>+'Accum Depr &amp; Amort Summary B-3'!G76</f>
        <v>113219.98</v>
      </c>
      <c r="H67" s="309"/>
      <c r="I67" s="279">
        <f>+'Accum Depr &amp; Amort Summary B-3'!I76</f>
        <v>40213</v>
      </c>
      <c r="J67" s="309"/>
      <c r="K67" s="1260">
        <v>4858</v>
      </c>
      <c r="L67" s="311"/>
      <c r="M67" s="312">
        <f>ROUND(K67/G67*100,2)</f>
        <v>4.29</v>
      </c>
      <c r="N67" s="270"/>
      <c r="O67" s="1267">
        <v>0</v>
      </c>
      <c r="P67" s="1261"/>
      <c r="Q67" s="1268">
        <v>14.6</v>
      </c>
      <c r="R67" s="1261"/>
      <c r="S67" s="1269" t="s">
        <v>456</v>
      </c>
      <c r="T67" s="270"/>
      <c r="U67" s="270"/>
      <c r="W67" s="69"/>
      <c r="X67" s="69"/>
      <c r="Y67" s="69"/>
      <c r="Z67" s="69"/>
    </row>
    <row r="68" spans="1:26" ht="12.75" x14ac:dyDescent="0.2">
      <c r="A68" s="265">
        <f t="shared" si="2"/>
        <v>7</v>
      </c>
      <c r="B68" s="270"/>
      <c r="C68" s="277">
        <v>392.21</v>
      </c>
      <c r="D68" s="270"/>
      <c r="E68" s="280" t="s">
        <v>1205</v>
      </c>
      <c r="F68" s="270"/>
      <c r="G68" s="279">
        <f>+'Accum Depr &amp; Amort Summary B-3'!G77</f>
        <v>3398.75</v>
      </c>
      <c r="H68" s="309"/>
      <c r="I68" s="279">
        <f>+'Accum Depr &amp; Amort Summary B-3'!I77</f>
        <v>3399</v>
      </c>
      <c r="J68" s="309"/>
      <c r="K68" s="1260">
        <v>145.9</v>
      </c>
      <c r="L68" s="311"/>
      <c r="M68" s="312">
        <f>ROUND(K68/G68*100,2)</f>
        <v>4.29</v>
      </c>
      <c r="N68" s="270"/>
      <c r="O68" s="1267">
        <v>0</v>
      </c>
      <c r="P68" s="1261"/>
      <c r="Q68" s="1268">
        <v>14.6</v>
      </c>
      <c r="R68" s="1261"/>
      <c r="S68" s="1269" t="s">
        <v>456</v>
      </c>
      <c r="T68" s="270"/>
      <c r="U68" s="270"/>
      <c r="W68" s="69"/>
      <c r="X68" s="69"/>
      <c r="Y68" s="69"/>
      <c r="Z68" s="69"/>
    </row>
    <row r="69" spans="1:26" ht="12.75" x14ac:dyDescent="0.2">
      <c r="A69" s="265">
        <f t="shared" si="2"/>
        <v>8</v>
      </c>
      <c r="B69" s="270"/>
      <c r="C69" s="277">
        <v>393</v>
      </c>
      <c r="D69" s="270"/>
      <c r="E69" s="280" t="s">
        <v>1206</v>
      </c>
      <c r="F69" s="270"/>
      <c r="G69" s="279">
        <f>+'Accum Depr &amp; Amort Summary B-3'!G78</f>
        <v>0</v>
      </c>
      <c r="H69" s="279"/>
      <c r="I69" s="279">
        <f>+'Accum Depr &amp; Amort Summary B-3'!I78</f>
        <v>833</v>
      </c>
      <c r="J69" s="279"/>
      <c r="K69" s="1257">
        <v>0</v>
      </c>
      <c r="L69" s="270"/>
      <c r="M69" s="990" t="s">
        <v>264</v>
      </c>
      <c r="N69" s="270"/>
      <c r="O69" s="1270"/>
      <c r="P69" s="1261"/>
      <c r="Q69" s="1268"/>
      <c r="R69" s="1261"/>
      <c r="S69" s="1269"/>
      <c r="T69" s="270"/>
      <c r="U69" s="270"/>
      <c r="W69" s="69"/>
      <c r="X69" s="69"/>
      <c r="Y69" s="69"/>
      <c r="Z69" s="69"/>
    </row>
    <row r="70" spans="1:26" ht="12.75" x14ac:dyDescent="0.2">
      <c r="A70" s="265">
        <f t="shared" si="2"/>
        <v>9</v>
      </c>
      <c r="B70" s="270"/>
      <c r="C70" s="277">
        <v>394.1</v>
      </c>
      <c r="D70" s="270"/>
      <c r="E70" s="280" t="s">
        <v>1213</v>
      </c>
      <c r="F70" s="270"/>
      <c r="G70" s="279">
        <f>+'Accum Depr &amp; Amort Summary B-3'!G79</f>
        <v>26580.01</v>
      </c>
      <c r="H70" s="309"/>
      <c r="I70" s="279">
        <f>+'Accum Depr &amp; Amort Summary B-3'!I79</f>
        <v>4816</v>
      </c>
      <c r="J70" s="309"/>
      <c r="K70" s="1257">
        <v>0</v>
      </c>
      <c r="L70" s="311"/>
      <c r="M70" s="990" t="s">
        <v>264</v>
      </c>
      <c r="N70" s="270"/>
      <c r="O70" s="1267">
        <v>0</v>
      </c>
      <c r="P70" s="1261"/>
      <c r="Q70" s="1268">
        <v>13.1</v>
      </c>
      <c r="R70" s="1261"/>
      <c r="S70" s="1269" t="s">
        <v>1284</v>
      </c>
      <c r="T70" s="270"/>
      <c r="U70" s="270"/>
      <c r="W70" s="69"/>
      <c r="X70" s="69"/>
      <c r="Y70" s="69"/>
      <c r="Z70" s="69"/>
    </row>
    <row r="71" spans="1:26" ht="12.75" x14ac:dyDescent="0.2">
      <c r="A71" s="265">
        <f t="shared" si="2"/>
        <v>10</v>
      </c>
      <c r="B71" s="270"/>
      <c r="C71" s="277">
        <v>394.11</v>
      </c>
      <c r="D71" s="270"/>
      <c r="E71" s="280" t="s">
        <v>1214</v>
      </c>
      <c r="F71" s="270"/>
      <c r="G71" s="279">
        <f>+'Accum Depr &amp; Amort Summary B-3'!G80</f>
        <v>335308.07</v>
      </c>
      <c r="H71" s="309"/>
      <c r="I71" s="279">
        <f>+'Accum Depr &amp; Amort Summary B-3'!I80</f>
        <v>208194</v>
      </c>
      <c r="J71" s="309"/>
      <c r="K71" s="1260">
        <v>67017</v>
      </c>
      <c r="L71" s="311"/>
      <c r="M71" s="312">
        <f>ROUND(K71/G71*100,2)</f>
        <v>19.989999999999998</v>
      </c>
      <c r="N71" s="270"/>
      <c r="O71" s="1257">
        <v>0</v>
      </c>
      <c r="P71" s="1261"/>
      <c r="Q71" s="1262">
        <v>1.9</v>
      </c>
      <c r="R71" s="1261"/>
      <c r="S71" s="1264" t="s">
        <v>268</v>
      </c>
      <c r="T71" s="270"/>
      <c r="U71" s="270"/>
      <c r="W71" s="69"/>
      <c r="X71" s="69"/>
      <c r="Y71" s="69"/>
      <c r="Z71" s="69"/>
    </row>
    <row r="72" spans="1:26" ht="12.75" x14ac:dyDescent="0.2">
      <c r="A72" s="265">
        <f t="shared" si="2"/>
        <v>11</v>
      </c>
      <c r="B72" s="270"/>
      <c r="C72" s="277">
        <v>394.2</v>
      </c>
      <c r="D72" s="270"/>
      <c r="E72" s="280" t="s">
        <v>1215</v>
      </c>
      <c r="F72" s="270"/>
      <c r="G72" s="279">
        <f>+'Accum Depr &amp; Amort Summary B-3'!G81</f>
        <v>0</v>
      </c>
      <c r="H72" s="309"/>
      <c r="I72" s="279">
        <f>+'Accum Depr &amp; Amort Summary B-3'!I81</f>
        <v>0</v>
      </c>
      <c r="J72" s="309"/>
      <c r="K72" s="1257">
        <v>0</v>
      </c>
      <c r="L72" s="311"/>
      <c r="M72" s="990" t="s">
        <v>264</v>
      </c>
      <c r="N72" s="270"/>
      <c r="O72" s="1267">
        <v>0</v>
      </c>
      <c r="P72" s="1261"/>
      <c r="Q72" s="1268">
        <v>13.1</v>
      </c>
      <c r="R72" s="1261"/>
      <c r="S72" s="1269" t="s">
        <v>1284</v>
      </c>
      <c r="T72" s="270"/>
      <c r="U72" s="270"/>
      <c r="W72" s="69"/>
      <c r="X72" s="69"/>
      <c r="Y72" s="69"/>
      <c r="Z72" s="69"/>
    </row>
    <row r="73" spans="1:26" ht="12.75" x14ac:dyDescent="0.2">
      <c r="A73" s="265">
        <f t="shared" si="2"/>
        <v>12</v>
      </c>
      <c r="B73" s="270"/>
      <c r="C73" s="277">
        <v>394.3</v>
      </c>
      <c r="D73" s="270"/>
      <c r="E73" s="280" t="s">
        <v>1216</v>
      </c>
      <c r="F73" s="270"/>
      <c r="G73" s="279">
        <f>+'Accum Depr &amp; Amort Summary B-3'!G82</f>
        <v>1948106.19</v>
      </c>
      <c r="H73" s="309"/>
      <c r="I73" s="279">
        <f>+'Accum Depr &amp; Amort Summary B-3'!I82</f>
        <v>982150</v>
      </c>
      <c r="J73" s="309"/>
      <c r="K73" s="1257">
        <v>69560</v>
      </c>
      <c r="L73" s="311"/>
      <c r="M73" s="990" t="s">
        <v>264</v>
      </c>
      <c r="N73" s="270"/>
      <c r="O73" s="1267">
        <v>0</v>
      </c>
      <c r="P73" s="1261"/>
      <c r="Q73" s="1268">
        <v>13.1</v>
      </c>
      <c r="R73" s="1261"/>
      <c r="S73" s="1269" t="s">
        <v>1284</v>
      </c>
      <c r="T73" s="270"/>
      <c r="U73" s="270"/>
      <c r="W73" s="69"/>
      <c r="X73" s="69"/>
      <c r="Y73" s="69"/>
      <c r="Z73" s="69"/>
    </row>
    <row r="74" spans="1:26" ht="12.75" x14ac:dyDescent="0.2">
      <c r="A74" s="265">
        <f t="shared" si="2"/>
        <v>13</v>
      </c>
      <c r="B74" s="270"/>
      <c r="C74" s="277">
        <v>395</v>
      </c>
      <c r="D74" s="270"/>
      <c r="E74" s="280" t="s">
        <v>1217</v>
      </c>
      <c r="F74" s="270"/>
      <c r="G74" s="279">
        <f>+'Accum Depr &amp; Amort Summary B-3'!G83</f>
        <v>10307.98</v>
      </c>
      <c r="H74" s="279"/>
      <c r="I74" s="279">
        <f>+'Accum Depr &amp; Amort Summary B-3'!I83</f>
        <v>4695</v>
      </c>
      <c r="J74" s="279"/>
      <c r="K74" s="1257">
        <v>528</v>
      </c>
      <c r="L74" s="270"/>
      <c r="M74" s="990" t="s">
        <v>264</v>
      </c>
      <c r="N74" s="270"/>
      <c r="O74" s="1267">
        <v>0</v>
      </c>
      <c r="P74" s="1261"/>
      <c r="Q74" s="1268">
        <v>10.8</v>
      </c>
      <c r="R74" s="1261"/>
      <c r="S74" s="1269" t="s">
        <v>1281</v>
      </c>
      <c r="T74" s="270"/>
      <c r="U74" s="270"/>
      <c r="W74" s="69"/>
      <c r="X74" s="69"/>
      <c r="Y74" s="69"/>
      <c r="Z74" s="69"/>
    </row>
    <row r="75" spans="1:26" ht="12.75" x14ac:dyDescent="0.2">
      <c r="A75" s="265">
        <f t="shared" si="2"/>
        <v>14</v>
      </c>
      <c r="B75" s="270"/>
      <c r="C75" s="277">
        <v>396</v>
      </c>
      <c r="D75" s="270"/>
      <c r="E75" s="280" t="s">
        <v>1218</v>
      </c>
      <c r="F75" s="270"/>
      <c r="G75" s="279">
        <f>+'Accum Depr &amp; Amort Summary B-3'!G84</f>
        <v>653814.37</v>
      </c>
      <c r="H75" s="279"/>
      <c r="I75" s="279">
        <f>+'Accum Depr &amp; Amort Summary B-3'!I84</f>
        <v>552542</v>
      </c>
      <c r="J75" s="279"/>
      <c r="K75" s="1257">
        <v>0</v>
      </c>
      <c r="L75" s="270"/>
      <c r="M75" s="995">
        <v>0</v>
      </c>
      <c r="N75" s="270"/>
      <c r="O75" s="1267">
        <v>25</v>
      </c>
      <c r="P75" s="1261"/>
      <c r="Q75" s="1268">
        <v>0</v>
      </c>
      <c r="R75" s="1261"/>
      <c r="S75" s="1269" t="s">
        <v>457</v>
      </c>
      <c r="T75" s="270"/>
      <c r="U75" s="270"/>
      <c r="W75" s="69"/>
      <c r="X75" s="69"/>
      <c r="Y75" s="69"/>
      <c r="Z75" s="69"/>
    </row>
    <row r="76" spans="1:26" ht="12.75" x14ac:dyDescent="0.2">
      <c r="A76" s="265">
        <f t="shared" si="2"/>
        <v>15</v>
      </c>
      <c r="B76" s="270"/>
      <c r="C76" s="277">
        <v>398</v>
      </c>
      <c r="D76" s="270"/>
      <c r="E76" s="280" t="s">
        <v>1219</v>
      </c>
      <c r="F76" s="270"/>
      <c r="G76" s="282">
        <f>+'Accum Depr &amp; Amort Summary B-3'!G85</f>
        <v>78932.17</v>
      </c>
      <c r="H76" s="279"/>
      <c r="I76" s="282">
        <f>+'Accum Depr &amp; Amort Summary B-3'!I85</f>
        <v>39135</v>
      </c>
      <c r="J76" s="279"/>
      <c r="K76" s="1258">
        <v>8238</v>
      </c>
      <c r="L76" s="270"/>
      <c r="M76" s="990" t="s">
        <v>264</v>
      </c>
      <c r="N76" s="270"/>
      <c r="O76" s="1267">
        <v>0</v>
      </c>
      <c r="P76" s="1261"/>
      <c r="Q76" s="1268">
        <v>4.5999999999999996</v>
      </c>
      <c r="R76" s="1261"/>
      <c r="S76" s="1269" t="s">
        <v>1282</v>
      </c>
      <c r="T76" s="270"/>
      <c r="U76" s="270"/>
      <c r="W76" s="69"/>
      <c r="X76" s="69"/>
      <c r="Y76" s="69"/>
      <c r="Z76" s="69"/>
    </row>
    <row r="77" spans="1:26" ht="12.75" x14ac:dyDescent="0.2">
      <c r="A77" s="305"/>
      <c r="B77" s="270"/>
      <c r="C77" s="270"/>
      <c r="D77" s="270"/>
      <c r="E77" s="270"/>
      <c r="F77" s="270"/>
      <c r="G77" s="279"/>
      <c r="H77" s="279"/>
      <c r="I77" s="279"/>
      <c r="J77" s="279"/>
      <c r="K77" s="309"/>
      <c r="L77" s="270"/>
      <c r="M77" s="308"/>
      <c r="N77" s="270"/>
      <c r="O77" s="318"/>
      <c r="P77" s="270"/>
      <c r="Q77" s="307"/>
      <c r="R77" s="270"/>
      <c r="S77" s="305"/>
      <c r="T77" s="270"/>
      <c r="U77" s="270"/>
      <c r="W77" s="69"/>
      <c r="X77" s="69"/>
      <c r="Y77" s="69"/>
      <c r="Z77" s="69"/>
    </row>
    <row r="78" spans="1:26" ht="13.5" thickBot="1" x14ac:dyDescent="0.25">
      <c r="A78" s="265">
        <f>A76+1</f>
        <v>16</v>
      </c>
      <c r="B78" s="270"/>
      <c r="C78" s="270"/>
      <c r="D78" s="270"/>
      <c r="E78" s="280" t="s">
        <v>269</v>
      </c>
      <c r="F78" s="270"/>
      <c r="G78" s="319">
        <f>SUM(G64:G76,G61:G62,G21:G47,G18:G19,G13:G16)</f>
        <v>270810838.90999997</v>
      </c>
      <c r="H78" s="279"/>
      <c r="I78" s="319">
        <f>SUM(I64:I76,I61:I62,I21:I47,I18:I19,I13:I16)</f>
        <v>118808889</v>
      </c>
      <c r="J78" s="279"/>
      <c r="K78" s="1228">
        <f>SUM(K64:K76,K61:K62,K21:K47,K18:K19,K13:K16)</f>
        <v>7924661.4100000011</v>
      </c>
      <c r="L78" s="270"/>
      <c r="M78" s="308"/>
      <c r="N78" s="270"/>
      <c r="O78" s="318"/>
      <c r="P78" s="270"/>
      <c r="Q78" s="307"/>
      <c r="R78" s="270"/>
      <c r="S78" s="305"/>
      <c r="T78" s="270"/>
      <c r="U78" s="270"/>
      <c r="W78" s="69"/>
      <c r="X78" s="69"/>
      <c r="Y78" s="69"/>
      <c r="Z78" s="69"/>
    </row>
    <row r="79" spans="1:26" ht="13.5" thickTop="1" x14ac:dyDescent="0.2">
      <c r="A79" s="305"/>
      <c r="B79" s="270"/>
      <c r="C79" s="270"/>
      <c r="D79" s="270"/>
      <c r="E79" s="270"/>
      <c r="F79" s="270"/>
      <c r="G79" s="270"/>
      <c r="H79" s="270"/>
      <c r="I79" s="270"/>
      <c r="J79" s="270"/>
      <c r="K79" s="992"/>
      <c r="L79" s="270"/>
      <c r="M79" s="270"/>
      <c r="N79" s="270"/>
      <c r="O79" s="270"/>
      <c r="P79" s="270"/>
      <c r="Q79" s="270"/>
      <c r="R79" s="270"/>
      <c r="S79" s="305"/>
      <c r="T79" s="270"/>
      <c r="U79" s="270"/>
      <c r="W79" s="69"/>
      <c r="X79" s="69"/>
      <c r="Y79" s="69"/>
      <c r="Z79" s="69"/>
    </row>
    <row r="80" spans="1:26" ht="12.75" x14ac:dyDescent="0.2">
      <c r="A80" s="305"/>
      <c r="B80" s="270"/>
      <c r="C80" s="270"/>
      <c r="D80" s="270"/>
      <c r="E80" s="270"/>
      <c r="F80" s="270"/>
      <c r="G80" s="270"/>
      <c r="H80" s="270"/>
      <c r="I80" s="270"/>
      <c r="J80" s="270"/>
      <c r="K80" s="1229"/>
      <c r="L80" s="678"/>
      <c r="M80" s="678"/>
      <c r="N80" s="678"/>
      <c r="O80" s="678"/>
      <c r="P80" s="270"/>
      <c r="Q80" s="270"/>
      <c r="R80" s="270"/>
      <c r="S80" s="270"/>
      <c r="T80" s="270"/>
      <c r="U80" s="270"/>
      <c r="W80" s="69"/>
      <c r="X80" s="69"/>
      <c r="Y80" s="69"/>
      <c r="Z80" s="69"/>
    </row>
    <row r="81" spans="1:26" ht="12.75" x14ac:dyDescent="0.2">
      <c r="A81" s="305">
        <f>1+A78</f>
        <v>17</v>
      </c>
      <c r="B81" s="270"/>
      <c r="C81" s="892" t="s">
        <v>270</v>
      </c>
      <c r="D81" s="892" t="s">
        <v>11</v>
      </c>
      <c r="E81" s="893"/>
      <c r="F81" s="270"/>
      <c r="G81" s="270"/>
      <c r="H81" s="270"/>
      <c r="I81" s="270"/>
      <c r="J81" s="270"/>
      <c r="K81" s="1229"/>
      <c r="L81" s="678"/>
      <c r="M81" s="678"/>
      <c r="N81" s="678"/>
      <c r="O81" s="678"/>
      <c r="P81" s="270"/>
      <c r="Q81" s="270"/>
      <c r="R81" s="270"/>
      <c r="S81" s="270"/>
      <c r="T81" s="270"/>
      <c r="U81" s="270"/>
      <c r="W81" s="69"/>
      <c r="X81" s="69"/>
      <c r="Y81" s="69"/>
      <c r="Z81" s="69"/>
    </row>
    <row r="82" spans="1:26" ht="12.75" x14ac:dyDescent="0.2">
      <c r="A82" s="265">
        <f>A81+1</f>
        <v>18</v>
      </c>
      <c r="B82" s="270"/>
      <c r="C82" s="893"/>
      <c r="D82" s="892" t="s">
        <v>276</v>
      </c>
      <c r="E82" s="893"/>
      <c r="F82" s="270"/>
      <c r="G82" s="270"/>
      <c r="H82" s="270"/>
      <c r="I82" s="270"/>
      <c r="J82" s="270"/>
      <c r="K82" s="1229"/>
      <c r="L82" s="678"/>
      <c r="M82" s="678"/>
      <c r="N82" s="678"/>
      <c r="O82" s="678"/>
      <c r="P82" s="270"/>
      <c r="Q82" s="270"/>
      <c r="R82" s="270"/>
      <c r="S82" s="270"/>
      <c r="T82" s="270"/>
      <c r="U82" s="270"/>
      <c r="W82" s="69"/>
      <c r="X82" s="69"/>
      <c r="Y82" s="69"/>
      <c r="Z82" s="69"/>
    </row>
    <row r="83" spans="1:26" ht="12.75" x14ac:dyDescent="0.2">
      <c r="A83" s="265">
        <f>A82+1</f>
        <v>19</v>
      </c>
      <c r="B83" s="270"/>
      <c r="C83" s="893"/>
      <c r="D83" s="281" t="s">
        <v>277</v>
      </c>
      <c r="E83" s="893"/>
      <c r="F83" s="270"/>
      <c r="G83" s="270"/>
      <c r="H83" s="270"/>
      <c r="I83" s="678"/>
      <c r="J83" s="678"/>
      <c r="K83" s="1229"/>
      <c r="L83" s="678"/>
      <c r="M83" s="678"/>
      <c r="N83" s="678"/>
      <c r="O83" s="678"/>
      <c r="P83" s="678"/>
      <c r="Q83" s="678"/>
      <c r="R83" s="678"/>
      <c r="S83" s="678"/>
      <c r="T83" s="270"/>
      <c r="U83" s="270"/>
      <c r="W83" s="69"/>
      <c r="X83" s="69"/>
      <c r="Y83" s="69"/>
      <c r="Z83" s="69"/>
    </row>
    <row r="84" spans="1:26" ht="12.75" x14ac:dyDescent="0.2">
      <c r="A84" s="265">
        <f>A83+1</f>
        <v>20</v>
      </c>
      <c r="B84" s="270"/>
      <c r="C84" s="894" t="s">
        <v>278</v>
      </c>
      <c r="D84" s="893" t="s">
        <v>279</v>
      </c>
      <c r="E84" s="893"/>
      <c r="F84" s="270"/>
      <c r="G84" s="270"/>
      <c r="H84" s="270"/>
      <c r="I84" s="678"/>
      <c r="J84" s="678"/>
      <c r="K84" s="1229"/>
      <c r="L84" s="678"/>
      <c r="M84" s="678"/>
      <c r="N84" s="678"/>
      <c r="O84" s="678"/>
      <c r="P84" s="678"/>
      <c r="Q84" s="678"/>
      <c r="R84" s="678"/>
      <c r="S84" s="678"/>
      <c r="T84" s="270"/>
      <c r="U84" s="270"/>
      <c r="W84" s="69"/>
      <c r="X84" s="69"/>
      <c r="Y84" s="69"/>
      <c r="Z84" s="69"/>
    </row>
    <row r="85" spans="1:26" ht="12.75" x14ac:dyDescent="0.2">
      <c r="A85" s="305"/>
      <c r="B85" s="270"/>
      <c r="C85" s="270"/>
      <c r="D85" s="270"/>
      <c r="E85" s="270"/>
      <c r="F85" s="270"/>
      <c r="G85" s="270"/>
      <c r="H85" s="270"/>
      <c r="I85" s="678"/>
      <c r="J85" s="678"/>
      <c r="K85" s="1229"/>
      <c r="L85" s="678"/>
      <c r="M85" s="993"/>
      <c r="N85" s="678"/>
      <c r="O85" s="678"/>
      <c r="P85" s="678"/>
      <c r="Q85" s="678"/>
      <c r="R85" s="678"/>
      <c r="S85" s="678"/>
      <c r="T85" s="270"/>
      <c r="U85" s="270"/>
      <c r="W85" s="69"/>
      <c r="X85" s="69"/>
      <c r="Y85" s="69"/>
      <c r="Z85" s="69"/>
    </row>
    <row r="86" spans="1:26" ht="12.75" x14ac:dyDescent="0.2">
      <c r="A86" s="305"/>
      <c r="B86" s="270"/>
      <c r="C86" s="270"/>
      <c r="D86" s="270"/>
      <c r="E86" s="270"/>
      <c r="F86" s="270"/>
      <c r="G86" s="270"/>
      <c r="H86" s="270"/>
      <c r="I86" s="678"/>
      <c r="J86" s="678"/>
      <c r="K86" s="1229"/>
      <c r="L86" s="678"/>
      <c r="M86" s="678"/>
      <c r="N86" s="678"/>
      <c r="O86" s="678"/>
      <c r="P86" s="678"/>
      <c r="Q86" s="678"/>
      <c r="R86" s="678"/>
      <c r="S86" s="994"/>
      <c r="T86" s="270"/>
      <c r="U86" s="270"/>
      <c r="W86" s="69"/>
      <c r="X86" s="69"/>
      <c r="Y86" s="69"/>
      <c r="Z86" s="69"/>
    </row>
    <row r="87" spans="1:26" ht="12.75" x14ac:dyDescent="0.2">
      <c r="A87" s="305"/>
      <c r="B87" s="270"/>
      <c r="C87" s="270"/>
      <c r="D87" s="270"/>
      <c r="E87" s="270"/>
      <c r="F87" s="270"/>
      <c r="G87" s="678"/>
      <c r="H87" s="270"/>
      <c r="I87" s="678"/>
      <c r="J87" s="678"/>
      <c r="K87" s="1229"/>
      <c r="L87" s="678"/>
      <c r="M87" s="678"/>
      <c r="N87" s="678"/>
      <c r="O87" s="678"/>
      <c r="P87" s="678"/>
      <c r="Q87" s="678"/>
      <c r="R87" s="678"/>
      <c r="S87" s="994"/>
      <c r="T87" s="270"/>
      <c r="U87" s="270"/>
      <c r="W87" s="69"/>
      <c r="X87" s="69"/>
      <c r="Y87" s="69"/>
      <c r="Z87" s="69"/>
    </row>
    <row r="88" spans="1:26" ht="12.75" x14ac:dyDescent="0.2">
      <c r="A88" s="305"/>
      <c r="B88" s="270"/>
      <c r="C88" s="270"/>
      <c r="D88" s="270"/>
      <c r="E88" s="270"/>
      <c r="F88" s="270"/>
      <c r="G88" s="293"/>
      <c r="H88" s="270"/>
      <c r="I88" s="678"/>
      <c r="J88" s="678"/>
      <c r="K88" s="1229"/>
      <c r="L88" s="678"/>
      <c r="M88" s="678"/>
      <c r="N88" s="678"/>
      <c r="O88" s="678"/>
      <c r="P88" s="678"/>
      <c r="Q88" s="678"/>
      <c r="R88" s="678"/>
      <c r="S88" s="994"/>
      <c r="T88" s="270"/>
      <c r="U88" s="270"/>
      <c r="W88" s="69"/>
      <c r="X88" s="69"/>
      <c r="Y88" s="69"/>
      <c r="Z88" s="69"/>
    </row>
    <row r="89" spans="1:26" ht="12.75" x14ac:dyDescent="0.2">
      <c r="A89" s="270"/>
      <c r="B89" s="270"/>
      <c r="C89" s="270"/>
      <c r="D89" s="270"/>
      <c r="E89" s="270"/>
      <c r="F89" s="270"/>
      <c r="G89" s="678"/>
      <c r="H89" s="270"/>
      <c r="I89" s="678"/>
      <c r="J89" s="678"/>
      <c r="K89" s="1229"/>
      <c r="L89" s="678"/>
      <c r="M89" s="678"/>
      <c r="N89" s="678"/>
      <c r="O89" s="678"/>
      <c r="P89" s="678"/>
      <c r="Q89" s="678"/>
      <c r="R89" s="678"/>
      <c r="S89" s="994"/>
      <c r="T89" s="270"/>
      <c r="U89" s="270"/>
      <c r="W89" s="69"/>
      <c r="X89" s="69"/>
      <c r="Y89" s="69"/>
      <c r="Z89" s="69"/>
    </row>
    <row r="90" spans="1:26" ht="12.75" x14ac:dyDescent="0.2">
      <c r="A90" s="270"/>
      <c r="B90" s="270"/>
      <c r="C90" s="270"/>
      <c r="D90" s="270"/>
      <c r="E90" s="270"/>
      <c r="F90" s="270"/>
      <c r="G90" s="270"/>
      <c r="H90" s="270"/>
      <c r="I90" s="678"/>
      <c r="J90" s="678"/>
      <c r="K90" s="1229"/>
      <c r="L90" s="678"/>
      <c r="M90" s="678"/>
      <c r="N90" s="678"/>
      <c r="O90" s="678"/>
      <c r="P90" s="678"/>
      <c r="Q90" s="678"/>
      <c r="R90" s="678"/>
      <c r="S90" s="994"/>
      <c r="T90" s="270"/>
      <c r="U90" s="270"/>
      <c r="W90" s="69"/>
      <c r="X90" s="69"/>
      <c r="Y90" s="69"/>
      <c r="Z90" s="69"/>
    </row>
    <row r="91" spans="1:26" ht="12.75" x14ac:dyDescent="0.2">
      <c r="A91" s="270"/>
      <c r="B91" s="270"/>
      <c r="C91" s="270"/>
      <c r="D91" s="270"/>
      <c r="E91" s="270"/>
      <c r="F91" s="270"/>
      <c r="G91" s="270"/>
      <c r="H91" s="270"/>
      <c r="I91" s="678"/>
      <c r="J91" s="678"/>
      <c r="K91" s="1229"/>
      <c r="L91" s="678"/>
      <c r="M91" s="678"/>
      <c r="N91" s="678"/>
      <c r="O91" s="678"/>
      <c r="P91" s="678"/>
      <c r="Q91" s="678"/>
      <c r="R91" s="678"/>
      <c r="S91" s="994"/>
      <c r="T91" s="270"/>
      <c r="U91" s="270"/>
      <c r="W91" s="69"/>
      <c r="X91" s="69"/>
      <c r="Y91" s="69"/>
      <c r="Z91" s="69"/>
    </row>
    <row r="92" spans="1:26" ht="12.75" x14ac:dyDescent="0.2">
      <c r="A92" s="270"/>
      <c r="B92" s="270"/>
      <c r="C92" s="270"/>
      <c r="D92" s="270"/>
      <c r="E92" s="270"/>
      <c r="F92" s="270"/>
      <c r="G92" s="270"/>
      <c r="H92" s="270"/>
      <c r="I92" s="678"/>
      <c r="J92" s="678"/>
      <c r="K92" s="1229"/>
      <c r="L92" s="678"/>
      <c r="M92" s="678"/>
      <c r="N92" s="678"/>
      <c r="O92" s="678"/>
      <c r="P92" s="678"/>
      <c r="Q92" s="678"/>
      <c r="R92" s="678"/>
      <c r="S92" s="994"/>
      <c r="T92" s="270"/>
      <c r="U92" s="270"/>
      <c r="W92" s="69"/>
      <c r="X92" s="69"/>
      <c r="Y92" s="69"/>
      <c r="Z92" s="69"/>
    </row>
    <row r="93" spans="1:26" ht="12.75" x14ac:dyDescent="0.2">
      <c r="A93" s="270"/>
      <c r="B93" s="270"/>
      <c r="C93" s="270"/>
      <c r="D93" s="270"/>
      <c r="E93" s="270"/>
      <c r="F93" s="270"/>
      <c r="G93" s="270"/>
      <c r="H93" s="270"/>
      <c r="I93" s="678"/>
      <c r="J93" s="678"/>
      <c r="K93" s="1229"/>
      <c r="L93" s="678"/>
      <c r="M93" s="678"/>
      <c r="N93" s="678"/>
      <c r="O93" s="678"/>
      <c r="P93" s="678"/>
      <c r="Q93" s="678"/>
      <c r="R93" s="678"/>
      <c r="S93" s="994"/>
      <c r="T93" s="270"/>
      <c r="U93" s="270"/>
      <c r="W93" s="69"/>
      <c r="X93" s="69"/>
      <c r="Y93" s="69"/>
      <c r="Z93" s="69"/>
    </row>
    <row r="94" spans="1:26" ht="12.75" x14ac:dyDescent="0.2">
      <c r="A94" s="270"/>
      <c r="B94" s="270"/>
      <c r="C94" s="270"/>
      <c r="D94" s="270"/>
      <c r="E94" s="270"/>
      <c r="F94" s="270"/>
      <c r="G94" s="270"/>
      <c r="H94" s="270"/>
      <c r="I94" s="678"/>
      <c r="J94" s="678"/>
      <c r="K94" s="1229"/>
      <c r="L94" s="678"/>
      <c r="M94" s="678"/>
      <c r="N94" s="678"/>
      <c r="O94" s="678"/>
      <c r="P94" s="678"/>
      <c r="Q94" s="678"/>
      <c r="R94" s="678"/>
      <c r="S94" s="994"/>
      <c r="T94" s="270"/>
      <c r="U94" s="270"/>
      <c r="W94" s="69"/>
      <c r="X94" s="69"/>
      <c r="Y94" s="69"/>
      <c r="Z94" s="69"/>
    </row>
    <row r="95" spans="1:26" ht="12.75" x14ac:dyDescent="0.2">
      <c r="A95" s="270"/>
      <c r="B95" s="270"/>
      <c r="C95" s="270"/>
      <c r="D95" s="270"/>
      <c r="E95" s="270"/>
      <c r="F95" s="270"/>
      <c r="G95" s="270"/>
      <c r="H95" s="270"/>
      <c r="I95" s="678"/>
      <c r="J95" s="678"/>
      <c r="K95" s="1229"/>
      <c r="L95" s="678"/>
      <c r="M95" s="678"/>
      <c r="N95" s="678"/>
      <c r="O95" s="678"/>
      <c r="P95" s="678"/>
      <c r="Q95" s="678"/>
      <c r="R95" s="678"/>
      <c r="S95" s="994"/>
      <c r="T95" s="270"/>
      <c r="U95" s="270"/>
      <c r="W95" s="69"/>
      <c r="X95" s="69"/>
      <c r="Y95" s="69"/>
      <c r="Z95" s="69"/>
    </row>
    <row r="96" spans="1:26" ht="12.75" x14ac:dyDescent="0.2">
      <c r="A96" s="270"/>
      <c r="B96" s="270"/>
      <c r="C96" s="270"/>
      <c r="D96" s="270"/>
      <c r="E96" s="270"/>
      <c r="F96" s="270"/>
      <c r="G96" s="270"/>
      <c r="H96" s="270"/>
      <c r="I96" s="678"/>
      <c r="J96" s="678"/>
      <c r="K96" s="1229"/>
      <c r="L96" s="678"/>
      <c r="M96" s="678"/>
      <c r="N96" s="678"/>
      <c r="O96" s="678"/>
      <c r="P96" s="678"/>
      <c r="Q96" s="678"/>
      <c r="R96" s="678"/>
      <c r="S96" s="994"/>
      <c r="T96" s="270"/>
      <c r="U96" s="270"/>
      <c r="W96" s="69"/>
      <c r="X96" s="69"/>
      <c r="Y96" s="69"/>
      <c r="Z96" s="69"/>
    </row>
    <row r="97" spans="1:26" ht="12.75" x14ac:dyDescent="0.2">
      <c r="A97" s="270"/>
      <c r="B97" s="270"/>
      <c r="C97" s="270"/>
      <c r="D97" s="270"/>
      <c r="E97" s="270"/>
      <c r="F97" s="270"/>
      <c r="G97" s="270"/>
      <c r="H97" s="270"/>
      <c r="I97" s="678"/>
      <c r="J97" s="678"/>
      <c r="K97" s="1229"/>
      <c r="L97" s="678"/>
      <c r="M97" s="678"/>
      <c r="N97" s="678"/>
      <c r="O97" s="678"/>
      <c r="P97" s="678"/>
      <c r="Q97" s="678"/>
      <c r="R97" s="678"/>
      <c r="S97" s="994"/>
      <c r="T97" s="270"/>
      <c r="U97" s="270"/>
      <c r="W97" s="69"/>
      <c r="X97" s="69"/>
      <c r="Y97" s="69"/>
      <c r="Z97" s="69"/>
    </row>
    <row r="98" spans="1:26" ht="12.75" x14ac:dyDescent="0.2">
      <c r="A98" s="270"/>
      <c r="B98" s="270"/>
      <c r="C98" s="270"/>
      <c r="D98" s="270"/>
      <c r="E98" s="270"/>
      <c r="F98" s="270"/>
      <c r="G98" s="270"/>
      <c r="H98" s="270"/>
      <c r="I98" s="678"/>
      <c r="J98" s="678"/>
      <c r="K98" s="1229"/>
      <c r="L98" s="678"/>
      <c r="M98" s="678"/>
      <c r="N98" s="678"/>
      <c r="O98" s="678"/>
      <c r="P98" s="678"/>
      <c r="Q98" s="678"/>
      <c r="R98" s="678"/>
      <c r="S98" s="994"/>
      <c r="T98" s="270"/>
      <c r="U98" s="270"/>
      <c r="W98" s="69"/>
      <c r="X98" s="69"/>
      <c r="Y98" s="69"/>
      <c r="Z98" s="69"/>
    </row>
    <row r="99" spans="1:26" ht="12.75" x14ac:dyDescent="0.2">
      <c r="A99" s="270"/>
      <c r="B99" s="270"/>
      <c r="C99" s="270"/>
      <c r="D99" s="270"/>
      <c r="E99" s="270"/>
      <c r="F99" s="270"/>
      <c r="G99" s="270"/>
      <c r="H99" s="270"/>
      <c r="I99" s="678"/>
      <c r="J99" s="678"/>
      <c r="K99" s="1229"/>
      <c r="L99" s="678"/>
      <c r="M99" s="678"/>
      <c r="N99" s="678"/>
      <c r="O99" s="678"/>
      <c r="P99" s="678"/>
      <c r="Q99" s="678"/>
      <c r="R99" s="678"/>
      <c r="S99" s="994"/>
      <c r="T99" s="270"/>
      <c r="U99" s="270"/>
      <c r="W99" s="69"/>
      <c r="X99" s="69"/>
      <c r="Y99" s="69"/>
      <c r="Z99" s="69"/>
    </row>
    <row r="100" spans="1:26" ht="12.75" x14ac:dyDescent="0.2">
      <c r="A100" s="270"/>
      <c r="B100" s="270"/>
      <c r="C100" s="270"/>
      <c r="D100" s="270"/>
      <c r="E100" s="270"/>
      <c r="F100" s="270"/>
      <c r="G100" s="270"/>
      <c r="H100" s="270"/>
      <c r="I100" s="678"/>
      <c r="J100" s="678"/>
      <c r="K100" s="1229"/>
      <c r="L100" s="678"/>
      <c r="M100" s="678"/>
      <c r="N100" s="678"/>
      <c r="O100" s="678"/>
      <c r="P100" s="678"/>
      <c r="Q100" s="678"/>
      <c r="R100" s="678"/>
      <c r="S100" s="994"/>
      <c r="T100" s="270"/>
      <c r="U100" s="270"/>
      <c r="W100" s="69"/>
      <c r="X100" s="69"/>
      <c r="Y100" s="69"/>
      <c r="Z100" s="69"/>
    </row>
    <row r="101" spans="1:26" ht="12.75" x14ac:dyDescent="0.2">
      <c r="A101" s="270"/>
      <c r="B101" s="270"/>
      <c r="C101" s="270"/>
      <c r="D101" s="270"/>
      <c r="E101" s="270"/>
      <c r="F101" s="270"/>
      <c r="G101" s="270"/>
      <c r="H101" s="270"/>
      <c r="I101" s="270"/>
      <c r="J101" s="270"/>
      <c r="K101" s="311"/>
      <c r="L101" s="270"/>
      <c r="M101" s="270"/>
      <c r="N101" s="270"/>
      <c r="O101" s="270"/>
      <c r="P101" s="270"/>
      <c r="Q101" s="270"/>
      <c r="R101" s="270"/>
      <c r="S101" s="909"/>
      <c r="T101" s="270"/>
      <c r="U101" s="270"/>
      <c r="W101" s="69"/>
      <c r="X101" s="69"/>
      <c r="Y101" s="69"/>
      <c r="Z101" s="69"/>
    </row>
    <row r="102" spans="1:26" ht="12.75" x14ac:dyDescent="0.2">
      <c r="A102" s="270"/>
      <c r="B102" s="270"/>
      <c r="C102" s="270"/>
      <c r="D102" s="270"/>
      <c r="E102" s="270"/>
      <c r="F102" s="270"/>
      <c r="G102" s="270"/>
      <c r="H102" s="270"/>
      <c r="I102" s="270"/>
      <c r="J102" s="270"/>
      <c r="K102" s="311"/>
      <c r="L102" s="270"/>
      <c r="M102" s="270"/>
      <c r="N102" s="270"/>
      <c r="O102" s="270"/>
      <c r="P102" s="270"/>
      <c r="Q102" s="270"/>
      <c r="R102" s="270"/>
      <c r="S102" s="909"/>
      <c r="T102" s="270"/>
      <c r="U102" s="270"/>
      <c r="W102" s="69"/>
      <c r="X102" s="69"/>
      <c r="Y102" s="69"/>
      <c r="Z102" s="69"/>
    </row>
    <row r="103" spans="1:26" ht="12.75" x14ac:dyDescent="0.2">
      <c r="A103" s="270"/>
      <c r="B103" s="270"/>
      <c r="C103" s="270"/>
      <c r="D103" s="270"/>
      <c r="E103" s="270"/>
      <c r="F103" s="270"/>
      <c r="G103" s="270"/>
      <c r="H103" s="270"/>
      <c r="I103" s="270"/>
      <c r="J103" s="270"/>
      <c r="K103" s="311"/>
      <c r="L103" s="270"/>
      <c r="M103" s="270"/>
      <c r="N103" s="270"/>
      <c r="O103" s="270"/>
      <c r="P103" s="270"/>
      <c r="Q103" s="270"/>
      <c r="R103" s="270"/>
      <c r="S103" s="909"/>
      <c r="T103" s="270"/>
      <c r="U103" s="270"/>
      <c r="W103" s="69"/>
      <c r="X103" s="69"/>
      <c r="Y103" s="69"/>
      <c r="Z103" s="69"/>
    </row>
    <row r="104" spans="1:26" ht="12.75" x14ac:dyDescent="0.2">
      <c r="A104" s="270"/>
      <c r="B104" s="270"/>
      <c r="C104" s="270"/>
      <c r="D104" s="270"/>
      <c r="E104" s="270"/>
      <c r="F104" s="270"/>
      <c r="G104" s="270"/>
      <c r="H104" s="270"/>
      <c r="I104" s="270"/>
      <c r="J104" s="270"/>
      <c r="K104" s="311"/>
      <c r="L104" s="270"/>
      <c r="M104" s="270"/>
      <c r="N104" s="270"/>
      <c r="O104" s="270"/>
      <c r="P104" s="270"/>
      <c r="Q104" s="270"/>
      <c r="R104" s="270"/>
      <c r="S104" s="909"/>
      <c r="T104" s="270"/>
      <c r="U104" s="270"/>
      <c r="W104" s="69"/>
      <c r="X104" s="69"/>
      <c r="Y104" s="69"/>
      <c r="Z104" s="69"/>
    </row>
    <row r="105" spans="1:26" ht="12.75" x14ac:dyDescent="0.2">
      <c r="A105" s="270"/>
      <c r="B105" s="270"/>
      <c r="C105" s="270"/>
      <c r="D105" s="270"/>
      <c r="E105" s="270"/>
      <c r="F105" s="270"/>
      <c r="G105" s="270"/>
      <c r="H105" s="270"/>
      <c r="I105" s="270"/>
      <c r="J105" s="270"/>
      <c r="K105" s="311"/>
      <c r="L105" s="270"/>
      <c r="M105" s="270"/>
      <c r="N105" s="270"/>
      <c r="O105" s="270"/>
      <c r="P105" s="270"/>
      <c r="Q105" s="270"/>
      <c r="R105" s="270"/>
      <c r="S105" s="909"/>
      <c r="T105" s="270"/>
      <c r="U105" s="270"/>
      <c r="W105" s="69"/>
      <c r="X105" s="69"/>
      <c r="Y105" s="69"/>
      <c r="Z105" s="69"/>
    </row>
    <row r="106" spans="1:26" ht="12.75" x14ac:dyDescent="0.2">
      <c r="A106" s="270"/>
      <c r="B106" s="270"/>
      <c r="C106" s="270"/>
      <c r="D106" s="270"/>
      <c r="E106" s="270"/>
      <c r="F106" s="270"/>
      <c r="G106" s="270"/>
      <c r="H106" s="270"/>
      <c r="I106" s="270"/>
      <c r="J106" s="270"/>
      <c r="K106" s="311"/>
      <c r="L106" s="270"/>
      <c r="M106" s="270"/>
      <c r="N106" s="270"/>
      <c r="O106" s="270"/>
      <c r="P106" s="270"/>
      <c r="Q106" s="270"/>
      <c r="R106" s="270"/>
      <c r="S106" s="909"/>
      <c r="T106" s="270"/>
      <c r="U106" s="270"/>
      <c r="W106" s="69"/>
      <c r="X106" s="69"/>
      <c r="Y106" s="69"/>
      <c r="Z106" s="69"/>
    </row>
    <row r="107" spans="1:26" ht="12.75" x14ac:dyDescent="0.2">
      <c r="A107" s="270"/>
      <c r="B107" s="270"/>
      <c r="C107" s="270"/>
      <c r="D107" s="270"/>
      <c r="E107" s="270"/>
      <c r="F107" s="270"/>
      <c r="G107" s="270"/>
      <c r="H107" s="270"/>
      <c r="I107" s="270"/>
      <c r="J107" s="270"/>
      <c r="K107" s="311"/>
      <c r="L107" s="270"/>
      <c r="M107" s="270"/>
      <c r="N107" s="270"/>
      <c r="O107" s="270"/>
      <c r="P107" s="270"/>
      <c r="Q107" s="270"/>
      <c r="R107" s="270"/>
      <c r="S107" s="909"/>
      <c r="T107" s="270"/>
      <c r="U107" s="270"/>
      <c r="W107" s="69"/>
      <c r="X107" s="69"/>
      <c r="Y107" s="69"/>
      <c r="Z107" s="69"/>
    </row>
    <row r="108" spans="1:26" ht="12.75" x14ac:dyDescent="0.2">
      <c r="A108" s="270"/>
      <c r="B108" s="270"/>
      <c r="C108" s="270"/>
      <c r="D108" s="270"/>
      <c r="E108" s="270"/>
      <c r="F108" s="270"/>
      <c r="G108" s="270"/>
      <c r="H108" s="270"/>
      <c r="I108" s="270"/>
      <c r="J108" s="270"/>
      <c r="K108" s="311"/>
      <c r="L108" s="270"/>
      <c r="M108" s="270"/>
      <c r="N108" s="270"/>
      <c r="O108" s="270"/>
      <c r="P108" s="270"/>
      <c r="Q108" s="270"/>
      <c r="R108" s="270"/>
      <c r="S108" s="909"/>
      <c r="T108" s="270"/>
      <c r="U108" s="270"/>
      <c r="W108" s="69"/>
      <c r="X108" s="69"/>
      <c r="Y108" s="69"/>
      <c r="Z108" s="69"/>
    </row>
    <row r="109" spans="1:26" ht="12.75" x14ac:dyDescent="0.2">
      <c r="A109" s="270"/>
      <c r="B109" s="270"/>
      <c r="C109" s="270"/>
      <c r="D109" s="270"/>
      <c r="E109" s="270"/>
      <c r="F109" s="270"/>
      <c r="G109" s="270"/>
      <c r="H109" s="270"/>
      <c r="I109" s="270"/>
      <c r="J109" s="270"/>
      <c r="K109" s="311"/>
      <c r="L109" s="270"/>
      <c r="M109" s="270"/>
      <c r="N109" s="270"/>
      <c r="O109" s="270"/>
      <c r="P109" s="270"/>
      <c r="Q109" s="270"/>
      <c r="R109" s="270"/>
      <c r="S109" s="909"/>
      <c r="T109" s="270"/>
      <c r="U109" s="270"/>
      <c r="W109" s="69"/>
      <c r="X109" s="69"/>
      <c r="Y109" s="69"/>
      <c r="Z109" s="69"/>
    </row>
    <row r="110" spans="1:26" ht="12.75" x14ac:dyDescent="0.2">
      <c r="A110" s="270"/>
      <c r="B110" s="270"/>
      <c r="C110" s="270"/>
      <c r="D110" s="270"/>
      <c r="E110" s="270"/>
      <c r="F110" s="270"/>
      <c r="G110" s="270"/>
      <c r="H110" s="270"/>
      <c r="I110" s="270"/>
      <c r="J110" s="270"/>
      <c r="K110" s="311"/>
      <c r="L110" s="270"/>
      <c r="M110" s="270"/>
      <c r="N110" s="270"/>
      <c r="O110" s="270"/>
      <c r="P110" s="270"/>
      <c r="Q110" s="270"/>
      <c r="R110" s="270"/>
      <c r="S110" s="909"/>
      <c r="T110" s="270"/>
      <c r="U110" s="270"/>
      <c r="W110" s="69"/>
      <c r="X110" s="69"/>
      <c r="Y110" s="69"/>
      <c r="Z110" s="69"/>
    </row>
    <row r="111" spans="1:26" ht="12.75" x14ac:dyDescent="0.2">
      <c r="A111" s="270"/>
      <c r="B111" s="270"/>
      <c r="C111" s="270"/>
      <c r="D111" s="270"/>
      <c r="E111" s="270"/>
      <c r="F111" s="270"/>
      <c r="G111" s="270"/>
      <c r="H111" s="270"/>
      <c r="I111" s="270"/>
      <c r="J111" s="270"/>
      <c r="K111" s="311"/>
      <c r="L111" s="270"/>
      <c r="M111" s="270"/>
      <c r="N111" s="270"/>
      <c r="O111" s="270"/>
      <c r="P111" s="270"/>
      <c r="Q111" s="270"/>
      <c r="R111" s="270"/>
      <c r="S111" s="909"/>
      <c r="T111" s="270"/>
      <c r="U111" s="270"/>
      <c r="W111" s="69"/>
      <c r="X111" s="69"/>
      <c r="Y111" s="69"/>
      <c r="Z111" s="69"/>
    </row>
    <row r="112" spans="1:26" ht="12.75" x14ac:dyDescent="0.2">
      <c r="A112" s="270"/>
      <c r="B112" s="270"/>
      <c r="C112" s="270"/>
      <c r="D112" s="270"/>
      <c r="E112" s="270"/>
      <c r="F112" s="270"/>
      <c r="G112" s="270"/>
      <c r="H112" s="270"/>
      <c r="I112" s="270"/>
      <c r="J112" s="270"/>
      <c r="K112" s="311"/>
      <c r="L112" s="270"/>
      <c r="M112" s="270"/>
      <c r="N112" s="270"/>
      <c r="O112" s="270"/>
      <c r="P112" s="270"/>
      <c r="Q112" s="270"/>
      <c r="R112" s="270"/>
      <c r="S112" s="909"/>
      <c r="T112" s="270"/>
      <c r="U112" s="270"/>
      <c r="W112" s="69"/>
      <c r="X112" s="69"/>
      <c r="Y112" s="69"/>
      <c r="Z112" s="69"/>
    </row>
    <row r="113" spans="1:26" ht="12.75" x14ac:dyDescent="0.2">
      <c r="A113" s="270"/>
      <c r="B113" s="270"/>
      <c r="C113" s="270"/>
      <c r="D113" s="270"/>
      <c r="E113" s="270"/>
      <c r="F113" s="270"/>
      <c r="G113" s="270"/>
      <c r="H113" s="270"/>
      <c r="I113" s="270"/>
      <c r="J113" s="270"/>
      <c r="K113" s="311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W113" s="69"/>
      <c r="X113" s="69"/>
      <c r="Y113" s="69"/>
      <c r="Z113" s="69"/>
    </row>
    <row r="114" spans="1:26" ht="12.75" x14ac:dyDescent="0.2">
      <c r="A114" s="270"/>
      <c r="B114" s="270"/>
      <c r="C114" s="270"/>
      <c r="D114" s="270"/>
      <c r="E114" s="270"/>
      <c r="F114" s="270"/>
      <c r="G114" s="270"/>
      <c r="H114" s="270"/>
      <c r="I114" s="270"/>
      <c r="J114" s="270"/>
      <c r="K114" s="311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W114" s="69"/>
      <c r="X114" s="69"/>
      <c r="Y114" s="69"/>
      <c r="Z114" s="69"/>
    </row>
    <row r="115" spans="1:26" ht="12.75" x14ac:dyDescent="0.2">
      <c r="A115" s="270"/>
      <c r="B115" s="270"/>
      <c r="C115" s="270"/>
      <c r="D115" s="270"/>
      <c r="E115" s="270"/>
      <c r="F115" s="270"/>
      <c r="G115" s="270"/>
      <c r="H115" s="270"/>
      <c r="I115" s="270"/>
      <c r="J115" s="270"/>
      <c r="K115" s="311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W115" s="69"/>
      <c r="X115" s="69"/>
      <c r="Y115" s="69"/>
      <c r="Z115" s="69"/>
    </row>
    <row r="116" spans="1:26" ht="12.75" x14ac:dyDescent="0.2">
      <c r="A116" s="270"/>
      <c r="B116" s="270"/>
      <c r="C116" s="270"/>
      <c r="D116" s="270"/>
      <c r="E116" s="270"/>
      <c r="F116" s="270"/>
      <c r="G116" s="270"/>
      <c r="H116" s="270"/>
      <c r="I116" s="270"/>
      <c r="J116" s="270"/>
      <c r="K116" s="311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W116" s="69"/>
      <c r="X116" s="69"/>
      <c r="Y116" s="69"/>
      <c r="Z116" s="69"/>
    </row>
    <row r="117" spans="1:26" ht="12.75" x14ac:dyDescent="0.2">
      <c r="A117" s="270"/>
      <c r="B117" s="270"/>
      <c r="C117" s="270"/>
      <c r="D117" s="270"/>
      <c r="E117" s="270"/>
      <c r="F117" s="270"/>
      <c r="G117" s="270"/>
      <c r="H117" s="270"/>
      <c r="I117" s="270"/>
      <c r="J117" s="270"/>
      <c r="K117" s="311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W117" s="69"/>
      <c r="X117" s="69"/>
      <c r="Y117" s="69"/>
      <c r="Z117" s="69"/>
    </row>
    <row r="118" spans="1:26" ht="12.75" x14ac:dyDescent="0.2">
      <c r="A118" s="270"/>
      <c r="B118" s="270"/>
      <c r="C118" s="270"/>
      <c r="D118" s="270"/>
      <c r="E118" s="270"/>
      <c r="F118" s="270"/>
      <c r="G118" s="270"/>
      <c r="H118" s="270"/>
      <c r="I118" s="270"/>
      <c r="J118" s="270"/>
      <c r="K118" s="311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W118" s="69"/>
      <c r="X118" s="69"/>
      <c r="Y118" s="69"/>
      <c r="Z118" s="69"/>
    </row>
    <row r="119" spans="1:26" ht="12.75" x14ac:dyDescent="0.2">
      <c r="A119" s="270"/>
      <c r="B119" s="270"/>
      <c r="C119" s="270"/>
      <c r="D119" s="270"/>
      <c r="E119" s="270"/>
      <c r="F119" s="270"/>
      <c r="G119" s="270"/>
      <c r="H119" s="270"/>
      <c r="I119" s="270"/>
      <c r="J119" s="270"/>
      <c r="K119" s="311"/>
      <c r="L119" s="270"/>
      <c r="M119" s="270"/>
      <c r="N119" s="270"/>
      <c r="O119" s="270"/>
      <c r="P119" s="270"/>
      <c r="Q119" s="270"/>
      <c r="R119" s="270"/>
      <c r="S119" s="270"/>
      <c r="T119" s="270"/>
      <c r="U119" s="270"/>
      <c r="W119" s="69"/>
      <c r="X119" s="69"/>
      <c r="Y119" s="69"/>
      <c r="Z119" s="69"/>
    </row>
    <row r="120" spans="1:26" ht="12.75" x14ac:dyDescent="0.2">
      <c r="A120" s="270"/>
      <c r="B120" s="270"/>
      <c r="C120" s="270"/>
      <c r="D120" s="270"/>
      <c r="E120" s="270"/>
      <c r="F120" s="270"/>
      <c r="G120" s="270"/>
      <c r="H120" s="270"/>
      <c r="I120" s="270"/>
      <c r="J120" s="270"/>
      <c r="K120" s="311"/>
      <c r="L120" s="270"/>
      <c r="M120" s="270"/>
      <c r="N120" s="270"/>
      <c r="O120" s="270"/>
      <c r="P120" s="270"/>
      <c r="Q120" s="270"/>
      <c r="R120" s="270"/>
      <c r="S120" s="270"/>
      <c r="T120" s="270"/>
      <c r="U120" s="270"/>
      <c r="W120" s="69"/>
      <c r="X120" s="69"/>
      <c r="Y120" s="69"/>
      <c r="Z120" s="69"/>
    </row>
    <row r="121" spans="1:26" ht="12.75" x14ac:dyDescent="0.2">
      <c r="A121" s="270"/>
      <c r="B121" s="270"/>
      <c r="C121" s="270"/>
      <c r="D121" s="270"/>
      <c r="E121" s="270"/>
      <c r="F121" s="270"/>
      <c r="G121" s="270"/>
      <c r="H121" s="270"/>
      <c r="I121" s="270"/>
      <c r="J121" s="270"/>
      <c r="K121" s="311"/>
      <c r="L121" s="270"/>
      <c r="M121" s="270"/>
      <c r="N121" s="270"/>
      <c r="O121" s="270"/>
      <c r="P121" s="270"/>
      <c r="Q121" s="270"/>
      <c r="R121" s="270"/>
      <c r="S121" s="270"/>
      <c r="T121" s="270"/>
      <c r="U121" s="270"/>
      <c r="W121" s="69"/>
      <c r="X121" s="69"/>
      <c r="Y121" s="69"/>
      <c r="Z121" s="69"/>
    </row>
    <row r="122" spans="1:26" ht="12.75" x14ac:dyDescent="0.2">
      <c r="A122" s="270"/>
      <c r="B122" s="270"/>
      <c r="C122" s="270"/>
      <c r="D122" s="270"/>
      <c r="E122" s="270"/>
      <c r="F122" s="270"/>
      <c r="G122" s="270"/>
      <c r="H122" s="270"/>
      <c r="I122" s="270"/>
      <c r="J122" s="270"/>
      <c r="K122" s="311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W122" s="69"/>
      <c r="X122" s="69"/>
      <c r="Y122" s="69"/>
      <c r="Z122" s="69"/>
    </row>
    <row r="123" spans="1:26" ht="12.75" x14ac:dyDescent="0.2">
      <c r="A123" s="270"/>
      <c r="B123" s="270"/>
      <c r="C123" s="270"/>
      <c r="D123" s="270"/>
      <c r="E123" s="270"/>
      <c r="F123" s="270"/>
      <c r="G123" s="270"/>
      <c r="H123" s="270"/>
      <c r="I123" s="270"/>
      <c r="J123" s="270"/>
      <c r="K123" s="311"/>
      <c r="L123" s="270"/>
      <c r="M123" s="270"/>
      <c r="N123" s="270"/>
      <c r="O123" s="270"/>
      <c r="P123" s="270"/>
      <c r="Q123" s="270"/>
      <c r="R123" s="270"/>
      <c r="S123" s="270"/>
      <c r="T123" s="270"/>
      <c r="U123" s="270"/>
      <c r="W123" s="69"/>
      <c r="X123" s="69"/>
      <c r="Y123" s="69"/>
      <c r="Z123" s="69"/>
    </row>
    <row r="124" spans="1:26" ht="12.75" x14ac:dyDescent="0.2">
      <c r="A124" s="270"/>
      <c r="B124" s="270"/>
      <c r="C124" s="270"/>
      <c r="D124" s="270"/>
      <c r="E124" s="270"/>
      <c r="F124" s="270"/>
      <c r="G124" s="270"/>
      <c r="H124" s="270"/>
      <c r="I124" s="270"/>
      <c r="J124" s="270"/>
      <c r="K124" s="311"/>
      <c r="L124" s="270"/>
      <c r="M124" s="270"/>
      <c r="N124" s="270"/>
      <c r="O124" s="270"/>
      <c r="P124" s="270"/>
      <c r="Q124" s="270"/>
      <c r="R124" s="270"/>
      <c r="S124" s="270"/>
      <c r="T124" s="270"/>
      <c r="U124" s="270"/>
      <c r="W124" s="69"/>
      <c r="X124" s="69"/>
      <c r="Y124" s="69"/>
      <c r="Z124" s="69"/>
    </row>
    <row r="125" spans="1:26" ht="12.75" x14ac:dyDescent="0.2">
      <c r="A125" s="270"/>
      <c r="B125" s="270"/>
      <c r="C125" s="270"/>
      <c r="D125" s="270"/>
      <c r="E125" s="270"/>
      <c r="F125" s="270"/>
      <c r="G125" s="270"/>
      <c r="H125" s="270"/>
      <c r="I125" s="270"/>
      <c r="J125" s="270"/>
      <c r="K125" s="311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W125" s="69"/>
      <c r="X125" s="69"/>
      <c r="Y125" s="69"/>
      <c r="Z125" s="69"/>
    </row>
    <row r="126" spans="1:26" ht="12.75" x14ac:dyDescent="0.2">
      <c r="A126" s="270"/>
      <c r="B126" s="270"/>
      <c r="C126" s="270"/>
      <c r="D126" s="270"/>
      <c r="E126" s="270"/>
      <c r="F126" s="270"/>
      <c r="G126" s="270"/>
      <c r="H126" s="270"/>
      <c r="I126" s="270"/>
      <c r="J126" s="270"/>
      <c r="K126" s="311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W126" s="69"/>
      <c r="X126" s="69"/>
      <c r="Y126" s="69"/>
      <c r="Z126" s="69"/>
    </row>
    <row r="127" spans="1:26" ht="12.75" x14ac:dyDescent="0.2">
      <c r="A127" s="270"/>
      <c r="B127" s="270"/>
      <c r="C127" s="270"/>
      <c r="D127" s="270"/>
      <c r="E127" s="270"/>
      <c r="F127" s="270"/>
      <c r="G127" s="270"/>
      <c r="H127" s="270"/>
      <c r="I127" s="270"/>
      <c r="J127" s="270"/>
      <c r="K127" s="311"/>
      <c r="L127" s="270"/>
      <c r="M127" s="270"/>
      <c r="N127" s="270"/>
      <c r="O127" s="270"/>
      <c r="P127" s="270"/>
      <c r="Q127" s="270"/>
      <c r="R127" s="270"/>
      <c r="S127" s="270"/>
      <c r="T127" s="270"/>
      <c r="U127" s="270"/>
      <c r="W127" s="69"/>
      <c r="X127" s="69"/>
      <c r="Y127" s="69"/>
      <c r="Z127" s="69"/>
    </row>
    <row r="128" spans="1:26" ht="12.75" x14ac:dyDescent="0.2">
      <c r="A128" s="270"/>
      <c r="B128" s="270"/>
      <c r="C128" s="270"/>
      <c r="D128" s="270"/>
      <c r="E128" s="270"/>
      <c r="F128" s="270"/>
      <c r="G128" s="270"/>
      <c r="H128" s="270"/>
      <c r="I128" s="270"/>
      <c r="J128" s="270"/>
      <c r="K128" s="311"/>
      <c r="L128" s="270"/>
      <c r="M128" s="270"/>
      <c r="N128" s="270"/>
      <c r="O128" s="270"/>
      <c r="P128" s="270"/>
      <c r="Q128" s="270"/>
      <c r="R128" s="270"/>
      <c r="S128" s="270"/>
      <c r="T128" s="270"/>
      <c r="U128" s="270"/>
      <c r="W128" s="69"/>
      <c r="X128" s="69"/>
      <c r="Y128" s="69"/>
      <c r="Z128" s="69"/>
    </row>
    <row r="129" spans="1:26" ht="12.75" x14ac:dyDescent="0.2">
      <c r="A129" s="270"/>
      <c r="B129" s="270"/>
      <c r="C129" s="270"/>
      <c r="D129" s="270"/>
      <c r="E129" s="270"/>
      <c r="F129" s="270"/>
      <c r="G129" s="270"/>
      <c r="H129" s="270"/>
      <c r="I129" s="270"/>
      <c r="J129" s="270"/>
      <c r="K129" s="311"/>
      <c r="L129" s="270"/>
      <c r="M129" s="270"/>
      <c r="N129" s="270"/>
      <c r="O129" s="270"/>
      <c r="P129" s="270"/>
      <c r="Q129" s="270"/>
      <c r="R129" s="270"/>
      <c r="S129" s="270"/>
      <c r="T129" s="270"/>
      <c r="U129" s="270"/>
      <c r="W129" s="69"/>
      <c r="X129" s="69"/>
      <c r="Y129" s="69"/>
      <c r="Z129" s="69"/>
    </row>
    <row r="130" spans="1:26" ht="12.75" x14ac:dyDescent="0.2">
      <c r="A130" s="270"/>
      <c r="B130" s="270"/>
      <c r="C130" s="270"/>
      <c r="D130" s="270"/>
      <c r="E130" s="270"/>
      <c r="F130" s="270"/>
      <c r="G130" s="270"/>
      <c r="H130" s="270"/>
      <c r="I130" s="270"/>
      <c r="J130" s="270"/>
      <c r="K130" s="311"/>
      <c r="L130" s="270"/>
      <c r="M130" s="270"/>
      <c r="N130" s="270"/>
      <c r="O130" s="270"/>
      <c r="P130" s="270"/>
      <c r="Q130" s="270"/>
      <c r="R130" s="270"/>
      <c r="S130" s="270"/>
      <c r="T130" s="270"/>
      <c r="U130" s="270"/>
      <c r="W130" s="69"/>
      <c r="X130" s="69"/>
      <c r="Y130" s="69"/>
      <c r="Z130" s="69"/>
    </row>
    <row r="131" spans="1:26" ht="12.75" x14ac:dyDescent="0.2">
      <c r="A131" s="270"/>
      <c r="B131" s="270"/>
      <c r="C131" s="270"/>
      <c r="D131" s="270"/>
      <c r="E131" s="270"/>
      <c r="F131" s="270"/>
      <c r="G131" s="270"/>
      <c r="H131" s="270"/>
      <c r="I131" s="270"/>
      <c r="J131" s="270"/>
      <c r="K131" s="311"/>
      <c r="L131" s="270"/>
      <c r="M131" s="270"/>
      <c r="N131" s="270"/>
      <c r="O131" s="270"/>
      <c r="P131" s="270"/>
      <c r="Q131" s="270"/>
      <c r="R131" s="270"/>
      <c r="S131" s="270"/>
      <c r="T131" s="270"/>
      <c r="U131" s="270"/>
      <c r="W131" s="69"/>
      <c r="X131" s="69"/>
      <c r="Y131" s="69"/>
      <c r="Z131" s="69"/>
    </row>
    <row r="132" spans="1:26" ht="12.75" x14ac:dyDescent="0.2">
      <c r="A132" s="270"/>
      <c r="B132" s="270"/>
      <c r="C132" s="270"/>
      <c r="D132" s="270"/>
      <c r="E132" s="270"/>
      <c r="F132" s="270"/>
      <c r="G132" s="270"/>
      <c r="H132" s="270"/>
      <c r="I132" s="270"/>
      <c r="J132" s="270"/>
      <c r="K132" s="311"/>
      <c r="L132" s="270"/>
      <c r="M132" s="270"/>
      <c r="N132" s="270"/>
      <c r="O132" s="270"/>
      <c r="P132" s="270"/>
      <c r="Q132" s="270"/>
      <c r="R132" s="270"/>
      <c r="S132" s="270"/>
      <c r="T132" s="270"/>
      <c r="U132" s="270"/>
      <c r="W132" s="69"/>
      <c r="X132" s="69"/>
      <c r="Y132" s="69"/>
      <c r="Z132" s="69"/>
    </row>
    <row r="133" spans="1:26" ht="12.75" x14ac:dyDescent="0.2">
      <c r="A133" s="270"/>
      <c r="B133" s="270"/>
      <c r="C133" s="270"/>
      <c r="D133" s="270"/>
      <c r="E133" s="270"/>
      <c r="F133" s="270"/>
      <c r="G133" s="270"/>
      <c r="H133" s="270"/>
      <c r="I133" s="270"/>
      <c r="J133" s="270"/>
      <c r="K133" s="311"/>
      <c r="L133" s="270"/>
      <c r="M133" s="270"/>
      <c r="N133" s="270"/>
      <c r="O133" s="270"/>
      <c r="P133" s="270"/>
      <c r="Q133" s="270"/>
      <c r="R133" s="270"/>
      <c r="S133" s="270"/>
      <c r="T133" s="270"/>
      <c r="U133" s="270"/>
      <c r="W133" s="69"/>
      <c r="X133" s="69"/>
      <c r="Y133" s="69"/>
      <c r="Z133" s="69"/>
    </row>
    <row r="134" spans="1:26" ht="12.75" x14ac:dyDescent="0.2">
      <c r="A134" s="270"/>
      <c r="B134" s="270"/>
      <c r="C134" s="270"/>
      <c r="D134" s="270"/>
      <c r="E134" s="270"/>
      <c r="F134" s="270"/>
      <c r="G134" s="270"/>
      <c r="H134" s="270"/>
      <c r="I134" s="270"/>
      <c r="J134" s="270"/>
      <c r="K134" s="311"/>
      <c r="L134" s="270"/>
      <c r="M134" s="270"/>
      <c r="N134" s="270"/>
      <c r="O134" s="270"/>
      <c r="P134" s="270"/>
      <c r="Q134" s="270"/>
      <c r="R134" s="270"/>
      <c r="S134" s="270"/>
      <c r="T134" s="270"/>
      <c r="U134" s="270"/>
      <c r="W134" s="69"/>
      <c r="X134" s="69"/>
      <c r="Y134" s="69"/>
      <c r="Z134" s="69"/>
    </row>
    <row r="135" spans="1:26" ht="12.75" x14ac:dyDescent="0.2">
      <c r="A135" s="270"/>
      <c r="B135" s="270"/>
      <c r="C135" s="270"/>
      <c r="D135" s="270"/>
      <c r="E135" s="270"/>
      <c r="F135" s="270"/>
      <c r="G135" s="270"/>
      <c r="H135" s="270"/>
      <c r="I135" s="270"/>
      <c r="J135" s="270"/>
      <c r="K135" s="311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W135" s="69"/>
      <c r="X135" s="69"/>
      <c r="Y135" s="69"/>
      <c r="Z135" s="69"/>
    </row>
    <row r="136" spans="1:26" ht="12.75" x14ac:dyDescent="0.2">
      <c r="A136" s="270"/>
      <c r="B136" s="270"/>
      <c r="C136" s="270"/>
      <c r="D136" s="270"/>
      <c r="E136" s="270"/>
      <c r="F136" s="270"/>
      <c r="G136" s="270"/>
      <c r="H136" s="270"/>
      <c r="I136" s="270"/>
      <c r="J136" s="270"/>
      <c r="K136" s="311"/>
      <c r="L136" s="270"/>
      <c r="M136" s="270"/>
      <c r="N136" s="270"/>
      <c r="O136" s="270"/>
      <c r="P136" s="270"/>
      <c r="Q136" s="270"/>
      <c r="R136" s="270"/>
      <c r="S136" s="270"/>
      <c r="T136" s="270"/>
      <c r="U136" s="270"/>
      <c r="W136" s="69"/>
      <c r="X136" s="69"/>
      <c r="Y136" s="69"/>
      <c r="Z136" s="69"/>
    </row>
    <row r="137" spans="1:26" ht="12.75" x14ac:dyDescent="0.2">
      <c r="A137" s="270"/>
      <c r="B137" s="270"/>
      <c r="C137" s="270"/>
      <c r="D137" s="270"/>
      <c r="E137" s="270"/>
      <c r="F137" s="270"/>
      <c r="G137" s="270"/>
      <c r="H137" s="270"/>
      <c r="I137" s="270"/>
      <c r="J137" s="270"/>
      <c r="K137" s="311"/>
      <c r="L137" s="270"/>
      <c r="M137" s="270"/>
      <c r="N137" s="270"/>
      <c r="O137" s="270"/>
      <c r="P137" s="270"/>
      <c r="Q137" s="270"/>
      <c r="R137" s="270"/>
      <c r="S137" s="270"/>
      <c r="T137" s="270"/>
      <c r="U137" s="270"/>
      <c r="W137" s="69"/>
      <c r="X137" s="69"/>
      <c r="Y137" s="69"/>
      <c r="Z137" s="69"/>
    </row>
    <row r="138" spans="1:26" ht="12.75" x14ac:dyDescent="0.2">
      <c r="A138" s="270"/>
      <c r="B138" s="270"/>
      <c r="C138" s="270"/>
      <c r="D138" s="270"/>
      <c r="E138" s="270"/>
      <c r="F138" s="270"/>
      <c r="G138" s="270"/>
      <c r="H138" s="270"/>
      <c r="I138" s="270"/>
      <c r="J138" s="270"/>
      <c r="K138" s="311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W138" s="69"/>
      <c r="X138" s="69"/>
      <c r="Y138" s="69"/>
      <c r="Z138" s="69"/>
    </row>
    <row r="139" spans="1:26" ht="12.75" x14ac:dyDescent="0.2">
      <c r="A139" s="270"/>
      <c r="B139" s="270"/>
      <c r="C139" s="270"/>
      <c r="D139" s="270"/>
      <c r="E139" s="270"/>
      <c r="F139" s="270"/>
      <c r="G139" s="270"/>
      <c r="H139" s="270"/>
      <c r="I139" s="270"/>
      <c r="J139" s="270"/>
      <c r="K139" s="311"/>
      <c r="L139" s="270"/>
      <c r="M139" s="270"/>
      <c r="N139" s="270"/>
      <c r="O139" s="270"/>
      <c r="P139" s="270"/>
      <c r="Q139" s="270"/>
      <c r="R139" s="270"/>
      <c r="S139" s="270"/>
      <c r="T139" s="270"/>
      <c r="U139" s="270"/>
      <c r="W139" s="69"/>
      <c r="X139" s="69"/>
      <c r="Y139" s="69"/>
      <c r="Z139" s="69"/>
    </row>
    <row r="140" spans="1:26" ht="12.75" x14ac:dyDescent="0.2">
      <c r="A140" s="270"/>
      <c r="B140" s="270"/>
      <c r="C140" s="270"/>
      <c r="D140" s="270"/>
      <c r="E140" s="270"/>
      <c r="F140" s="270"/>
      <c r="G140" s="270"/>
      <c r="H140" s="270"/>
      <c r="I140" s="270"/>
      <c r="J140" s="270"/>
      <c r="K140" s="311"/>
      <c r="L140" s="270"/>
      <c r="M140" s="270"/>
      <c r="N140" s="270"/>
      <c r="O140" s="270"/>
      <c r="P140" s="270"/>
      <c r="Q140" s="270"/>
      <c r="R140" s="270"/>
      <c r="S140" s="270"/>
      <c r="T140" s="270"/>
      <c r="U140" s="270"/>
      <c r="W140" s="69"/>
      <c r="X140" s="69"/>
      <c r="Y140" s="69"/>
      <c r="Z140" s="69"/>
    </row>
    <row r="141" spans="1:26" ht="12.75" x14ac:dyDescent="0.2">
      <c r="A141" s="270"/>
      <c r="B141" s="270"/>
      <c r="C141" s="270"/>
      <c r="D141" s="270"/>
      <c r="E141" s="270"/>
      <c r="F141" s="270"/>
      <c r="G141" s="270"/>
      <c r="H141" s="270"/>
      <c r="I141" s="270"/>
      <c r="J141" s="270"/>
      <c r="K141" s="311"/>
      <c r="L141" s="270"/>
      <c r="M141" s="270"/>
      <c r="N141" s="270"/>
      <c r="O141" s="270"/>
      <c r="P141" s="270"/>
      <c r="Q141" s="270"/>
      <c r="R141" s="270"/>
      <c r="S141" s="270"/>
      <c r="T141" s="270"/>
      <c r="U141" s="270"/>
      <c r="W141" s="69"/>
      <c r="X141" s="69"/>
      <c r="Y141" s="69"/>
      <c r="Z141" s="69"/>
    </row>
    <row r="142" spans="1:26" ht="12.75" x14ac:dyDescent="0.2">
      <c r="A142" s="270"/>
      <c r="B142" s="270"/>
      <c r="C142" s="270"/>
      <c r="D142" s="270"/>
      <c r="E142" s="270"/>
      <c r="F142" s="270"/>
      <c r="G142" s="270"/>
      <c r="H142" s="270"/>
      <c r="I142" s="270"/>
      <c r="J142" s="270"/>
      <c r="K142" s="311"/>
      <c r="L142" s="270"/>
      <c r="M142" s="270"/>
      <c r="N142" s="270"/>
      <c r="O142" s="270"/>
      <c r="P142" s="270"/>
      <c r="Q142" s="270"/>
      <c r="R142" s="270"/>
      <c r="S142" s="270"/>
      <c r="T142" s="270"/>
      <c r="U142" s="270"/>
      <c r="W142" s="69"/>
      <c r="X142" s="69"/>
      <c r="Y142" s="69"/>
      <c r="Z142" s="69"/>
    </row>
    <row r="143" spans="1:26" ht="12.75" x14ac:dyDescent="0.2">
      <c r="A143" s="270"/>
      <c r="B143" s="270"/>
      <c r="C143" s="270"/>
      <c r="D143" s="270"/>
      <c r="E143" s="270"/>
      <c r="F143" s="270"/>
      <c r="G143" s="270"/>
      <c r="H143" s="270"/>
      <c r="I143" s="270"/>
      <c r="J143" s="270"/>
      <c r="K143" s="311"/>
      <c r="L143" s="270"/>
      <c r="M143" s="270"/>
      <c r="N143" s="270"/>
      <c r="O143" s="270"/>
      <c r="P143" s="270"/>
      <c r="Q143" s="270"/>
      <c r="R143" s="270"/>
      <c r="S143" s="270"/>
      <c r="T143" s="270"/>
      <c r="U143" s="270"/>
      <c r="W143" s="69"/>
      <c r="X143" s="69"/>
      <c r="Y143" s="69"/>
      <c r="Z143" s="69"/>
    </row>
    <row r="144" spans="1:26" ht="12.75" x14ac:dyDescent="0.2">
      <c r="A144" s="270"/>
      <c r="B144" s="270"/>
      <c r="C144" s="270"/>
      <c r="D144" s="270"/>
      <c r="E144" s="270"/>
      <c r="F144" s="270"/>
      <c r="G144" s="270"/>
      <c r="H144" s="270"/>
      <c r="I144" s="270"/>
      <c r="J144" s="270"/>
      <c r="K144" s="311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W144" s="69"/>
      <c r="X144" s="69"/>
      <c r="Y144" s="69"/>
      <c r="Z144" s="69"/>
    </row>
    <row r="145" spans="1:26" ht="12.75" x14ac:dyDescent="0.2">
      <c r="A145" s="270"/>
      <c r="B145" s="270"/>
      <c r="C145" s="270"/>
      <c r="D145" s="270"/>
      <c r="E145" s="270"/>
      <c r="F145" s="270"/>
      <c r="G145" s="270"/>
      <c r="H145" s="270"/>
      <c r="I145" s="270"/>
      <c r="J145" s="270"/>
      <c r="K145" s="311"/>
      <c r="L145" s="270"/>
      <c r="M145" s="270"/>
      <c r="N145" s="270"/>
      <c r="O145" s="270"/>
      <c r="P145" s="270"/>
      <c r="Q145" s="270"/>
      <c r="R145" s="270"/>
      <c r="S145" s="270"/>
      <c r="T145" s="270"/>
      <c r="U145" s="270"/>
      <c r="W145" s="69"/>
      <c r="X145" s="69"/>
      <c r="Y145" s="69"/>
      <c r="Z145" s="69"/>
    </row>
    <row r="146" spans="1:26" ht="12.75" x14ac:dyDescent="0.2">
      <c r="A146" s="270"/>
      <c r="B146" s="270"/>
      <c r="C146" s="270"/>
      <c r="D146" s="270"/>
      <c r="E146" s="270"/>
      <c r="F146" s="270"/>
      <c r="G146" s="270"/>
      <c r="H146" s="270"/>
      <c r="I146" s="270"/>
      <c r="J146" s="270"/>
      <c r="K146" s="311"/>
      <c r="L146" s="270"/>
      <c r="M146" s="270"/>
      <c r="N146" s="270"/>
      <c r="O146" s="270"/>
      <c r="P146" s="270"/>
      <c r="Q146" s="270"/>
      <c r="R146" s="270"/>
      <c r="S146" s="270"/>
      <c r="T146" s="270"/>
      <c r="U146" s="270"/>
      <c r="W146" s="69"/>
      <c r="X146" s="69"/>
      <c r="Y146" s="69"/>
      <c r="Z146" s="69"/>
    </row>
    <row r="147" spans="1:26" ht="12.75" x14ac:dyDescent="0.2">
      <c r="A147" s="270"/>
      <c r="B147" s="270"/>
      <c r="C147" s="270"/>
      <c r="D147" s="270"/>
      <c r="E147" s="270"/>
      <c r="F147" s="270"/>
      <c r="G147" s="270"/>
      <c r="H147" s="270"/>
      <c r="I147" s="270"/>
      <c r="J147" s="270"/>
      <c r="K147" s="311"/>
      <c r="L147" s="270"/>
      <c r="M147" s="270"/>
      <c r="N147" s="270"/>
      <c r="O147" s="270"/>
      <c r="P147" s="270"/>
      <c r="Q147" s="270"/>
      <c r="R147" s="270"/>
      <c r="S147" s="270"/>
      <c r="T147" s="270"/>
      <c r="U147" s="270"/>
      <c r="W147" s="69"/>
      <c r="X147" s="69"/>
      <c r="Y147" s="69"/>
      <c r="Z147" s="69"/>
    </row>
    <row r="148" spans="1:26" ht="12.75" x14ac:dyDescent="0.2">
      <c r="A148" s="270"/>
      <c r="B148" s="270"/>
      <c r="C148" s="270"/>
      <c r="D148" s="270"/>
      <c r="E148" s="270"/>
      <c r="F148" s="270"/>
      <c r="G148" s="270"/>
      <c r="H148" s="270"/>
      <c r="I148" s="270"/>
      <c r="J148" s="270"/>
      <c r="K148" s="311"/>
      <c r="L148" s="270"/>
      <c r="M148" s="270"/>
      <c r="N148" s="270"/>
      <c r="O148" s="270"/>
      <c r="P148" s="270"/>
      <c r="Q148" s="270"/>
      <c r="R148" s="270"/>
      <c r="S148" s="270"/>
      <c r="T148" s="270"/>
      <c r="U148" s="270"/>
      <c r="W148" s="69"/>
      <c r="X148" s="69"/>
      <c r="Y148" s="69"/>
      <c r="Z148" s="69"/>
    </row>
    <row r="149" spans="1:26" ht="12.75" x14ac:dyDescent="0.2">
      <c r="A149" s="270"/>
      <c r="B149" s="270"/>
      <c r="C149" s="270"/>
      <c r="D149" s="270"/>
      <c r="E149" s="270"/>
      <c r="F149" s="270"/>
      <c r="G149" s="270"/>
      <c r="H149" s="270"/>
      <c r="I149" s="270"/>
      <c r="J149" s="270"/>
      <c r="K149" s="311"/>
      <c r="L149" s="270"/>
      <c r="M149" s="270"/>
      <c r="N149" s="270"/>
      <c r="O149" s="270"/>
      <c r="P149" s="270"/>
      <c r="Q149" s="270"/>
      <c r="R149" s="270"/>
      <c r="S149" s="270"/>
      <c r="T149" s="270"/>
      <c r="U149" s="270"/>
      <c r="W149" s="69"/>
      <c r="X149" s="69"/>
      <c r="Y149" s="69"/>
      <c r="Z149" s="69"/>
    </row>
    <row r="150" spans="1:26" ht="12.75" x14ac:dyDescent="0.2">
      <c r="A150" s="270"/>
      <c r="B150" s="270"/>
      <c r="C150" s="270"/>
      <c r="D150" s="270"/>
      <c r="E150" s="270"/>
      <c r="F150" s="270"/>
      <c r="G150" s="270"/>
      <c r="H150" s="270"/>
      <c r="I150" s="270"/>
      <c r="J150" s="270"/>
      <c r="K150" s="311"/>
      <c r="L150" s="270"/>
      <c r="M150" s="270"/>
      <c r="N150" s="270"/>
      <c r="O150" s="270"/>
      <c r="P150" s="270"/>
      <c r="Q150" s="270"/>
      <c r="R150" s="270"/>
      <c r="S150" s="270"/>
      <c r="T150" s="270"/>
      <c r="U150" s="270"/>
      <c r="W150" s="69"/>
      <c r="X150" s="69"/>
      <c r="Y150" s="69"/>
      <c r="Z150" s="69"/>
    </row>
    <row r="151" spans="1:26" ht="12.75" x14ac:dyDescent="0.2">
      <c r="A151" s="270"/>
      <c r="B151" s="270"/>
      <c r="C151" s="270"/>
      <c r="D151" s="270"/>
      <c r="E151" s="270"/>
      <c r="F151" s="270"/>
      <c r="G151" s="270"/>
      <c r="H151" s="270"/>
      <c r="I151" s="270"/>
      <c r="J151" s="270"/>
      <c r="K151" s="311"/>
      <c r="L151" s="270"/>
      <c r="M151" s="270"/>
      <c r="N151" s="270"/>
      <c r="O151" s="270"/>
      <c r="P151" s="270"/>
      <c r="Q151" s="270"/>
      <c r="R151" s="270"/>
      <c r="S151" s="270"/>
      <c r="T151" s="270"/>
      <c r="U151" s="270"/>
      <c r="W151" s="69"/>
      <c r="X151" s="69"/>
      <c r="Y151" s="69"/>
      <c r="Z151" s="69"/>
    </row>
    <row r="152" spans="1:26" ht="12.75" x14ac:dyDescent="0.2">
      <c r="A152" s="270"/>
      <c r="B152" s="270"/>
      <c r="C152" s="270"/>
      <c r="D152" s="270"/>
      <c r="E152" s="270"/>
      <c r="F152" s="270"/>
      <c r="G152" s="270"/>
      <c r="H152" s="270"/>
      <c r="I152" s="270"/>
      <c r="J152" s="270"/>
      <c r="K152" s="311"/>
      <c r="L152" s="270"/>
      <c r="M152" s="270"/>
      <c r="N152" s="270"/>
      <c r="O152" s="270"/>
      <c r="P152" s="270"/>
      <c r="Q152" s="270"/>
      <c r="R152" s="270"/>
      <c r="S152" s="270"/>
      <c r="T152" s="270"/>
      <c r="U152" s="270"/>
      <c r="W152" s="69"/>
      <c r="X152" s="69"/>
      <c r="Y152" s="69"/>
      <c r="Z152" s="69"/>
    </row>
    <row r="153" spans="1:26" ht="12.75" x14ac:dyDescent="0.2">
      <c r="A153" s="270"/>
      <c r="B153" s="270"/>
      <c r="C153" s="270"/>
      <c r="D153" s="270"/>
      <c r="E153" s="270"/>
      <c r="F153" s="270"/>
      <c r="G153" s="270"/>
      <c r="H153" s="270"/>
      <c r="I153" s="270"/>
      <c r="J153" s="270"/>
      <c r="K153" s="311"/>
      <c r="L153" s="270"/>
      <c r="M153" s="270"/>
      <c r="N153" s="270"/>
      <c r="O153" s="270"/>
      <c r="P153" s="270"/>
      <c r="Q153" s="270"/>
      <c r="R153" s="270"/>
      <c r="S153" s="270"/>
      <c r="T153" s="270"/>
      <c r="U153" s="270"/>
      <c r="W153" s="69"/>
      <c r="X153" s="69"/>
      <c r="Y153" s="69"/>
      <c r="Z153" s="69"/>
    </row>
    <row r="154" spans="1:26" ht="12.75" x14ac:dyDescent="0.2">
      <c r="A154" s="270"/>
      <c r="B154" s="270"/>
      <c r="C154" s="270"/>
      <c r="D154" s="270"/>
      <c r="E154" s="270"/>
      <c r="F154" s="270"/>
      <c r="G154" s="270"/>
      <c r="H154" s="270"/>
      <c r="I154" s="270"/>
      <c r="J154" s="270"/>
      <c r="K154" s="311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W154" s="69"/>
      <c r="X154" s="69"/>
      <c r="Y154" s="69"/>
      <c r="Z154" s="69"/>
    </row>
    <row r="155" spans="1:26" ht="12.75" x14ac:dyDescent="0.2">
      <c r="A155" s="270"/>
      <c r="B155" s="270"/>
      <c r="C155" s="270"/>
      <c r="D155" s="270"/>
      <c r="E155" s="270"/>
      <c r="F155" s="270"/>
      <c r="G155" s="270"/>
      <c r="H155" s="270"/>
      <c r="I155" s="270"/>
      <c r="J155" s="270"/>
      <c r="K155" s="311"/>
      <c r="L155" s="270"/>
      <c r="M155" s="270"/>
      <c r="N155" s="270"/>
      <c r="O155" s="270"/>
      <c r="P155" s="270"/>
      <c r="Q155" s="270"/>
      <c r="R155" s="270"/>
      <c r="S155" s="270"/>
      <c r="T155" s="270"/>
      <c r="U155" s="270"/>
      <c r="W155" s="69"/>
      <c r="X155" s="69"/>
      <c r="Y155" s="69"/>
      <c r="Z155" s="69"/>
    </row>
    <row r="156" spans="1:26" ht="12.75" x14ac:dyDescent="0.2">
      <c r="A156" s="270"/>
      <c r="B156" s="270"/>
      <c r="C156" s="270"/>
      <c r="D156" s="270"/>
      <c r="E156" s="270"/>
      <c r="F156" s="270"/>
      <c r="G156" s="270"/>
      <c r="H156" s="270"/>
      <c r="I156" s="270"/>
      <c r="J156" s="270"/>
      <c r="K156" s="311"/>
      <c r="L156" s="270"/>
      <c r="M156" s="270"/>
      <c r="N156" s="270"/>
      <c r="O156" s="270"/>
      <c r="P156" s="270"/>
      <c r="Q156" s="270"/>
      <c r="R156" s="270"/>
      <c r="S156" s="270"/>
      <c r="T156" s="270"/>
      <c r="U156" s="270"/>
      <c r="W156" s="69"/>
      <c r="X156" s="69"/>
      <c r="Y156" s="69"/>
      <c r="Z156" s="69"/>
    </row>
    <row r="157" spans="1:26" ht="12.75" x14ac:dyDescent="0.2">
      <c r="A157" s="270"/>
      <c r="B157" s="270"/>
      <c r="C157" s="270"/>
      <c r="D157" s="270"/>
      <c r="E157" s="270"/>
      <c r="F157" s="270"/>
      <c r="G157" s="270"/>
      <c r="H157" s="270"/>
      <c r="I157" s="270"/>
      <c r="J157" s="270"/>
      <c r="K157" s="311"/>
      <c r="L157" s="270"/>
      <c r="M157" s="270"/>
      <c r="N157" s="270"/>
      <c r="O157" s="270"/>
      <c r="P157" s="270"/>
      <c r="Q157" s="270"/>
      <c r="R157" s="270"/>
      <c r="S157" s="270"/>
      <c r="T157" s="270"/>
      <c r="U157" s="270"/>
      <c r="W157" s="69"/>
      <c r="X157" s="69"/>
      <c r="Y157" s="69"/>
      <c r="Z157" s="69"/>
    </row>
    <row r="158" spans="1:26" ht="12.75" x14ac:dyDescent="0.2">
      <c r="A158" s="270"/>
      <c r="B158" s="270"/>
      <c r="C158" s="270"/>
      <c r="D158" s="270"/>
      <c r="E158" s="270"/>
      <c r="F158" s="270"/>
      <c r="G158" s="270"/>
      <c r="H158" s="270"/>
      <c r="I158" s="270"/>
      <c r="J158" s="270"/>
      <c r="K158" s="311"/>
      <c r="L158" s="270"/>
      <c r="M158" s="270"/>
      <c r="N158" s="270"/>
      <c r="O158" s="270"/>
      <c r="P158" s="270"/>
      <c r="Q158" s="270"/>
      <c r="R158" s="270"/>
      <c r="S158" s="270"/>
      <c r="T158" s="270"/>
      <c r="U158" s="270"/>
      <c r="W158" s="69"/>
      <c r="X158" s="69"/>
      <c r="Y158" s="69"/>
      <c r="Z158" s="69"/>
    </row>
    <row r="159" spans="1:26" ht="12.75" x14ac:dyDescent="0.2">
      <c r="A159" s="270"/>
      <c r="B159" s="270"/>
      <c r="C159" s="270"/>
      <c r="D159" s="270"/>
      <c r="E159" s="270"/>
      <c r="F159" s="270"/>
      <c r="G159" s="270"/>
      <c r="H159" s="270"/>
      <c r="I159" s="270"/>
      <c r="J159" s="270"/>
      <c r="K159" s="311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W159" s="69"/>
      <c r="X159" s="69"/>
      <c r="Y159" s="69"/>
      <c r="Z159" s="69"/>
    </row>
    <row r="160" spans="1:26" ht="12.75" x14ac:dyDescent="0.2">
      <c r="A160" s="270"/>
      <c r="B160" s="270"/>
      <c r="C160" s="270"/>
      <c r="D160" s="270"/>
      <c r="E160" s="270"/>
      <c r="F160" s="270"/>
      <c r="G160" s="270"/>
      <c r="H160" s="270"/>
      <c r="I160" s="270"/>
      <c r="J160" s="270"/>
      <c r="K160" s="311"/>
      <c r="L160" s="270"/>
      <c r="M160" s="270"/>
      <c r="N160" s="270"/>
      <c r="O160" s="270"/>
      <c r="P160" s="270"/>
      <c r="Q160" s="270"/>
      <c r="R160" s="270"/>
      <c r="S160" s="270"/>
      <c r="T160" s="270"/>
      <c r="U160" s="270"/>
      <c r="W160" s="69"/>
      <c r="X160" s="69"/>
      <c r="Y160" s="69"/>
      <c r="Z160" s="69"/>
    </row>
    <row r="161" spans="1:26" ht="12.75" x14ac:dyDescent="0.2">
      <c r="A161" s="270"/>
      <c r="B161" s="270"/>
      <c r="C161" s="270"/>
      <c r="D161" s="270"/>
      <c r="E161" s="270"/>
      <c r="F161" s="270"/>
      <c r="G161" s="270"/>
      <c r="H161" s="270"/>
      <c r="I161" s="270"/>
      <c r="J161" s="270"/>
      <c r="K161" s="311"/>
      <c r="L161" s="270"/>
      <c r="M161" s="270"/>
      <c r="N161" s="270"/>
      <c r="O161" s="270"/>
      <c r="P161" s="270"/>
      <c r="Q161" s="270"/>
      <c r="R161" s="270"/>
      <c r="S161" s="270"/>
      <c r="T161" s="270"/>
      <c r="U161" s="270"/>
      <c r="W161" s="69"/>
      <c r="X161" s="69"/>
      <c r="Y161" s="69"/>
      <c r="Z161" s="69"/>
    </row>
    <row r="162" spans="1:26" ht="12.75" x14ac:dyDescent="0.2">
      <c r="A162" s="270"/>
      <c r="B162" s="270"/>
      <c r="C162" s="270"/>
      <c r="D162" s="270"/>
      <c r="E162" s="270"/>
      <c r="F162" s="270"/>
      <c r="G162" s="270"/>
      <c r="H162" s="270"/>
      <c r="I162" s="270"/>
      <c r="J162" s="270"/>
      <c r="K162" s="311"/>
      <c r="L162" s="270"/>
      <c r="M162" s="270"/>
      <c r="N162" s="270"/>
      <c r="O162" s="270"/>
      <c r="P162" s="270"/>
      <c r="Q162" s="270"/>
      <c r="R162" s="270"/>
      <c r="S162" s="270"/>
      <c r="T162" s="270"/>
      <c r="U162" s="270"/>
      <c r="W162" s="69"/>
      <c r="X162" s="69"/>
      <c r="Y162" s="69"/>
      <c r="Z162" s="69"/>
    </row>
    <row r="163" spans="1:26" ht="12.75" x14ac:dyDescent="0.2">
      <c r="A163" s="270"/>
      <c r="B163" s="270"/>
      <c r="C163" s="270"/>
      <c r="D163" s="270"/>
      <c r="E163" s="270"/>
      <c r="F163" s="270"/>
      <c r="G163" s="270"/>
      <c r="H163" s="270"/>
      <c r="I163" s="270"/>
      <c r="J163" s="270"/>
      <c r="K163" s="311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W163" s="69"/>
      <c r="X163" s="69"/>
      <c r="Y163" s="69"/>
      <c r="Z163" s="69"/>
    </row>
    <row r="164" spans="1:26" ht="12.75" x14ac:dyDescent="0.2">
      <c r="A164" s="270"/>
      <c r="B164" s="270"/>
      <c r="C164" s="270"/>
      <c r="D164" s="270"/>
      <c r="E164" s="270"/>
      <c r="F164" s="270"/>
      <c r="G164" s="270"/>
      <c r="H164" s="270"/>
      <c r="I164" s="270"/>
      <c r="J164" s="270"/>
      <c r="K164" s="311"/>
      <c r="L164" s="270"/>
      <c r="M164" s="270"/>
      <c r="N164" s="270"/>
      <c r="O164" s="270"/>
      <c r="P164" s="270"/>
      <c r="Q164" s="270"/>
      <c r="R164" s="270"/>
      <c r="S164" s="270"/>
      <c r="T164" s="270"/>
      <c r="U164" s="270"/>
      <c r="W164" s="69"/>
      <c r="X164" s="69"/>
      <c r="Y164" s="69"/>
      <c r="Z164" s="69"/>
    </row>
    <row r="165" spans="1:26" ht="12.75" x14ac:dyDescent="0.2">
      <c r="A165" s="270"/>
      <c r="B165" s="270"/>
      <c r="C165" s="270"/>
      <c r="D165" s="270"/>
      <c r="E165" s="270"/>
      <c r="F165" s="270"/>
      <c r="G165" s="270"/>
      <c r="H165" s="270"/>
      <c r="I165" s="270"/>
      <c r="J165" s="270"/>
      <c r="K165" s="311"/>
      <c r="L165" s="270"/>
      <c r="M165" s="270"/>
      <c r="N165" s="270"/>
      <c r="O165" s="270"/>
      <c r="P165" s="270"/>
      <c r="Q165" s="270"/>
      <c r="R165" s="270"/>
      <c r="S165" s="270"/>
      <c r="T165" s="270"/>
      <c r="U165" s="270"/>
      <c r="W165" s="69"/>
      <c r="X165" s="69"/>
      <c r="Y165" s="69"/>
      <c r="Z165" s="69"/>
    </row>
    <row r="166" spans="1:26" ht="12.75" x14ac:dyDescent="0.2">
      <c r="A166" s="270"/>
      <c r="B166" s="270"/>
      <c r="C166" s="270"/>
      <c r="D166" s="270"/>
      <c r="E166" s="270"/>
      <c r="F166" s="270"/>
      <c r="G166" s="270"/>
      <c r="H166" s="270"/>
      <c r="I166" s="270"/>
      <c r="J166" s="270"/>
      <c r="K166" s="311"/>
      <c r="L166" s="270"/>
      <c r="M166" s="270"/>
      <c r="N166" s="270"/>
      <c r="O166" s="270"/>
      <c r="P166" s="270"/>
      <c r="Q166" s="270"/>
      <c r="R166" s="270"/>
      <c r="S166" s="270"/>
      <c r="T166" s="270"/>
      <c r="U166" s="270"/>
      <c r="W166" s="69"/>
      <c r="X166" s="69"/>
      <c r="Y166" s="69"/>
      <c r="Z166" s="69"/>
    </row>
    <row r="167" spans="1:26" ht="12.75" x14ac:dyDescent="0.2">
      <c r="A167" s="270"/>
      <c r="B167" s="270"/>
      <c r="C167" s="270"/>
      <c r="D167" s="270"/>
      <c r="E167" s="270"/>
      <c r="F167" s="270"/>
      <c r="G167" s="270"/>
      <c r="H167" s="270"/>
      <c r="I167" s="270"/>
      <c r="J167" s="270"/>
      <c r="K167" s="311"/>
      <c r="L167" s="270"/>
      <c r="M167" s="270"/>
      <c r="N167" s="270"/>
      <c r="O167" s="270"/>
      <c r="P167" s="270"/>
      <c r="Q167" s="270"/>
      <c r="R167" s="270"/>
      <c r="S167" s="270"/>
      <c r="T167" s="270"/>
      <c r="U167" s="270"/>
      <c r="W167" s="69"/>
      <c r="X167" s="69"/>
      <c r="Y167" s="69"/>
      <c r="Z167" s="69"/>
    </row>
    <row r="168" spans="1:26" ht="12.75" x14ac:dyDescent="0.2">
      <c r="A168" s="270"/>
      <c r="B168" s="270"/>
      <c r="C168" s="270"/>
      <c r="D168" s="270"/>
      <c r="E168" s="270"/>
      <c r="F168" s="270"/>
      <c r="G168" s="270"/>
      <c r="H168" s="270"/>
      <c r="I168" s="270"/>
      <c r="J168" s="270"/>
      <c r="K168" s="311"/>
      <c r="L168" s="270"/>
      <c r="M168" s="270"/>
      <c r="N168" s="270"/>
      <c r="O168" s="270"/>
      <c r="P168" s="270"/>
      <c r="Q168" s="270"/>
      <c r="R168" s="270"/>
      <c r="S168" s="270"/>
      <c r="T168" s="270"/>
      <c r="U168" s="270"/>
      <c r="W168" s="69"/>
      <c r="X168" s="69"/>
      <c r="Y168" s="69"/>
      <c r="Z168" s="69"/>
    </row>
    <row r="169" spans="1:26" ht="12.75" x14ac:dyDescent="0.2">
      <c r="A169" s="270"/>
      <c r="B169" s="270"/>
      <c r="C169" s="270"/>
      <c r="D169" s="270"/>
      <c r="E169" s="270"/>
      <c r="F169" s="270"/>
      <c r="G169" s="270"/>
      <c r="H169" s="270"/>
      <c r="I169" s="270"/>
      <c r="J169" s="270"/>
      <c r="K169" s="311"/>
      <c r="L169" s="270"/>
      <c r="M169" s="270"/>
      <c r="N169" s="270"/>
      <c r="O169" s="270"/>
      <c r="P169" s="270"/>
      <c r="Q169" s="270"/>
      <c r="R169" s="270"/>
      <c r="S169" s="270"/>
      <c r="T169" s="270"/>
      <c r="U169" s="270"/>
      <c r="W169" s="69"/>
      <c r="X169" s="69"/>
      <c r="Y169" s="69"/>
      <c r="Z169" s="69"/>
    </row>
    <row r="170" spans="1:26" ht="12.75" x14ac:dyDescent="0.2">
      <c r="A170" s="270"/>
      <c r="B170" s="270"/>
      <c r="C170" s="270"/>
      <c r="D170" s="270"/>
      <c r="E170" s="270"/>
      <c r="F170" s="270"/>
      <c r="G170" s="270"/>
      <c r="H170" s="270"/>
      <c r="I170" s="270"/>
      <c r="J170" s="270"/>
      <c r="K170" s="311"/>
      <c r="L170" s="270"/>
      <c r="M170" s="270"/>
      <c r="N170" s="270"/>
      <c r="O170" s="270"/>
      <c r="P170" s="270"/>
      <c r="Q170" s="270"/>
      <c r="R170" s="270"/>
      <c r="S170" s="270"/>
      <c r="T170" s="270"/>
      <c r="U170" s="270"/>
      <c r="W170" s="69"/>
      <c r="X170" s="69"/>
      <c r="Y170" s="69"/>
      <c r="Z170" s="69"/>
    </row>
    <row r="171" spans="1:26" ht="12.75" x14ac:dyDescent="0.2">
      <c r="A171" s="270"/>
      <c r="B171" s="270"/>
      <c r="C171" s="270"/>
      <c r="D171" s="270"/>
      <c r="E171" s="270"/>
      <c r="F171" s="270"/>
      <c r="G171" s="270"/>
      <c r="H171" s="270"/>
      <c r="I171" s="270"/>
      <c r="J171" s="270"/>
      <c r="K171" s="311"/>
      <c r="L171" s="270"/>
      <c r="M171" s="270"/>
      <c r="N171" s="270"/>
      <c r="O171" s="270"/>
      <c r="P171" s="270"/>
      <c r="Q171" s="270"/>
      <c r="R171" s="270"/>
      <c r="S171" s="270"/>
      <c r="T171" s="270"/>
      <c r="U171" s="270"/>
      <c r="W171" s="69"/>
      <c r="X171" s="69"/>
      <c r="Y171" s="69"/>
      <c r="Z171" s="69"/>
    </row>
    <row r="172" spans="1:26" ht="12.75" x14ac:dyDescent="0.2">
      <c r="A172" s="270"/>
      <c r="B172" s="270"/>
      <c r="C172" s="270"/>
      <c r="D172" s="270"/>
      <c r="E172" s="270"/>
      <c r="F172" s="270"/>
      <c r="G172" s="270"/>
      <c r="H172" s="270"/>
      <c r="I172" s="270"/>
      <c r="J172" s="270"/>
      <c r="K172" s="311"/>
      <c r="L172" s="270"/>
      <c r="M172" s="270"/>
      <c r="N172" s="270"/>
      <c r="O172" s="270"/>
      <c r="P172" s="270"/>
      <c r="Q172" s="270"/>
      <c r="R172" s="270"/>
      <c r="S172" s="270"/>
      <c r="T172" s="270"/>
      <c r="U172" s="270"/>
      <c r="W172" s="69"/>
      <c r="X172" s="69"/>
      <c r="Y172" s="69"/>
      <c r="Z172" s="69"/>
    </row>
    <row r="173" spans="1:26" ht="12.75" x14ac:dyDescent="0.2">
      <c r="A173" s="270"/>
      <c r="B173" s="270"/>
      <c r="C173" s="270"/>
      <c r="D173" s="270"/>
      <c r="E173" s="270"/>
      <c r="F173" s="270"/>
      <c r="G173" s="270"/>
      <c r="H173" s="270"/>
      <c r="I173" s="270"/>
      <c r="J173" s="270"/>
      <c r="K173" s="311"/>
      <c r="L173" s="270"/>
      <c r="M173" s="270"/>
      <c r="N173" s="270"/>
      <c r="O173" s="270"/>
      <c r="P173" s="270"/>
      <c r="Q173" s="270"/>
      <c r="R173" s="270"/>
      <c r="S173" s="270"/>
      <c r="T173" s="270"/>
      <c r="U173" s="270"/>
      <c r="W173" s="69"/>
      <c r="X173" s="69"/>
      <c r="Y173" s="69"/>
      <c r="Z173" s="69"/>
    </row>
    <row r="174" spans="1:26" ht="12.75" x14ac:dyDescent="0.2">
      <c r="A174" s="270"/>
      <c r="B174" s="270"/>
      <c r="C174" s="270"/>
      <c r="D174" s="270"/>
      <c r="E174" s="270"/>
      <c r="F174" s="270"/>
      <c r="G174" s="270"/>
      <c r="H174" s="270"/>
      <c r="I174" s="270"/>
      <c r="J174" s="270"/>
      <c r="K174" s="311"/>
      <c r="L174" s="270"/>
      <c r="M174" s="270"/>
      <c r="N174" s="270"/>
      <c r="O174" s="270"/>
      <c r="P174" s="270"/>
      <c r="Q174" s="270"/>
      <c r="R174" s="270"/>
      <c r="S174" s="270"/>
      <c r="T174" s="270"/>
      <c r="U174" s="270"/>
      <c r="W174" s="69"/>
      <c r="X174" s="69"/>
      <c r="Y174" s="69"/>
      <c r="Z174" s="69"/>
    </row>
    <row r="175" spans="1:26" ht="12.75" x14ac:dyDescent="0.2">
      <c r="A175" s="270"/>
      <c r="B175" s="270"/>
      <c r="C175" s="270"/>
      <c r="D175" s="270"/>
      <c r="E175" s="270"/>
      <c r="F175" s="270"/>
      <c r="G175" s="270"/>
      <c r="H175" s="270"/>
      <c r="I175" s="270"/>
      <c r="J175" s="270"/>
      <c r="K175" s="311"/>
      <c r="L175" s="270"/>
      <c r="M175" s="270"/>
      <c r="N175" s="270"/>
      <c r="O175" s="270"/>
      <c r="P175" s="270"/>
      <c r="Q175" s="270"/>
      <c r="R175" s="270"/>
      <c r="S175" s="270"/>
      <c r="T175" s="270"/>
      <c r="U175" s="270"/>
      <c r="W175" s="69"/>
      <c r="X175" s="69"/>
      <c r="Y175" s="69"/>
      <c r="Z175" s="69"/>
    </row>
    <row r="176" spans="1:26" ht="12.75" x14ac:dyDescent="0.2">
      <c r="A176" s="270"/>
      <c r="B176" s="270"/>
      <c r="C176" s="270"/>
      <c r="D176" s="270"/>
      <c r="E176" s="270"/>
      <c r="F176" s="270"/>
      <c r="G176" s="270"/>
      <c r="H176" s="270"/>
      <c r="I176" s="270"/>
      <c r="J176" s="270"/>
      <c r="K176" s="311"/>
      <c r="L176" s="270"/>
      <c r="M176" s="270"/>
      <c r="N176" s="270"/>
      <c r="O176" s="270"/>
      <c r="P176" s="270"/>
      <c r="Q176" s="270"/>
      <c r="R176" s="270"/>
      <c r="S176" s="270"/>
      <c r="T176" s="270"/>
      <c r="U176" s="270"/>
      <c r="W176" s="69"/>
      <c r="X176" s="69"/>
      <c r="Y176" s="69"/>
      <c r="Z176" s="69"/>
    </row>
    <row r="177" spans="1:26" ht="12.75" x14ac:dyDescent="0.2">
      <c r="A177" s="270"/>
      <c r="B177" s="270"/>
      <c r="C177" s="270"/>
      <c r="D177" s="270"/>
      <c r="E177" s="270"/>
      <c r="F177" s="270"/>
      <c r="G177" s="270"/>
      <c r="H177" s="270"/>
      <c r="I177" s="270"/>
      <c r="J177" s="270"/>
      <c r="K177" s="311"/>
      <c r="L177" s="270"/>
      <c r="M177" s="270"/>
      <c r="N177" s="270"/>
      <c r="O177" s="270"/>
      <c r="P177" s="270"/>
      <c r="Q177" s="270"/>
      <c r="R177" s="270"/>
      <c r="S177" s="270"/>
      <c r="T177" s="270"/>
      <c r="U177" s="270"/>
      <c r="W177" s="69"/>
      <c r="X177" s="69"/>
      <c r="Y177" s="69"/>
      <c r="Z177" s="69"/>
    </row>
    <row r="178" spans="1:26" ht="12.75" x14ac:dyDescent="0.2">
      <c r="A178" s="270"/>
      <c r="B178" s="270"/>
      <c r="C178" s="270"/>
      <c r="D178" s="270"/>
      <c r="E178" s="270"/>
      <c r="F178" s="270"/>
      <c r="G178" s="270"/>
      <c r="H178" s="270"/>
      <c r="I178" s="270"/>
      <c r="J178" s="270"/>
      <c r="K178" s="311"/>
      <c r="L178" s="270"/>
      <c r="M178" s="270"/>
      <c r="N178" s="270"/>
      <c r="O178" s="270"/>
      <c r="P178" s="270"/>
      <c r="Q178" s="270"/>
      <c r="R178" s="270"/>
      <c r="S178" s="270"/>
      <c r="T178" s="270"/>
      <c r="U178" s="270"/>
      <c r="W178" s="69"/>
      <c r="X178" s="69"/>
      <c r="Y178" s="69"/>
      <c r="Z178" s="69"/>
    </row>
    <row r="179" spans="1:26" ht="12.75" x14ac:dyDescent="0.2">
      <c r="A179" s="270"/>
      <c r="B179" s="270"/>
      <c r="C179" s="270"/>
      <c r="D179" s="270"/>
      <c r="E179" s="270"/>
      <c r="F179" s="270"/>
      <c r="G179" s="270"/>
      <c r="H179" s="270"/>
      <c r="I179" s="270"/>
      <c r="J179" s="270"/>
      <c r="K179" s="311"/>
      <c r="L179" s="270"/>
      <c r="M179" s="270"/>
      <c r="N179" s="270"/>
      <c r="O179" s="270"/>
      <c r="P179" s="270"/>
      <c r="Q179" s="270"/>
      <c r="R179" s="270"/>
      <c r="S179" s="270"/>
      <c r="T179" s="270"/>
      <c r="U179" s="270"/>
      <c r="W179" s="69"/>
      <c r="X179" s="69"/>
      <c r="Y179" s="69"/>
      <c r="Z179" s="69"/>
    </row>
    <row r="180" spans="1:26" ht="12.75" x14ac:dyDescent="0.2">
      <c r="A180" s="270"/>
      <c r="B180" s="270"/>
      <c r="C180" s="270"/>
      <c r="D180" s="270"/>
      <c r="E180" s="270"/>
      <c r="F180" s="270"/>
      <c r="G180" s="270"/>
      <c r="H180" s="270"/>
      <c r="I180" s="270"/>
      <c r="J180" s="270"/>
      <c r="K180" s="311"/>
      <c r="L180" s="270"/>
      <c r="M180" s="270"/>
      <c r="N180" s="270"/>
      <c r="O180" s="270"/>
      <c r="P180" s="270"/>
      <c r="Q180" s="270"/>
      <c r="R180" s="270"/>
      <c r="S180" s="270"/>
      <c r="T180" s="270"/>
      <c r="U180" s="270"/>
      <c r="W180" s="69"/>
      <c r="X180" s="69"/>
      <c r="Y180" s="69"/>
      <c r="Z180" s="69"/>
    </row>
    <row r="181" spans="1:26" ht="12.75" x14ac:dyDescent="0.2">
      <c r="A181" s="270"/>
      <c r="B181" s="270"/>
      <c r="C181" s="270"/>
      <c r="D181" s="270"/>
      <c r="E181" s="270"/>
      <c r="F181" s="270"/>
      <c r="G181" s="270"/>
      <c r="H181" s="270"/>
      <c r="I181" s="270"/>
      <c r="J181" s="270"/>
      <c r="K181" s="311"/>
      <c r="L181" s="270"/>
      <c r="M181" s="270"/>
      <c r="N181" s="270"/>
      <c r="O181" s="270"/>
      <c r="P181" s="270"/>
      <c r="Q181" s="270"/>
      <c r="R181" s="270"/>
      <c r="S181" s="270"/>
      <c r="T181" s="270"/>
      <c r="U181" s="270"/>
      <c r="W181" s="69"/>
      <c r="X181" s="69"/>
      <c r="Y181" s="69"/>
      <c r="Z181" s="69"/>
    </row>
    <row r="182" spans="1:26" ht="12.75" x14ac:dyDescent="0.2">
      <c r="A182" s="270"/>
      <c r="B182" s="270"/>
      <c r="C182" s="270"/>
      <c r="D182" s="270"/>
      <c r="E182" s="270"/>
      <c r="F182" s="270"/>
      <c r="G182" s="270"/>
      <c r="H182" s="270"/>
      <c r="I182" s="270"/>
      <c r="J182" s="270"/>
      <c r="K182" s="311"/>
      <c r="L182" s="270"/>
      <c r="M182" s="270"/>
      <c r="N182" s="270"/>
      <c r="O182" s="270"/>
      <c r="P182" s="270"/>
      <c r="Q182" s="270"/>
      <c r="R182" s="270"/>
      <c r="S182" s="270"/>
      <c r="T182" s="270"/>
      <c r="U182" s="270"/>
      <c r="W182" s="69"/>
      <c r="X182" s="69"/>
      <c r="Y182" s="69"/>
      <c r="Z182" s="69"/>
    </row>
    <row r="183" spans="1:26" ht="12.75" x14ac:dyDescent="0.2">
      <c r="A183" s="270"/>
      <c r="B183" s="270"/>
      <c r="C183" s="270"/>
      <c r="D183" s="270"/>
      <c r="E183" s="270"/>
      <c r="F183" s="270"/>
      <c r="G183" s="270"/>
      <c r="H183" s="270"/>
      <c r="I183" s="270"/>
      <c r="J183" s="270"/>
      <c r="K183" s="311"/>
      <c r="L183" s="270"/>
      <c r="M183" s="270"/>
      <c r="N183" s="270"/>
      <c r="O183" s="270"/>
      <c r="P183" s="270"/>
      <c r="Q183" s="270"/>
      <c r="R183" s="270"/>
      <c r="S183" s="270"/>
      <c r="T183" s="270"/>
      <c r="U183" s="270"/>
      <c r="W183" s="69"/>
      <c r="X183" s="69"/>
      <c r="Y183" s="69"/>
      <c r="Z183" s="69"/>
    </row>
    <row r="184" spans="1:26" ht="12.75" x14ac:dyDescent="0.2">
      <c r="A184" s="270"/>
      <c r="B184" s="270"/>
      <c r="C184" s="270"/>
      <c r="D184" s="270"/>
      <c r="E184" s="270"/>
      <c r="F184" s="270"/>
      <c r="G184" s="270"/>
      <c r="H184" s="270"/>
      <c r="I184" s="270"/>
      <c r="J184" s="270"/>
      <c r="K184" s="311"/>
      <c r="L184" s="270"/>
      <c r="M184" s="270"/>
      <c r="N184" s="270"/>
      <c r="O184" s="270"/>
      <c r="P184" s="270"/>
      <c r="Q184" s="270"/>
      <c r="R184" s="270"/>
      <c r="S184" s="270"/>
      <c r="T184" s="270"/>
      <c r="U184" s="270"/>
      <c r="W184" s="69"/>
      <c r="X184" s="69"/>
      <c r="Y184" s="69"/>
      <c r="Z184" s="69"/>
    </row>
    <row r="185" spans="1:26" ht="12.75" x14ac:dyDescent="0.2">
      <c r="A185" s="270"/>
      <c r="B185" s="270"/>
      <c r="C185" s="270"/>
      <c r="D185" s="270"/>
      <c r="E185" s="270"/>
      <c r="F185" s="270"/>
      <c r="G185" s="270"/>
      <c r="H185" s="270"/>
      <c r="I185" s="270"/>
      <c r="J185" s="270"/>
      <c r="K185" s="311"/>
      <c r="L185" s="270"/>
      <c r="M185" s="270"/>
      <c r="N185" s="270"/>
      <c r="O185" s="270"/>
      <c r="P185" s="270"/>
      <c r="Q185" s="270"/>
      <c r="R185" s="270"/>
      <c r="S185" s="270"/>
      <c r="T185" s="270"/>
      <c r="U185" s="270"/>
      <c r="W185" s="69"/>
      <c r="X185" s="69"/>
      <c r="Y185" s="69"/>
      <c r="Z185" s="69"/>
    </row>
    <row r="186" spans="1:26" ht="12.75" x14ac:dyDescent="0.2">
      <c r="A186" s="270"/>
      <c r="B186" s="270"/>
      <c r="C186" s="270"/>
      <c r="D186" s="270"/>
      <c r="E186" s="270"/>
      <c r="F186" s="270"/>
      <c r="G186" s="270"/>
      <c r="H186" s="270"/>
      <c r="I186" s="270"/>
      <c r="J186" s="270"/>
      <c r="K186" s="311"/>
      <c r="L186" s="270"/>
      <c r="M186" s="270"/>
      <c r="N186" s="270"/>
      <c r="O186" s="270"/>
      <c r="P186" s="270"/>
      <c r="Q186" s="270"/>
      <c r="R186" s="270"/>
      <c r="S186" s="270"/>
      <c r="T186" s="270"/>
      <c r="U186" s="270"/>
      <c r="W186" s="69"/>
      <c r="X186" s="69"/>
      <c r="Y186" s="69"/>
      <c r="Z186" s="69"/>
    </row>
    <row r="187" spans="1:26" ht="12.75" x14ac:dyDescent="0.2">
      <c r="A187" s="270"/>
      <c r="B187" s="270"/>
      <c r="C187" s="270"/>
      <c r="D187" s="270"/>
      <c r="E187" s="270"/>
      <c r="F187" s="270"/>
      <c r="G187" s="270"/>
      <c r="H187" s="270"/>
      <c r="I187" s="270"/>
      <c r="J187" s="270"/>
      <c r="K187" s="311"/>
      <c r="L187" s="270"/>
      <c r="M187" s="270"/>
      <c r="N187" s="270"/>
      <c r="O187" s="270"/>
      <c r="P187" s="270"/>
      <c r="Q187" s="270"/>
      <c r="R187" s="270"/>
      <c r="S187" s="270"/>
      <c r="T187" s="270"/>
      <c r="U187" s="270"/>
      <c r="W187" s="69"/>
      <c r="X187" s="69"/>
      <c r="Y187" s="69"/>
      <c r="Z187" s="69"/>
    </row>
    <row r="188" spans="1:26" ht="12.75" x14ac:dyDescent="0.2">
      <c r="A188" s="270"/>
      <c r="B188" s="270"/>
      <c r="C188" s="270"/>
      <c r="D188" s="270"/>
      <c r="E188" s="270"/>
      <c r="F188" s="270"/>
      <c r="G188" s="270"/>
      <c r="H188" s="270"/>
      <c r="I188" s="270"/>
      <c r="J188" s="270"/>
      <c r="K188" s="311"/>
      <c r="L188" s="270"/>
      <c r="M188" s="270"/>
      <c r="N188" s="270"/>
      <c r="O188" s="270"/>
      <c r="P188" s="270"/>
      <c r="Q188" s="270"/>
      <c r="R188" s="270"/>
      <c r="S188" s="270"/>
      <c r="T188" s="270"/>
      <c r="U188" s="270"/>
      <c r="W188" s="69"/>
      <c r="X188" s="69"/>
      <c r="Y188" s="69"/>
      <c r="Z188" s="69"/>
    </row>
    <row r="189" spans="1:26" ht="12.75" x14ac:dyDescent="0.2">
      <c r="A189" s="270"/>
      <c r="B189" s="270"/>
      <c r="C189" s="270"/>
      <c r="D189" s="270"/>
      <c r="E189" s="270"/>
      <c r="F189" s="270"/>
      <c r="G189" s="270"/>
      <c r="H189" s="270"/>
      <c r="I189" s="270"/>
      <c r="J189" s="270"/>
      <c r="K189" s="311"/>
      <c r="L189" s="270"/>
      <c r="M189" s="270"/>
      <c r="N189" s="270"/>
      <c r="O189" s="270"/>
      <c r="P189" s="270"/>
      <c r="Q189" s="270"/>
      <c r="R189" s="270"/>
      <c r="S189" s="270"/>
      <c r="T189" s="270"/>
      <c r="U189" s="270"/>
      <c r="W189" s="69"/>
      <c r="X189" s="69"/>
      <c r="Y189" s="69"/>
      <c r="Z189" s="69"/>
    </row>
    <row r="190" spans="1:26" ht="12.75" x14ac:dyDescent="0.2">
      <c r="A190" s="270"/>
      <c r="B190" s="270"/>
      <c r="C190" s="270"/>
      <c r="D190" s="270"/>
      <c r="E190" s="270"/>
      <c r="F190" s="270"/>
      <c r="G190" s="270"/>
      <c r="H190" s="270"/>
      <c r="I190" s="270"/>
      <c r="J190" s="270"/>
      <c r="K190" s="311"/>
      <c r="L190" s="270"/>
      <c r="M190" s="270"/>
      <c r="N190" s="270"/>
      <c r="O190" s="270"/>
      <c r="P190" s="270"/>
      <c r="Q190" s="270"/>
      <c r="R190" s="270"/>
      <c r="S190" s="270"/>
      <c r="T190" s="270"/>
      <c r="U190" s="270"/>
      <c r="W190" s="69"/>
      <c r="X190" s="69"/>
      <c r="Y190" s="69"/>
      <c r="Z190" s="69"/>
    </row>
    <row r="191" spans="1:26" ht="12.75" x14ac:dyDescent="0.2">
      <c r="A191" s="270"/>
      <c r="B191" s="270"/>
      <c r="C191" s="270"/>
      <c r="D191" s="270"/>
      <c r="E191" s="270"/>
      <c r="F191" s="270"/>
      <c r="G191" s="270"/>
      <c r="H191" s="270"/>
      <c r="I191" s="270"/>
      <c r="J191" s="270"/>
      <c r="K191" s="311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W191" s="69"/>
      <c r="X191" s="69"/>
      <c r="Y191" s="69"/>
      <c r="Z191" s="69"/>
    </row>
    <row r="192" spans="1:26" ht="12.75" x14ac:dyDescent="0.2">
      <c r="A192" s="270"/>
      <c r="B192" s="270"/>
      <c r="C192" s="270"/>
      <c r="D192" s="270"/>
      <c r="E192" s="270"/>
      <c r="F192" s="270"/>
      <c r="G192" s="270"/>
      <c r="H192" s="270"/>
      <c r="I192" s="270"/>
      <c r="J192" s="270"/>
      <c r="K192" s="311"/>
      <c r="L192" s="270"/>
      <c r="M192" s="270"/>
      <c r="N192" s="270"/>
      <c r="O192" s="270"/>
      <c r="P192" s="270"/>
      <c r="Q192" s="270"/>
      <c r="R192" s="270"/>
      <c r="S192" s="270"/>
      <c r="T192" s="270"/>
      <c r="U192" s="270"/>
      <c r="W192" s="69"/>
      <c r="X192" s="69"/>
      <c r="Y192" s="69"/>
      <c r="Z192" s="69"/>
    </row>
    <row r="193" spans="1:26" ht="12.75" x14ac:dyDescent="0.2">
      <c r="A193" s="270"/>
      <c r="B193" s="270"/>
      <c r="C193" s="270"/>
      <c r="D193" s="270"/>
      <c r="E193" s="270"/>
      <c r="F193" s="270"/>
      <c r="G193" s="270"/>
      <c r="H193" s="270"/>
      <c r="I193" s="270"/>
      <c r="J193" s="270"/>
      <c r="K193" s="311"/>
      <c r="L193" s="270"/>
      <c r="M193" s="270"/>
      <c r="N193" s="270"/>
      <c r="O193" s="270"/>
      <c r="P193" s="270"/>
      <c r="Q193" s="270"/>
      <c r="R193" s="270"/>
      <c r="S193" s="270"/>
      <c r="T193" s="270"/>
      <c r="U193" s="270"/>
      <c r="W193" s="69"/>
      <c r="X193" s="69"/>
      <c r="Y193" s="69"/>
      <c r="Z193" s="69"/>
    </row>
    <row r="194" spans="1:26" ht="12.75" x14ac:dyDescent="0.2">
      <c r="A194" s="270"/>
      <c r="B194" s="270"/>
      <c r="C194" s="270"/>
      <c r="D194" s="270"/>
      <c r="E194" s="270"/>
      <c r="F194" s="270"/>
      <c r="G194" s="270"/>
      <c r="H194" s="270"/>
      <c r="I194" s="270"/>
      <c r="J194" s="270"/>
      <c r="K194" s="311"/>
      <c r="L194" s="270"/>
      <c r="M194" s="270"/>
      <c r="N194" s="270"/>
      <c r="O194" s="270"/>
      <c r="P194" s="270"/>
      <c r="Q194" s="270"/>
      <c r="R194" s="270"/>
      <c r="S194" s="270"/>
      <c r="T194" s="270"/>
      <c r="U194" s="270"/>
      <c r="W194" s="69"/>
      <c r="X194" s="69"/>
      <c r="Y194" s="69"/>
      <c r="Z194" s="69"/>
    </row>
    <row r="195" spans="1:26" ht="12.75" x14ac:dyDescent="0.2">
      <c r="A195" s="270"/>
      <c r="B195" s="270"/>
      <c r="C195" s="270"/>
      <c r="D195" s="270"/>
      <c r="E195" s="270"/>
      <c r="F195" s="270"/>
      <c r="G195" s="270"/>
      <c r="H195" s="270"/>
      <c r="I195" s="270"/>
      <c r="J195" s="270"/>
      <c r="K195" s="311"/>
      <c r="L195" s="270"/>
      <c r="M195" s="270"/>
      <c r="N195" s="270"/>
      <c r="O195" s="270"/>
      <c r="P195" s="270"/>
      <c r="Q195" s="270"/>
      <c r="R195" s="270"/>
      <c r="S195" s="270"/>
      <c r="T195" s="270"/>
      <c r="U195" s="270"/>
      <c r="W195" s="69"/>
      <c r="X195" s="69"/>
      <c r="Y195" s="69"/>
      <c r="Z195" s="69"/>
    </row>
    <row r="196" spans="1:26" ht="12.75" x14ac:dyDescent="0.2">
      <c r="A196" s="270"/>
      <c r="B196" s="270"/>
      <c r="C196" s="270"/>
      <c r="D196" s="270"/>
      <c r="E196" s="270"/>
      <c r="F196" s="270"/>
      <c r="G196" s="270"/>
      <c r="H196" s="270"/>
      <c r="I196" s="270"/>
      <c r="J196" s="270"/>
      <c r="K196" s="311"/>
      <c r="L196" s="270"/>
      <c r="M196" s="270"/>
      <c r="N196" s="270"/>
      <c r="O196" s="270"/>
      <c r="P196" s="270"/>
      <c r="Q196" s="270"/>
      <c r="R196" s="270"/>
      <c r="S196" s="270"/>
      <c r="T196" s="270"/>
      <c r="U196" s="270"/>
      <c r="W196" s="69"/>
      <c r="X196" s="69"/>
      <c r="Y196" s="69"/>
      <c r="Z196" s="69"/>
    </row>
    <row r="197" spans="1:26" ht="12.75" x14ac:dyDescent="0.2">
      <c r="A197" s="270"/>
      <c r="B197" s="270"/>
      <c r="C197" s="270"/>
      <c r="D197" s="270"/>
      <c r="E197" s="270"/>
      <c r="F197" s="270"/>
      <c r="G197" s="270"/>
      <c r="H197" s="270"/>
      <c r="I197" s="270"/>
      <c r="J197" s="270"/>
      <c r="K197" s="311"/>
      <c r="L197" s="270"/>
      <c r="M197" s="270"/>
      <c r="N197" s="270"/>
      <c r="O197" s="270"/>
      <c r="P197" s="270"/>
      <c r="Q197" s="270"/>
      <c r="R197" s="270"/>
      <c r="S197" s="270"/>
      <c r="T197" s="270"/>
      <c r="U197" s="270"/>
      <c r="W197" s="69"/>
      <c r="X197" s="69"/>
      <c r="Y197" s="69"/>
      <c r="Z197" s="69"/>
    </row>
    <row r="198" spans="1:26" ht="12.75" x14ac:dyDescent="0.2">
      <c r="A198" s="270"/>
      <c r="B198" s="270"/>
      <c r="C198" s="270"/>
      <c r="D198" s="270"/>
      <c r="E198" s="270"/>
      <c r="F198" s="270"/>
      <c r="G198" s="270"/>
      <c r="H198" s="270"/>
      <c r="I198" s="270"/>
      <c r="J198" s="270"/>
      <c r="K198" s="311"/>
      <c r="L198" s="270"/>
      <c r="M198" s="270"/>
      <c r="N198" s="270"/>
      <c r="O198" s="270"/>
      <c r="P198" s="270"/>
      <c r="Q198" s="270"/>
      <c r="R198" s="270"/>
      <c r="S198" s="270"/>
      <c r="T198" s="270"/>
      <c r="U198" s="270"/>
      <c r="W198" s="69"/>
      <c r="X198" s="69"/>
      <c r="Y198" s="69"/>
      <c r="Z198" s="69"/>
    </row>
    <row r="199" spans="1:26" ht="12.75" x14ac:dyDescent="0.2">
      <c r="A199" s="270"/>
      <c r="B199" s="270"/>
      <c r="C199" s="270"/>
      <c r="D199" s="270"/>
      <c r="E199" s="270"/>
      <c r="F199" s="270"/>
      <c r="G199" s="270"/>
      <c r="H199" s="270"/>
      <c r="I199" s="270"/>
      <c r="J199" s="270"/>
      <c r="K199" s="311"/>
      <c r="L199" s="270"/>
      <c r="M199" s="270"/>
      <c r="N199" s="270"/>
      <c r="O199" s="270"/>
      <c r="P199" s="270"/>
      <c r="Q199" s="270"/>
      <c r="R199" s="270"/>
      <c r="S199" s="270"/>
      <c r="T199" s="270"/>
      <c r="U199" s="270"/>
      <c r="W199" s="69"/>
      <c r="X199" s="69"/>
      <c r="Y199" s="69"/>
      <c r="Z199" s="69"/>
    </row>
    <row r="200" spans="1:26" ht="12.75" x14ac:dyDescent="0.2">
      <c r="A200" s="270"/>
      <c r="B200" s="270"/>
      <c r="C200" s="270"/>
      <c r="D200" s="270"/>
      <c r="E200" s="270"/>
      <c r="F200" s="270"/>
      <c r="G200" s="270"/>
      <c r="H200" s="270"/>
      <c r="I200" s="270"/>
      <c r="J200" s="270"/>
      <c r="K200" s="311"/>
      <c r="L200" s="270"/>
      <c r="M200" s="270"/>
      <c r="N200" s="270"/>
      <c r="O200" s="270"/>
      <c r="P200" s="270"/>
      <c r="Q200" s="270"/>
      <c r="R200" s="270"/>
      <c r="S200" s="270"/>
      <c r="T200" s="270"/>
      <c r="U200" s="270"/>
      <c r="W200" s="69"/>
      <c r="X200" s="69"/>
      <c r="Y200" s="69"/>
      <c r="Z200" s="69"/>
    </row>
    <row r="201" spans="1:26" x14ac:dyDescent="0.15">
      <c r="W201" s="69"/>
      <c r="X201" s="69"/>
      <c r="Y201" s="69"/>
      <c r="Z201" s="69"/>
    </row>
    <row r="202" spans="1:26" x14ac:dyDescent="0.15">
      <c r="W202" s="69"/>
      <c r="X202" s="69"/>
      <c r="Y202" s="69"/>
      <c r="Z202" s="69"/>
    </row>
    <row r="203" spans="1:26" x14ac:dyDescent="0.15">
      <c r="W203" s="69"/>
      <c r="X203" s="69"/>
      <c r="Y203" s="69"/>
      <c r="Z203" s="69"/>
    </row>
    <row r="204" spans="1:26" x14ac:dyDescent="0.15">
      <c r="W204" s="69"/>
      <c r="X204" s="69"/>
      <c r="Y204" s="69"/>
      <c r="Z204" s="69"/>
    </row>
    <row r="205" spans="1:26" x14ac:dyDescent="0.15">
      <c r="W205" s="69"/>
      <c r="X205" s="69"/>
      <c r="Y205" s="69"/>
      <c r="Z205" s="69"/>
    </row>
    <row r="206" spans="1:26" x14ac:dyDescent="0.15">
      <c r="W206" s="69"/>
      <c r="X206" s="69"/>
      <c r="Y206" s="69"/>
      <c r="Z206" s="69"/>
    </row>
    <row r="207" spans="1:26" x14ac:dyDescent="0.15">
      <c r="W207" s="69"/>
      <c r="X207" s="69"/>
      <c r="Y207" s="69"/>
      <c r="Z207" s="69"/>
    </row>
    <row r="208" spans="1:26" x14ac:dyDescent="0.15">
      <c r="W208" s="69"/>
      <c r="X208" s="69"/>
      <c r="Y208" s="69"/>
      <c r="Z208" s="69"/>
    </row>
    <row r="209" spans="23:26" x14ac:dyDescent="0.15">
      <c r="W209" s="69"/>
      <c r="X209" s="69"/>
      <c r="Y209" s="69"/>
      <c r="Z209" s="69"/>
    </row>
    <row r="210" spans="23:26" x14ac:dyDescent="0.15">
      <c r="W210" s="69"/>
      <c r="X210" s="69"/>
      <c r="Y210" s="69"/>
      <c r="Z210" s="69"/>
    </row>
    <row r="211" spans="23:26" x14ac:dyDescent="0.15">
      <c r="W211" s="69"/>
      <c r="X211" s="69"/>
      <c r="Y211" s="69"/>
      <c r="Z211" s="69"/>
    </row>
    <row r="212" spans="23:26" x14ac:dyDescent="0.15">
      <c r="W212" s="69"/>
      <c r="X212" s="69"/>
      <c r="Y212" s="69"/>
      <c r="Z212" s="69"/>
    </row>
    <row r="213" spans="23:26" x14ac:dyDescent="0.15">
      <c r="W213" s="69"/>
      <c r="X213" s="69"/>
      <c r="Y213" s="69"/>
      <c r="Z213" s="69"/>
    </row>
    <row r="214" spans="23:26" x14ac:dyDescent="0.15">
      <c r="W214" s="69"/>
      <c r="X214" s="69"/>
      <c r="Y214" s="69"/>
      <c r="Z214" s="69"/>
    </row>
    <row r="215" spans="23:26" x14ac:dyDescent="0.15">
      <c r="W215" s="69"/>
      <c r="X215" s="69"/>
      <c r="Y215" s="69"/>
      <c r="Z215" s="69"/>
    </row>
    <row r="216" spans="23:26" x14ac:dyDescent="0.15">
      <c r="W216" s="69"/>
      <c r="X216" s="69"/>
      <c r="Y216" s="69"/>
      <c r="Z216" s="69"/>
    </row>
    <row r="217" spans="23:26" x14ac:dyDescent="0.15">
      <c r="W217" s="69"/>
      <c r="X217" s="69"/>
      <c r="Y217" s="69"/>
      <c r="Z217" s="69"/>
    </row>
    <row r="218" spans="23:26" x14ac:dyDescent="0.15">
      <c r="W218" s="69"/>
      <c r="X218" s="69"/>
      <c r="Y218" s="69"/>
      <c r="Z218" s="69"/>
    </row>
    <row r="219" spans="23:26" x14ac:dyDescent="0.15">
      <c r="W219" s="69"/>
      <c r="X219" s="69"/>
      <c r="Y219" s="69"/>
      <c r="Z219" s="69"/>
    </row>
    <row r="220" spans="23:26" x14ac:dyDescent="0.15">
      <c r="W220" s="69"/>
      <c r="X220" s="69"/>
      <c r="Y220" s="69"/>
      <c r="Z220" s="69"/>
    </row>
    <row r="221" spans="23:26" x14ac:dyDescent="0.15">
      <c r="W221" s="69"/>
      <c r="X221" s="69"/>
      <c r="Y221" s="69"/>
      <c r="Z221" s="69"/>
    </row>
    <row r="222" spans="23:26" x14ac:dyDescent="0.15">
      <c r="W222" s="69"/>
      <c r="X222" s="69"/>
      <c r="Y222" s="69"/>
      <c r="Z222" s="69"/>
    </row>
    <row r="223" spans="23:26" x14ac:dyDescent="0.15">
      <c r="W223" s="69"/>
      <c r="X223" s="69"/>
      <c r="Y223" s="69"/>
      <c r="Z223" s="69"/>
    </row>
    <row r="224" spans="23:26" x14ac:dyDescent="0.15">
      <c r="W224" s="69"/>
      <c r="X224" s="69"/>
      <c r="Y224" s="69"/>
      <c r="Z224" s="69"/>
    </row>
    <row r="225" spans="1:26" x14ac:dyDescent="0.15">
      <c r="W225" s="69"/>
      <c r="X225" s="69"/>
      <c r="Y225" s="69"/>
      <c r="Z225" s="69"/>
    </row>
    <row r="226" spans="1:26" x14ac:dyDescent="0.15">
      <c r="W226" s="69"/>
      <c r="X226" s="69"/>
      <c r="Y226" s="69"/>
      <c r="Z226" s="69"/>
    </row>
    <row r="227" spans="1:26" x14ac:dyDescent="0.15">
      <c r="W227" s="69"/>
      <c r="X227" s="69"/>
      <c r="Y227" s="69"/>
      <c r="Z227" s="69"/>
    </row>
    <row r="228" spans="1:26" x14ac:dyDescent="0.15">
      <c r="W228" s="69"/>
      <c r="X228" s="69"/>
      <c r="Y228" s="69"/>
      <c r="Z228" s="69"/>
    </row>
    <row r="229" spans="1:26" x14ac:dyDescent="0.15">
      <c r="W229" s="69"/>
      <c r="X229" s="69"/>
      <c r="Y229" s="69"/>
      <c r="Z229" s="69"/>
    </row>
    <row r="230" spans="1:26" x14ac:dyDescent="0.15">
      <c r="W230" s="69"/>
      <c r="X230" s="69"/>
      <c r="Y230" s="69"/>
      <c r="Z230" s="69"/>
    </row>
    <row r="231" spans="1:26" x14ac:dyDescent="0.15">
      <c r="W231" s="69"/>
      <c r="X231" s="69"/>
      <c r="Y231" s="69"/>
      <c r="Z231" s="69"/>
    </row>
    <row r="232" spans="1:26" x14ac:dyDescent="0.15">
      <c r="W232" s="69"/>
      <c r="X232" s="69"/>
      <c r="Y232" s="69"/>
      <c r="Z232" s="69"/>
    </row>
    <row r="233" spans="1:26" x14ac:dyDescent="0.15">
      <c r="W233" s="69"/>
      <c r="X233" s="69"/>
      <c r="Y233" s="69"/>
      <c r="Z233" s="69"/>
    </row>
    <row r="234" spans="1:26" x14ac:dyDescent="0.15">
      <c r="W234" s="69"/>
      <c r="X234" s="69"/>
      <c r="Y234" s="69"/>
      <c r="Z234" s="69"/>
    </row>
    <row r="235" spans="1:26" x14ac:dyDescent="0.15">
      <c r="W235" s="69"/>
      <c r="X235" s="69"/>
      <c r="Y235" s="69"/>
      <c r="Z235" s="69"/>
    </row>
    <row r="236" spans="1:26" x14ac:dyDescent="0.15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1231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spans="1:26" x14ac:dyDescent="0.15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1231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spans="1:26" x14ac:dyDescent="0.15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1231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spans="1:26" x14ac:dyDescent="0.15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1231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spans="1:26" x14ac:dyDescent="0.15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1231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spans="1:26" x14ac:dyDescent="0.15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1231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spans="1:26" x14ac:dyDescent="0.15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1231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spans="1:26" x14ac:dyDescent="0.15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1231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spans="1:26" x14ac:dyDescent="0.15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1231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spans="1:26" x14ac:dyDescent="0.15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1231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</sheetData>
  <mergeCells count="10">
    <mergeCell ref="A1:S1"/>
    <mergeCell ref="A2:S2"/>
    <mergeCell ref="A3:S3"/>
    <mergeCell ref="A4:S4"/>
    <mergeCell ref="G9:I9"/>
    <mergeCell ref="G57:I57"/>
    <mergeCell ref="A52:S52"/>
    <mergeCell ref="A49:S49"/>
    <mergeCell ref="A50:S50"/>
    <mergeCell ref="A51:S51"/>
  </mergeCells>
  <phoneticPr fontId="3" type="noConversion"/>
  <printOptions horizontalCentered="1"/>
  <pageMargins left="0.25" right="0.25" top="0.75" bottom="0.25" header="0.5" footer="0.5"/>
  <pageSetup scale="86" orientation="landscape" r:id="rId1"/>
  <headerFooter alignWithMargins="0"/>
  <rowBreaks count="2" manualBreakCount="2">
    <brk id="47" max="18" man="1"/>
    <brk id="104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U128"/>
  <sheetViews>
    <sheetView zoomScale="85" zoomScaleNormal="85" workbookViewId="0">
      <selection activeCell="E25" sqref="E25"/>
    </sheetView>
  </sheetViews>
  <sheetFormatPr defaultColWidth="6.1640625" defaultRowHeight="10.5" x14ac:dyDescent="0.15"/>
  <cols>
    <col min="1" max="1" width="5" style="72" customWidth="1"/>
    <col min="2" max="2" width="3.33203125" style="72" customWidth="1"/>
    <col min="3" max="3" width="10.1640625" style="72" bestFit="1" customWidth="1"/>
    <col min="4" max="4" width="3.1640625" style="72" customWidth="1"/>
    <col min="5" max="5" width="33.33203125" style="72" customWidth="1"/>
    <col min="6" max="6" width="13.5" style="72" customWidth="1"/>
    <col min="7" max="7" width="2.5" style="72" customWidth="1"/>
    <col min="8" max="8" width="27.1640625" style="72" bestFit="1" customWidth="1"/>
    <col min="9" max="9" width="2.5" style="72" customWidth="1"/>
    <col min="10" max="10" width="9.1640625" style="72" customWidth="1"/>
    <col min="11" max="11" width="2.5" style="72" customWidth="1"/>
    <col min="12" max="12" width="12" style="72" bestFit="1" customWidth="1"/>
    <col min="13" max="13" width="2.83203125" style="72" customWidth="1"/>
    <col min="14" max="14" width="12" style="72" bestFit="1" customWidth="1"/>
    <col min="15" max="15" width="3.33203125" style="72" customWidth="1"/>
    <col min="16" max="16" width="17.83203125" style="72" customWidth="1"/>
    <col min="17" max="17" width="2.5" style="72" customWidth="1"/>
    <col min="18" max="18" width="9.1640625" style="72" customWidth="1"/>
    <col min="19" max="19" width="5.83203125" style="72" customWidth="1"/>
    <col min="20" max="20" width="1.6640625" style="72" customWidth="1"/>
    <col min="21" max="21" width="11.6640625" style="72" customWidth="1"/>
    <col min="22" max="16384" width="6.1640625" style="72"/>
  </cols>
  <sheetData>
    <row r="1" spans="1:21" ht="12.75" x14ac:dyDescent="0.2">
      <c r="A1" s="1405" t="s">
        <v>477</v>
      </c>
      <c r="B1" s="1405"/>
      <c r="C1" s="1405"/>
      <c r="D1" s="1405"/>
      <c r="E1" s="1405"/>
      <c r="F1" s="1405"/>
      <c r="G1" s="1405"/>
      <c r="H1" s="1405"/>
      <c r="I1" s="1405"/>
      <c r="J1" s="1405"/>
      <c r="K1" s="1405"/>
      <c r="L1" s="1405"/>
      <c r="M1" s="1405"/>
      <c r="N1" s="1405"/>
      <c r="O1" s="1405"/>
      <c r="P1" s="1405"/>
      <c r="Q1" s="340"/>
      <c r="R1" s="340"/>
      <c r="S1" s="320"/>
    </row>
    <row r="2" spans="1:21" ht="12.75" x14ac:dyDescent="0.2">
      <c r="A2" s="1406" t="str">
        <f>Input!C4</f>
        <v>CASE NO. 2017-xxxxx</v>
      </c>
      <c r="B2" s="1406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  <c r="N2" s="1406"/>
      <c r="O2" s="1406"/>
      <c r="P2" s="1406"/>
      <c r="Q2" s="340"/>
      <c r="R2" s="340"/>
      <c r="S2" s="320"/>
    </row>
    <row r="3" spans="1:21" ht="12.75" x14ac:dyDescent="0.2">
      <c r="A3" s="1407" t="s">
        <v>889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1407"/>
      <c r="O3" s="1407"/>
      <c r="P3" s="1407"/>
      <c r="Q3" s="340"/>
      <c r="R3" s="340"/>
      <c r="S3" s="320"/>
    </row>
    <row r="4" spans="1:21" ht="12.75" x14ac:dyDescent="0.2">
      <c r="A4" s="1406" t="str">
        <f>Input!C7</f>
        <v>AS OF DECEMBER 31, 2017</v>
      </c>
      <c r="B4" s="1406"/>
      <c r="C4" s="1406"/>
      <c r="D4" s="1406"/>
      <c r="E4" s="1406"/>
      <c r="F4" s="1406"/>
      <c r="G4" s="1406"/>
      <c r="H4" s="1406"/>
      <c r="I4" s="1406"/>
      <c r="J4" s="1406"/>
      <c r="K4" s="1406"/>
      <c r="L4" s="1406"/>
      <c r="M4" s="1406"/>
      <c r="N4" s="1406"/>
      <c r="O4" s="1406"/>
      <c r="P4" s="1406"/>
      <c r="Q4" s="340"/>
      <c r="R4" s="340"/>
      <c r="S4" s="320"/>
    </row>
    <row r="5" spans="1:21" ht="12.75" x14ac:dyDescent="0.2">
      <c r="A5" s="320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40"/>
      <c r="R5" s="340"/>
      <c r="S5" s="320"/>
    </row>
    <row r="6" spans="1:21" ht="12.75" x14ac:dyDescent="0.2">
      <c r="A6" s="322" t="s">
        <v>839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N6" s="320"/>
      <c r="O6" s="320"/>
      <c r="P6" s="333" t="s">
        <v>280</v>
      </c>
      <c r="Q6" s="340"/>
      <c r="R6" s="340"/>
      <c r="S6" s="320"/>
    </row>
    <row r="7" spans="1:21" ht="12.75" x14ac:dyDescent="0.2">
      <c r="A7" s="322" t="s">
        <v>490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N7" s="320"/>
      <c r="O7" s="320"/>
      <c r="P7" s="333" t="s">
        <v>491</v>
      </c>
      <c r="Q7" s="340"/>
      <c r="R7" s="340"/>
      <c r="S7" s="320"/>
    </row>
    <row r="8" spans="1:21" ht="12.75" x14ac:dyDescent="0.2">
      <c r="A8" s="324" t="s">
        <v>840</v>
      </c>
      <c r="B8" s="325"/>
      <c r="C8" s="325"/>
      <c r="D8" s="325"/>
      <c r="E8" s="325"/>
      <c r="F8" s="325"/>
      <c r="G8" s="325"/>
      <c r="H8" s="325"/>
      <c r="I8" s="325"/>
      <c r="J8" s="326"/>
      <c r="K8" s="326"/>
      <c r="L8" s="326"/>
      <c r="M8" s="722"/>
      <c r="N8" s="326"/>
      <c r="O8" s="325"/>
      <c r="P8" s="708" t="str">
        <f>Input!E27</f>
        <v>WITNESS:  C. Y. LAI</v>
      </c>
      <c r="Q8" s="340"/>
      <c r="R8" s="340"/>
      <c r="S8" s="320"/>
    </row>
    <row r="9" spans="1:21" ht="12.75" x14ac:dyDescent="0.2">
      <c r="A9" s="320"/>
      <c r="B9" s="320"/>
      <c r="C9" s="320"/>
      <c r="D9" s="320"/>
      <c r="E9" s="320"/>
      <c r="F9" s="327"/>
      <c r="G9" s="327"/>
      <c r="H9" s="328" t="s">
        <v>281</v>
      </c>
      <c r="I9" s="327"/>
      <c r="J9" s="327"/>
      <c r="K9" s="320"/>
      <c r="L9" s="320"/>
      <c r="M9" s="320"/>
      <c r="N9" s="320"/>
      <c r="O9" s="320"/>
      <c r="P9" s="320"/>
      <c r="Q9" s="340"/>
      <c r="R9" s="340"/>
      <c r="S9" s="320"/>
    </row>
    <row r="10" spans="1:21" ht="12.75" x14ac:dyDescent="0.2">
      <c r="A10" s="329"/>
      <c r="B10" s="320"/>
      <c r="C10" s="320"/>
      <c r="D10" s="320"/>
      <c r="E10" s="320"/>
      <c r="F10" s="329" t="s">
        <v>525</v>
      </c>
      <c r="G10" s="320"/>
      <c r="H10" s="320"/>
      <c r="I10" s="320"/>
      <c r="J10" s="321" t="s">
        <v>295</v>
      </c>
      <c r="K10" s="320"/>
      <c r="L10" s="329" t="s">
        <v>296</v>
      </c>
      <c r="M10" s="320"/>
      <c r="N10" s="327"/>
      <c r="O10" s="327"/>
      <c r="P10" s="321" t="s">
        <v>525</v>
      </c>
      <c r="Q10" s="340"/>
      <c r="R10" s="340"/>
      <c r="S10" s="327"/>
      <c r="T10" s="73"/>
      <c r="U10" s="73"/>
    </row>
    <row r="11" spans="1:21" ht="12.75" x14ac:dyDescent="0.2">
      <c r="A11" s="321" t="s">
        <v>493</v>
      </c>
      <c r="B11" s="320"/>
      <c r="C11" s="321" t="s">
        <v>297</v>
      </c>
      <c r="D11" s="320"/>
      <c r="E11" s="321" t="s">
        <v>298</v>
      </c>
      <c r="F11" s="321" t="s">
        <v>296</v>
      </c>
      <c r="G11" s="320"/>
      <c r="H11" s="329" t="s">
        <v>299</v>
      </c>
      <c r="I11" s="320"/>
      <c r="J11" s="321" t="s">
        <v>300</v>
      </c>
      <c r="K11" s="320"/>
      <c r="L11" s="321" t="s">
        <v>1248</v>
      </c>
      <c r="M11" s="320"/>
      <c r="N11" s="321" t="s">
        <v>301</v>
      </c>
      <c r="O11" s="320"/>
      <c r="P11" s="321" t="s">
        <v>523</v>
      </c>
      <c r="Q11" s="340"/>
      <c r="R11" s="340"/>
      <c r="S11" s="320"/>
    </row>
    <row r="12" spans="1:21" ht="12.75" x14ac:dyDescent="0.2">
      <c r="A12" s="321" t="s">
        <v>496</v>
      </c>
      <c r="B12" s="320"/>
      <c r="C12" s="321" t="s">
        <v>496</v>
      </c>
      <c r="D12" s="320"/>
      <c r="E12" s="321" t="s">
        <v>302</v>
      </c>
      <c r="F12" s="321" t="s">
        <v>1248</v>
      </c>
      <c r="G12" s="320"/>
      <c r="H12" s="321" t="s">
        <v>1248</v>
      </c>
      <c r="I12" s="320"/>
      <c r="J12" s="321" t="s">
        <v>992</v>
      </c>
      <c r="K12" s="320"/>
      <c r="L12" s="321" t="s">
        <v>303</v>
      </c>
      <c r="M12" s="320"/>
      <c r="N12" s="323" t="s">
        <v>304</v>
      </c>
      <c r="O12" s="320"/>
      <c r="P12" s="321" t="s">
        <v>1371</v>
      </c>
      <c r="Q12" s="340"/>
      <c r="R12" s="340"/>
      <c r="S12" s="320"/>
    </row>
    <row r="13" spans="1:21" ht="12.75" x14ac:dyDescent="0.2">
      <c r="A13" s="330" t="s">
        <v>1746</v>
      </c>
      <c r="B13" s="325"/>
      <c r="C13" s="330" t="s">
        <v>1747</v>
      </c>
      <c r="D13" s="325"/>
      <c r="E13" s="330" t="s">
        <v>1748</v>
      </c>
      <c r="F13" s="330" t="s">
        <v>1749</v>
      </c>
      <c r="G13" s="325"/>
      <c r="H13" s="330" t="s">
        <v>136</v>
      </c>
      <c r="I13" s="325"/>
      <c r="J13" s="330" t="s">
        <v>1751</v>
      </c>
      <c r="K13" s="325"/>
      <c r="L13" s="331" t="s">
        <v>305</v>
      </c>
      <c r="M13" s="325"/>
      <c r="N13" s="330" t="s">
        <v>237</v>
      </c>
      <c r="O13" s="325"/>
      <c r="P13" s="330" t="s">
        <v>238</v>
      </c>
      <c r="Q13" s="340"/>
      <c r="R13" s="340"/>
      <c r="S13" s="320"/>
    </row>
    <row r="14" spans="1:21" ht="12.75" x14ac:dyDescent="0.2">
      <c r="A14" s="329"/>
      <c r="B14" s="320"/>
      <c r="C14" s="320"/>
      <c r="D14" s="320"/>
      <c r="E14" s="320"/>
      <c r="F14" s="321" t="s">
        <v>500</v>
      </c>
      <c r="G14" s="320"/>
      <c r="H14" s="321" t="s">
        <v>500</v>
      </c>
      <c r="I14" s="320"/>
      <c r="J14" s="321" t="s">
        <v>500</v>
      </c>
      <c r="K14" s="320"/>
      <c r="L14" s="321" t="s">
        <v>500</v>
      </c>
      <c r="M14" s="320"/>
      <c r="N14" s="321" t="s">
        <v>536</v>
      </c>
      <c r="O14" s="320"/>
      <c r="P14" s="321" t="s">
        <v>500</v>
      </c>
      <c r="Q14" s="340"/>
      <c r="R14" s="340"/>
      <c r="S14" s="320"/>
    </row>
    <row r="15" spans="1:21" ht="12.75" x14ac:dyDescent="0.2">
      <c r="A15" s="332"/>
      <c r="B15" s="320"/>
      <c r="C15" s="320"/>
      <c r="D15" s="320"/>
      <c r="E15" s="320"/>
      <c r="F15" s="1273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40"/>
      <c r="R15" s="340"/>
      <c r="S15" s="320"/>
    </row>
    <row r="16" spans="1:21" ht="12.75" x14ac:dyDescent="0.2">
      <c r="A16" s="333">
        <v>1</v>
      </c>
      <c r="B16" s="320"/>
      <c r="C16" s="334">
        <v>303</v>
      </c>
      <c r="D16" s="320"/>
      <c r="E16" s="323" t="s">
        <v>306</v>
      </c>
      <c r="F16" s="1274">
        <v>15397.02</v>
      </c>
      <c r="G16" s="320"/>
      <c r="H16" s="335">
        <f>F16-L16</f>
        <v>15397.02</v>
      </c>
      <c r="I16" s="320"/>
      <c r="J16" s="335">
        <v>0</v>
      </c>
      <c r="K16" s="335"/>
      <c r="L16" s="1276">
        <v>0</v>
      </c>
      <c r="M16" s="320"/>
      <c r="N16" s="321" t="s">
        <v>307</v>
      </c>
      <c r="O16" s="320"/>
      <c r="P16" s="336">
        <f>L16</f>
        <v>0</v>
      </c>
      <c r="Q16" s="340"/>
      <c r="R16" s="340"/>
      <c r="S16" s="320"/>
    </row>
    <row r="17" spans="1:19" ht="12.75" x14ac:dyDescent="0.2">
      <c r="A17" s="333">
        <f>A16+1</f>
        <v>2</v>
      </c>
      <c r="B17" s="320"/>
      <c r="C17" s="334">
        <v>303.3</v>
      </c>
      <c r="D17" s="320"/>
      <c r="E17" s="323" t="s">
        <v>306</v>
      </c>
      <c r="F17" s="1275">
        <v>730264</v>
      </c>
      <c r="G17" s="320"/>
      <c r="H17" s="337">
        <f>F17-L17</f>
        <v>730264</v>
      </c>
      <c r="I17" s="320"/>
      <c r="J17" s="337">
        <v>0</v>
      </c>
      <c r="K17" s="335"/>
      <c r="L17" s="1277">
        <v>0</v>
      </c>
      <c r="M17" s="320"/>
      <c r="N17" s="335"/>
      <c r="O17" s="320"/>
      <c r="P17" s="338">
        <f>L17</f>
        <v>0</v>
      </c>
      <c r="Q17" s="340"/>
      <c r="R17" s="340"/>
      <c r="S17" s="320"/>
    </row>
    <row r="18" spans="1:19" ht="12.75" x14ac:dyDescent="0.2">
      <c r="A18" s="333">
        <f>A17+1</f>
        <v>3</v>
      </c>
      <c r="B18" s="320"/>
      <c r="C18" s="320"/>
      <c r="D18" s="320"/>
      <c r="E18" s="323" t="s">
        <v>308</v>
      </c>
      <c r="F18" s="336">
        <f>SUM(F16:F17)</f>
        <v>745661.02</v>
      </c>
      <c r="G18" s="320"/>
      <c r="H18" s="335">
        <f>SUM(H16:H17)</f>
        <v>745661.02</v>
      </c>
      <c r="I18" s="320"/>
      <c r="J18" s="335">
        <v>0</v>
      </c>
      <c r="K18" s="335"/>
      <c r="L18" s="335">
        <f>SUM(L16:L17)</f>
        <v>0</v>
      </c>
      <c r="M18" s="320"/>
      <c r="N18" s="335"/>
      <c r="O18" s="320"/>
      <c r="P18" s="335">
        <f>SUM(P16:P17)</f>
        <v>0</v>
      </c>
      <c r="Q18" s="340"/>
      <c r="R18" s="340"/>
      <c r="S18" s="320"/>
    </row>
    <row r="19" spans="1:19" ht="12.75" x14ac:dyDescent="0.2">
      <c r="A19" s="332"/>
      <c r="B19" s="320"/>
      <c r="C19" s="334"/>
      <c r="D19" s="320"/>
      <c r="E19" s="323"/>
      <c r="F19" s="336"/>
      <c r="G19" s="320"/>
      <c r="H19" s="335"/>
      <c r="I19" s="320"/>
      <c r="J19" s="335"/>
      <c r="K19" s="335"/>
      <c r="L19" s="335"/>
      <c r="M19" s="320"/>
      <c r="N19" s="335"/>
      <c r="O19" s="320"/>
      <c r="P19" s="336"/>
      <c r="Q19" s="340"/>
      <c r="R19" s="340"/>
      <c r="S19" s="320"/>
    </row>
    <row r="20" spans="1:19" ht="12.75" x14ac:dyDescent="0.2">
      <c r="A20" s="333">
        <f>A18+1</f>
        <v>4</v>
      </c>
      <c r="B20" s="320"/>
      <c r="C20" s="334">
        <v>374.4</v>
      </c>
      <c r="D20" s="320"/>
      <c r="E20" s="323" t="s">
        <v>309</v>
      </c>
      <c r="F20" s="1274">
        <v>6272.53</v>
      </c>
      <c r="G20" s="320"/>
      <c r="H20" s="335">
        <f t="shared" ref="H20:H33" si="0">F20-L20</f>
        <v>6272.53</v>
      </c>
      <c r="I20" s="320"/>
      <c r="J20" s="335">
        <v>0</v>
      </c>
      <c r="K20" s="335"/>
      <c r="L20" s="1276">
        <v>0</v>
      </c>
      <c r="M20" s="320"/>
      <c r="N20" s="335"/>
      <c r="O20" s="320"/>
      <c r="P20" s="336">
        <f t="shared" ref="P20:P33" si="1">L20</f>
        <v>0</v>
      </c>
      <c r="Q20" s="340"/>
      <c r="R20" s="340"/>
      <c r="S20" s="320"/>
    </row>
    <row r="21" spans="1:19" ht="12.75" x14ac:dyDescent="0.2">
      <c r="A21" s="333">
        <f t="shared" ref="A21:A34" si="2">A20+1</f>
        <v>5</v>
      </c>
      <c r="B21" s="320"/>
      <c r="C21" s="334">
        <v>374.5</v>
      </c>
      <c r="D21" s="320"/>
      <c r="E21" s="323" t="s">
        <v>310</v>
      </c>
      <c r="F21" s="1274">
        <v>0</v>
      </c>
      <c r="G21" s="320"/>
      <c r="H21" s="335">
        <f t="shared" si="0"/>
        <v>0</v>
      </c>
      <c r="I21" s="320"/>
      <c r="J21" s="335">
        <v>0</v>
      </c>
      <c r="K21" s="335"/>
      <c r="L21" s="1276">
        <v>0</v>
      </c>
      <c r="M21" s="320"/>
      <c r="N21" s="335"/>
      <c r="O21" s="320"/>
      <c r="P21" s="336">
        <f t="shared" si="1"/>
        <v>0</v>
      </c>
      <c r="Q21" s="340"/>
      <c r="R21" s="340"/>
      <c r="S21" s="320"/>
    </row>
    <row r="22" spans="1:19" ht="12.75" x14ac:dyDescent="0.2">
      <c r="A22" s="333">
        <f t="shared" si="2"/>
        <v>6</v>
      </c>
      <c r="B22" s="320"/>
      <c r="C22" s="334">
        <v>375.4</v>
      </c>
      <c r="D22" s="320"/>
      <c r="E22" s="323" t="s">
        <v>311</v>
      </c>
      <c r="F22" s="1274">
        <v>0</v>
      </c>
      <c r="G22" s="320"/>
      <c r="H22" s="335">
        <f t="shared" si="0"/>
        <v>0</v>
      </c>
      <c r="I22" s="320"/>
      <c r="J22" s="335">
        <v>0</v>
      </c>
      <c r="K22" s="335"/>
      <c r="L22" s="1276">
        <v>0</v>
      </c>
      <c r="M22" s="320"/>
      <c r="N22" s="335"/>
      <c r="O22" s="320"/>
      <c r="P22" s="336">
        <f t="shared" si="1"/>
        <v>0</v>
      </c>
      <c r="Q22" s="340"/>
      <c r="R22" s="340"/>
      <c r="S22" s="320"/>
    </row>
    <row r="23" spans="1:19" ht="12.75" x14ac:dyDescent="0.2">
      <c r="A23" s="333">
        <f t="shared" si="2"/>
        <v>7</v>
      </c>
      <c r="B23" s="320"/>
      <c r="C23" s="334">
        <v>375.7</v>
      </c>
      <c r="D23" s="320"/>
      <c r="E23" s="323" t="s">
        <v>312</v>
      </c>
      <c r="F23" s="1274">
        <v>14782</v>
      </c>
      <c r="G23" s="320"/>
      <c r="H23" s="335">
        <f t="shared" si="0"/>
        <v>14782</v>
      </c>
      <c r="I23" s="320"/>
      <c r="J23" s="335">
        <v>0</v>
      </c>
      <c r="K23" s="335"/>
      <c r="L23" s="1276">
        <v>0</v>
      </c>
      <c r="M23" s="320"/>
      <c r="N23" s="335"/>
      <c r="O23" s="320"/>
      <c r="P23" s="336">
        <f t="shared" si="1"/>
        <v>0</v>
      </c>
      <c r="Q23" s="340"/>
      <c r="R23" s="340"/>
      <c r="S23" s="320"/>
    </row>
    <row r="24" spans="1:19" ht="12.75" x14ac:dyDescent="0.2">
      <c r="A24" s="333">
        <f t="shared" si="2"/>
        <v>8</v>
      </c>
      <c r="B24" s="320"/>
      <c r="C24" s="334">
        <v>376</v>
      </c>
      <c r="D24" s="320"/>
      <c r="E24" s="323" t="s">
        <v>1171</v>
      </c>
      <c r="F24" s="1274">
        <v>1652285</v>
      </c>
      <c r="G24" s="320"/>
      <c r="H24" s="335">
        <f t="shared" si="0"/>
        <v>829565</v>
      </c>
      <c r="I24" s="320"/>
      <c r="J24" s="335">
        <v>0</v>
      </c>
      <c r="K24" s="335"/>
      <c r="L24" s="1276">
        <v>822720</v>
      </c>
      <c r="M24" s="320"/>
      <c r="N24" s="335"/>
      <c r="O24" s="320"/>
      <c r="P24" s="336">
        <f t="shared" si="1"/>
        <v>822720</v>
      </c>
      <c r="Q24" s="340"/>
      <c r="R24" s="340"/>
      <c r="S24" s="320"/>
    </row>
    <row r="25" spans="1:19" ht="12.75" x14ac:dyDescent="0.2">
      <c r="A25" s="333">
        <f t="shared" si="2"/>
        <v>9</v>
      </c>
      <c r="B25" s="320"/>
      <c r="C25" s="334">
        <v>378.2</v>
      </c>
      <c r="D25" s="320"/>
      <c r="E25" s="323" t="s">
        <v>313</v>
      </c>
      <c r="F25" s="1274">
        <v>155277</v>
      </c>
      <c r="G25" s="320"/>
      <c r="H25" s="335">
        <f t="shared" si="0"/>
        <v>60888</v>
      </c>
      <c r="I25" s="320"/>
      <c r="J25" s="335">
        <v>0</v>
      </c>
      <c r="K25" s="335"/>
      <c r="L25" s="1276">
        <v>94389</v>
      </c>
      <c r="M25" s="320"/>
      <c r="N25" s="335"/>
      <c r="O25" s="320"/>
      <c r="P25" s="336">
        <f t="shared" si="1"/>
        <v>94389</v>
      </c>
      <c r="Q25" s="340"/>
      <c r="R25" s="340"/>
      <c r="S25" s="320"/>
    </row>
    <row r="26" spans="1:19" ht="12.75" x14ac:dyDescent="0.2">
      <c r="A26" s="333">
        <f t="shared" si="2"/>
        <v>10</v>
      </c>
      <c r="B26" s="320"/>
      <c r="C26" s="334">
        <v>380</v>
      </c>
      <c r="D26" s="320"/>
      <c r="E26" s="323" t="s">
        <v>1181</v>
      </c>
      <c r="F26" s="1274">
        <v>51343</v>
      </c>
      <c r="G26" s="320"/>
      <c r="H26" s="339">
        <f t="shared" si="0"/>
        <v>0</v>
      </c>
      <c r="I26" s="320"/>
      <c r="J26" s="335">
        <v>0</v>
      </c>
      <c r="K26" s="335"/>
      <c r="L26" s="1274">
        <v>51343</v>
      </c>
      <c r="M26" s="320"/>
      <c r="N26" s="335"/>
      <c r="O26" s="320"/>
      <c r="P26" s="336">
        <f t="shared" si="1"/>
        <v>51343</v>
      </c>
      <c r="Q26" s="340"/>
      <c r="R26" s="340"/>
      <c r="S26" s="320"/>
    </row>
    <row r="27" spans="1:19" ht="12.75" x14ac:dyDescent="0.2">
      <c r="A27" s="333">
        <f t="shared" si="2"/>
        <v>11</v>
      </c>
      <c r="B27" s="320"/>
      <c r="C27" s="334">
        <v>381</v>
      </c>
      <c r="D27" s="320"/>
      <c r="E27" s="323" t="s">
        <v>1183</v>
      </c>
      <c r="F27" s="1274">
        <v>501</v>
      </c>
      <c r="G27" s="320"/>
      <c r="H27" s="335">
        <f t="shared" si="0"/>
        <v>0</v>
      </c>
      <c r="I27" s="320"/>
      <c r="J27" s="335">
        <v>0</v>
      </c>
      <c r="K27" s="335"/>
      <c r="L27" s="1274">
        <v>501</v>
      </c>
      <c r="M27" s="320"/>
      <c r="N27" s="335"/>
      <c r="O27" s="320"/>
      <c r="P27" s="336">
        <f t="shared" si="1"/>
        <v>501</v>
      </c>
      <c r="Q27" s="340"/>
      <c r="R27" s="340"/>
      <c r="S27" s="320"/>
    </row>
    <row r="28" spans="1:19" ht="12.75" x14ac:dyDescent="0.2">
      <c r="A28" s="333">
        <f t="shared" si="2"/>
        <v>12</v>
      </c>
      <c r="B28" s="320"/>
      <c r="C28" s="334">
        <v>382</v>
      </c>
      <c r="D28" s="320"/>
      <c r="E28" s="323" t="s">
        <v>1186</v>
      </c>
      <c r="F28" s="1274">
        <v>24136</v>
      </c>
      <c r="G28" s="320"/>
      <c r="H28" s="335">
        <f t="shared" si="0"/>
        <v>0</v>
      </c>
      <c r="I28" s="320"/>
      <c r="J28" s="335">
        <v>0</v>
      </c>
      <c r="K28" s="335"/>
      <c r="L28" s="1274">
        <v>24136</v>
      </c>
      <c r="M28" s="320"/>
      <c r="N28" s="320"/>
      <c r="O28" s="320"/>
      <c r="P28" s="336">
        <f t="shared" si="1"/>
        <v>24136</v>
      </c>
      <c r="Q28" s="340"/>
      <c r="R28" s="340"/>
      <c r="S28" s="320"/>
    </row>
    <row r="29" spans="1:19" ht="12.75" x14ac:dyDescent="0.2">
      <c r="A29" s="333">
        <f t="shared" si="2"/>
        <v>13</v>
      </c>
      <c r="B29" s="320"/>
      <c r="C29" s="334">
        <v>383</v>
      </c>
      <c r="D29" s="320"/>
      <c r="E29" s="323" t="s">
        <v>1190</v>
      </c>
      <c r="F29" s="1274">
        <v>217281</v>
      </c>
      <c r="G29" s="320"/>
      <c r="H29" s="335">
        <f t="shared" si="0"/>
        <v>0</v>
      </c>
      <c r="I29" s="320"/>
      <c r="J29" s="335">
        <v>0</v>
      </c>
      <c r="K29" s="335"/>
      <c r="L29" s="1274">
        <v>217281</v>
      </c>
      <c r="M29" s="320"/>
      <c r="N29" s="320"/>
      <c r="O29" s="320"/>
      <c r="P29" s="336">
        <f t="shared" si="1"/>
        <v>217281</v>
      </c>
      <c r="Q29" s="340"/>
      <c r="R29" s="340"/>
      <c r="S29" s="320"/>
    </row>
    <row r="30" spans="1:19" ht="12.75" x14ac:dyDescent="0.2">
      <c r="A30" s="333">
        <f t="shared" si="2"/>
        <v>14</v>
      </c>
      <c r="B30" s="320"/>
      <c r="C30" s="334">
        <v>385</v>
      </c>
      <c r="D30" s="320"/>
      <c r="E30" s="323" t="s">
        <v>633</v>
      </c>
      <c r="F30" s="1274">
        <v>24644</v>
      </c>
      <c r="G30" s="320"/>
      <c r="H30" s="335">
        <f t="shared" si="0"/>
        <v>24539</v>
      </c>
      <c r="I30" s="320"/>
      <c r="J30" s="335">
        <v>0</v>
      </c>
      <c r="K30" s="320"/>
      <c r="L30" s="1274">
        <v>105</v>
      </c>
      <c r="M30" s="320"/>
      <c r="N30" s="320"/>
      <c r="O30" s="320"/>
      <c r="P30" s="336">
        <f t="shared" si="1"/>
        <v>105</v>
      </c>
      <c r="Q30" s="340"/>
      <c r="R30" s="340"/>
      <c r="S30" s="320"/>
    </row>
    <row r="31" spans="1:19" ht="12.75" x14ac:dyDescent="0.2">
      <c r="A31" s="333">
        <f t="shared" si="2"/>
        <v>15</v>
      </c>
      <c r="B31" s="320"/>
      <c r="C31" s="334">
        <v>387.42</v>
      </c>
      <c r="D31" s="320"/>
      <c r="E31" s="323" t="s">
        <v>314</v>
      </c>
      <c r="F31" s="1274">
        <v>0</v>
      </c>
      <c r="G31" s="320"/>
      <c r="H31" s="335">
        <f t="shared" si="0"/>
        <v>0</v>
      </c>
      <c r="I31" s="320"/>
      <c r="J31" s="335">
        <v>0</v>
      </c>
      <c r="K31" s="320"/>
      <c r="L31" s="1274">
        <v>0</v>
      </c>
      <c r="M31" s="320"/>
      <c r="N31" s="320"/>
      <c r="O31" s="320"/>
      <c r="P31" s="336">
        <f t="shared" si="1"/>
        <v>0</v>
      </c>
      <c r="Q31" s="340"/>
      <c r="R31" s="340"/>
      <c r="S31" s="320"/>
    </row>
    <row r="32" spans="1:19" ht="12.75" x14ac:dyDescent="0.2">
      <c r="A32" s="333">
        <f>A31+1</f>
        <v>16</v>
      </c>
      <c r="B32" s="320"/>
      <c r="C32" s="334">
        <v>388.42</v>
      </c>
      <c r="D32" s="320"/>
      <c r="E32" s="323" t="s">
        <v>1172</v>
      </c>
      <c r="F32" s="1274">
        <v>15549</v>
      </c>
      <c r="G32" s="320"/>
      <c r="H32" s="335">
        <f>F32-L32</f>
        <v>15549</v>
      </c>
      <c r="I32" s="320"/>
      <c r="J32" s="335">
        <v>0</v>
      </c>
      <c r="K32" s="320"/>
      <c r="L32" s="1274">
        <v>0</v>
      </c>
      <c r="M32" s="320"/>
      <c r="N32" s="320"/>
      <c r="O32" s="320"/>
      <c r="P32" s="336">
        <f>L32</f>
        <v>0</v>
      </c>
      <c r="Q32" s="340"/>
      <c r="R32" s="340"/>
      <c r="S32" s="320"/>
    </row>
    <row r="33" spans="1:21" ht="12.75" x14ac:dyDescent="0.2">
      <c r="A33" s="333">
        <f>A32+1</f>
        <v>17</v>
      </c>
      <c r="B33" s="320"/>
      <c r="C33" s="334">
        <v>387.45</v>
      </c>
      <c r="D33" s="320"/>
      <c r="E33" s="323" t="s">
        <v>315</v>
      </c>
      <c r="F33" s="1275">
        <v>24</v>
      </c>
      <c r="G33" s="320"/>
      <c r="H33" s="337">
        <f t="shared" si="0"/>
        <v>0</v>
      </c>
      <c r="I33" s="320"/>
      <c r="J33" s="337">
        <v>0</v>
      </c>
      <c r="K33" s="320"/>
      <c r="L33" s="1275">
        <v>24</v>
      </c>
      <c r="M33" s="320"/>
      <c r="N33" s="340"/>
      <c r="O33" s="320"/>
      <c r="P33" s="338">
        <f t="shared" si="1"/>
        <v>24</v>
      </c>
      <c r="Q33" s="340"/>
      <c r="R33" s="340"/>
      <c r="S33" s="320"/>
    </row>
    <row r="34" spans="1:21" ht="12.75" x14ac:dyDescent="0.2">
      <c r="A34" s="333">
        <f t="shared" si="2"/>
        <v>18</v>
      </c>
      <c r="B34" s="320"/>
      <c r="C34" s="334"/>
      <c r="D34" s="320"/>
      <c r="E34" s="323" t="s">
        <v>308</v>
      </c>
      <c r="F34" s="336">
        <f>SUM(F20:F33)</f>
        <v>2162094.5300000003</v>
      </c>
      <c r="G34" s="320"/>
      <c r="H34" s="336">
        <f>SUM(H20:H33)</f>
        <v>951595.53</v>
      </c>
      <c r="I34" s="320"/>
      <c r="J34" s="335">
        <v>0</v>
      </c>
      <c r="K34" s="320"/>
      <c r="L34" s="336">
        <f>SUM(L20:L33)</f>
        <v>1210499</v>
      </c>
      <c r="M34" s="320"/>
      <c r="N34" s="320"/>
      <c r="O34" s="320"/>
      <c r="P34" s="336">
        <f>SUM(P20:P33)</f>
        <v>1210499</v>
      </c>
      <c r="Q34" s="340"/>
      <c r="R34" s="340"/>
      <c r="S34" s="320"/>
    </row>
    <row r="35" spans="1:21" ht="12.75" x14ac:dyDescent="0.2">
      <c r="A35" s="332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40"/>
      <c r="R35" s="340"/>
      <c r="S35" s="320"/>
    </row>
    <row r="36" spans="1:21" ht="12.75" x14ac:dyDescent="0.2">
      <c r="A36" s="333">
        <f>A34+1</f>
        <v>19</v>
      </c>
      <c r="B36" s="320"/>
      <c r="C36" s="341">
        <v>391.1</v>
      </c>
      <c r="D36" s="320"/>
      <c r="E36" s="323" t="s">
        <v>316</v>
      </c>
      <c r="F36" s="1274">
        <v>0</v>
      </c>
      <c r="G36" s="320"/>
      <c r="H36" s="339">
        <f>F36-L36</f>
        <v>0</v>
      </c>
      <c r="I36" s="320"/>
      <c r="J36" s="335">
        <v>0</v>
      </c>
      <c r="K36" s="320"/>
      <c r="L36" s="1274">
        <v>0</v>
      </c>
      <c r="M36" s="320"/>
      <c r="N36" s="320"/>
      <c r="O36" s="320"/>
      <c r="P36" s="336">
        <f>L36</f>
        <v>0</v>
      </c>
      <c r="Q36" s="340"/>
      <c r="R36" s="340"/>
      <c r="S36" s="320"/>
    </row>
    <row r="37" spans="1:21" ht="12.75" x14ac:dyDescent="0.2">
      <c r="A37" s="333">
        <f>A36+1</f>
        <v>20</v>
      </c>
      <c r="B37" s="320"/>
      <c r="C37" s="341">
        <v>391.12</v>
      </c>
      <c r="D37" s="320"/>
      <c r="E37" s="323" t="s">
        <v>317</v>
      </c>
      <c r="F37" s="1274">
        <v>300</v>
      </c>
      <c r="G37" s="320"/>
      <c r="H37" s="339">
        <f>F37-L37</f>
        <v>0</v>
      </c>
      <c r="I37" s="320"/>
      <c r="J37" s="335">
        <v>0</v>
      </c>
      <c r="K37" s="320"/>
      <c r="L37" s="1274">
        <v>300</v>
      </c>
      <c r="M37" s="320"/>
      <c r="N37" s="320"/>
      <c r="O37" s="320"/>
      <c r="P37" s="336">
        <f>L37</f>
        <v>300</v>
      </c>
      <c r="Q37" s="340"/>
      <c r="R37" s="340"/>
      <c r="S37" s="320"/>
    </row>
    <row r="38" spans="1:21" ht="12.75" x14ac:dyDescent="0.2">
      <c r="A38" s="333">
        <f>A37+1</f>
        <v>21</v>
      </c>
      <c r="B38" s="320"/>
      <c r="C38" s="341">
        <v>394.3</v>
      </c>
      <c r="D38" s="320"/>
      <c r="E38" s="323" t="s">
        <v>318</v>
      </c>
      <c r="F38" s="1274">
        <v>0</v>
      </c>
      <c r="G38" s="320"/>
      <c r="H38" s="339">
        <f>F38-L38</f>
        <v>0</v>
      </c>
      <c r="I38" s="320"/>
      <c r="J38" s="335">
        <v>0</v>
      </c>
      <c r="K38" s="320"/>
      <c r="L38" s="1274">
        <v>0</v>
      </c>
      <c r="M38" s="320"/>
      <c r="N38" s="320"/>
      <c r="O38" s="320"/>
      <c r="P38" s="336">
        <f>L38</f>
        <v>0</v>
      </c>
      <c r="Q38" s="340"/>
      <c r="R38" s="340"/>
      <c r="S38" s="320"/>
    </row>
    <row r="39" spans="1:21" ht="12.75" x14ac:dyDescent="0.2">
      <c r="A39" s="333">
        <f>A38+1</f>
        <v>22</v>
      </c>
      <c r="B39" s="320"/>
      <c r="C39" s="341">
        <v>398</v>
      </c>
      <c r="D39" s="320"/>
      <c r="E39" s="323" t="s">
        <v>319</v>
      </c>
      <c r="F39" s="1275">
        <v>4750</v>
      </c>
      <c r="G39" s="320"/>
      <c r="H39" s="337">
        <f>F39-L39</f>
        <v>0</v>
      </c>
      <c r="I39" s="320"/>
      <c r="J39" s="337">
        <v>0</v>
      </c>
      <c r="K39" s="320"/>
      <c r="L39" s="1275">
        <v>4750</v>
      </c>
      <c r="M39" s="320"/>
      <c r="N39" s="320"/>
      <c r="O39" s="320"/>
      <c r="P39" s="338">
        <f>L39</f>
        <v>4750</v>
      </c>
      <c r="Q39" s="340"/>
      <c r="R39" s="340"/>
      <c r="S39" s="320"/>
    </row>
    <row r="40" spans="1:21" ht="12.75" x14ac:dyDescent="0.2">
      <c r="A40" s="333">
        <f>A39+1</f>
        <v>23</v>
      </c>
      <c r="B40" s="320"/>
      <c r="C40" s="341"/>
      <c r="D40" s="320"/>
      <c r="E40" s="323" t="s">
        <v>308</v>
      </c>
      <c r="F40" s="336">
        <f>SUM(F36:F39)</f>
        <v>5050</v>
      </c>
      <c r="G40" s="320"/>
      <c r="H40" s="336">
        <f>SUM(H36:H39)</f>
        <v>0</v>
      </c>
      <c r="I40" s="320"/>
      <c r="J40" s="335">
        <v>0</v>
      </c>
      <c r="K40" s="320"/>
      <c r="L40" s="336">
        <f>SUM(L36:L39)</f>
        <v>5050</v>
      </c>
      <c r="M40" s="320"/>
      <c r="N40" s="320"/>
      <c r="O40" s="320"/>
      <c r="P40" s="336">
        <f>SUM(P36:P39)</f>
        <v>5050</v>
      </c>
      <c r="Q40" s="340"/>
      <c r="R40" s="340"/>
      <c r="S40" s="320"/>
    </row>
    <row r="41" spans="1:21" ht="12.75" x14ac:dyDescent="0.2">
      <c r="A41" s="332"/>
      <c r="B41" s="320"/>
      <c r="C41" s="323" t="s">
        <v>549</v>
      </c>
      <c r="D41" s="320"/>
      <c r="E41" s="320"/>
      <c r="F41" s="320"/>
      <c r="G41" s="320"/>
      <c r="H41" s="335"/>
      <c r="I41" s="320"/>
      <c r="J41" s="335"/>
      <c r="K41" s="335"/>
      <c r="L41" s="335"/>
      <c r="M41" s="320"/>
      <c r="N41" s="335"/>
      <c r="O41" s="320"/>
      <c r="P41" s="320"/>
      <c r="Q41" s="340"/>
      <c r="R41" s="340"/>
      <c r="S41" s="320"/>
    </row>
    <row r="42" spans="1:21" ht="13.5" thickBot="1" x14ac:dyDescent="0.25">
      <c r="A42" s="333">
        <f>A40+1</f>
        <v>24</v>
      </c>
      <c r="B42" s="320"/>
      <c r="C42" s="323" t="s">
        <v>525</v>
      </c>
      <c r="D42" s="320"/>
      <c r="E42" s="320"/>
      <c r="F42" s="342">
        <f>F18+F34+F40</f>
        <v>2912805.5500000003</v>
      </c>
      <c r="G42" s="320"/>
      <c r="H42" s="342">
        <f>H18+H34+H40</f>
        <v>1697256.55</v>
      </c>
      <c r="I42" s="320"/>
      <c r="J42" s="342">
        <f>J18+J34+J40</f>
        <v>0</v>
      </c>
      <c r="K42" s="335"/>
      <c r="L42" s="342">
        <f>L18+L34+L40</f>
        <v>1215549</v>
      </c>
      <c r="M42" s="320"/>
      <c r="N42" s="335"/>
      <c r="O42" s="320"/>
      <c r="P42" s="342">
        <f>P18+P34+P40</f>
        <v>1215549</v>
      </c>
      <c r="Q42" s="340"/>
      <c r="R42" s="340"/>
      <c r="S42" s="320"/>
    </row>
    <row r="43" spans="1:21" ht="13.5" thickTop="1" x14ac:dyDescent="0.2">
      <c r="A43" s="343"/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  <c r="Q43" s="345"/>
      <c r="R43" s="345"/>
      <c r="S43" s="344"/>
      <c r="T43" s="74"/>
      <c r="U43" s="74"/>
    </row>
    <row r="44" spans="1:21" ht="12.75" x14ac:dyDescent="0.2">
      <c r="A44" s="343"/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5"/>
      <c r="R44" s="345"/>
      <c r="S44" s="344"/>
      <c r="T44" s="74"/>
      <c r="U44" s="74"/>
    </row>
    <row r="45" spans="1:21" ht="12.75" x14ac:dyDescent="0.2">
      <c r="A45" s="344"/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5"/>
      <c r="R45" s="345"/>
      <c r="S45" s="344"/>
      <c r="T45" s="74"/>
      <c r="U45" s="74"/>
    </row>
    <row r="46" spans="1:21" ht="12.75" x14ac:dyDescent="0.2">
      <c r="A46" s="344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5"/>
      <c r="R46" s="345"/>
      <c r="S46" s="344"/>
      <c r="T46" s="74"/>
      <c r="U46" s="74"/>
    </row>
    <row r="47" spans="1:21" ht="12.75" x14ac:dyDescent="0.2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5"/>
      <c r="R47" s="345"/>
      <c r="S47" s="344"/>
      <c r="T47" s="74"/>
      <c r="U47" s="74"/>
    </row>
    <row r="48" spans="1:21" ht="12.75" x14ac:dyDescent="0.2">
      <c r="A48" s="344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5"/>
      <c r="R48" s="345"/>
      <c r="S48" s="344"/>
      <c r="T48" s="74"/>
      <c r="U48" s="74"/>
    </row>
    <row r="49" spans="1:21" ht="12.75" x14ac:dyDescent="0.2">
      <c r="A49" s="344"/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5"/>
      <c r="R49" s="345"/>
      <c r="S49" s="344"/>
      <c r="T49" s="74"/>
      <c r="U49" s="74"/>
    </row>
    <row r="50" spans="1:21" ht="12.75" x14ac:dyDescent="0.2">
      <c r="A50" s="344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5"/>
      <c r="R50" s="345"/>
      <c r="S50" s="344"/>
      <c r="T50" s="74"/>
      <c r="U50" s="74"/>
    </row>
    <row r="51" spans="1:21" ht="12.75" x14ac:dyDescent="0.2">
      <c r="A51" s="344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5"/>
      <c r="R51" s="345"/>
      <c r="S51" s="344"/>
      <c r="T51" s="74"/>
      <c r="U51" s="74"/>
    </row>
    <row r="52" spans="1:21" ht="12.75" x14ac:dyDescent="0.2">
      <c r="A52" s="344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5"/>
      <c r="R52" s="345"/>
      <c r="S52" s="344"/>
      <c r="T52" s="74"/>
      <c r="U52" s="74"/>
    </row>
    <row r="53" spans="1:21" ht="12.75" x14ac:dyDescent="0.2">
      <c r="A53" s="344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5"/>
      <c r="R53" s="345"/>
      <c r="S53" s="344"/>
      <c r="T53" s="74"/>
      <c r="U53" s="74"/>
    </row>
    <row r="54" spans="1:21" ht="12.75" x14ac:dyDescent="0.2">
      <c r="A54" s="344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5"/>
      <c r="R54" s="345"/>
      <c r="S54" s="344"/>
      <c r="T54" s="74"/>
      <c r="U54" s="74"/>
    </row>
    <row r="55" spans="1:21" ht="12.75" x14ac:dyDescent="0.2">
      <c r="A55" s="344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5"/>
      <c r="R55" s="345"/>
      <c r="S55" s="344"/>
      <c r="T55" s="74"/>
      <c r="U55" s="74"/>
    </row>
    <row r="56" spans="1:21" ht="12.75" x14ac:dyDescent="0.2">
      <c r="A56" s="344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5"/>
      <c r="R56" s="345"/>
      <c r="S56" s="344"/>
      <c r="T56" s="74"/>
      <c r="U56" s="74"/>
    </row>
    <row r="57" spans="1:21" ht="12.75" x14ac:dyDescent="0.2">
      <c r="A57" s="344"/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679"/>
      <c r="R57" s="679"/>
      <c r="S57" s="74"/>
      <c r="T57" s="74"/>
      <c r="U57" s="74"/>
    </row>
    <row r="58" spans="1:21" ht="12.75" x14ac:dyDescent="0.2">
      <c r="A58" s="344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679"/>
      <c r="R58" s="679"/>
      <c r="S58" s="74"/>
      <c r="T58" s="74"/>
      <c r="U58" s="74"/>
    </row>
    <row r="59" spans="1:21" ht="12.75" x14ac:dyDescent="0.2">
      <c r="A59" s="344"/>
      <c r="B59" s="344"/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679"/>
      <c r="R59" s="679"/>
      <c r="S59" s="74"/>
      <c r="T59" s="74"/>
      <c r="U59" s="74"/>
    </row>
    <row r="60" spans="1:21" ht="12.75" x14ac:dyDescent="0.2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680"/>
      <c r="R60" s="680"/>
    </row>
    <row r="61" spans="1:21" ht="12.75" x14ac:dyDescent="0.2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680"/>
      <c r="R61" s="680"/>
    </row>
    <row r="62" spans="1:21" ht="12.75" x14ac:dyDescent="0.2">
      <c r="A62" s="320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680"/>
      <c r="R62" s="680"/>
    </row>
    <row r="63" spans="1:21" ht="12.75" x14ac:dyDescent="0.2">
      <c r="A63" s="320"/>
      <c r="B63" s="320"/>
      <c r="C63" s="320"/>
      <c r="D63" s="320"/>
      <c r="E63" s="320"/>
      <c r="F63" s="320"/>
      <c r="G63" s="320"/>
      <c r="H63" s="320"/>
      <c r="I63" s="320"/>
      <c r="J63" s="320"/>
      <c r="K63" s="320"/>
      <c r="L63" s="320"/>
      <c r="M63" s="320"/>
      <c r="N63" s="320"/>
      <c r="O63" s="320"/>
      <c r="P63" s="320"/>
      <c r="Q63" s="680"/>
      <c r="R63" s="680"/>
    </row>
    <row r="64" spans="1:21" ht="12.75" x14ac:dyDescent="0.2">
      <c r="A64" s="320"/>
      <c r="B64" s="320"/>
      <c r="C64" s="320"/>
      <c r="D64" s="320"/>
      <c r="E64" s="320"/>
      <c r="F64" s="320"/>
      <c r="G64" s="320"/>
      <c r="H64" s="320"/>
      <c r="I64" s="320"/>
      <c r="J64" s="320"/>
      <c r="K64" s="320"/>
      <c r="L64" s="320"/>
      <c r="M64" s="320"/>
      <c r="N64" s="320"/>
      <c r="O64" s="320"/>
      <c r="P64" s="320"/>
      <c r="Q64" s="680"/>
      <c r="R64" s="680"/>
    </row>
    <row r="65" spans="1:18" ht="12.75" x14ac:dyDescent="0.2">
      <c r="A65" s="320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680"/>
      <c r="R65" s="680"/>
    </row>
    <row r="66" spans="1:18" ht="12.75" x14ac:dyDescent="0.2">
      <c r="A66" s="320"/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680"/>
      <c r="R66" s="680"/>
    </row>
    <row r="67" spans="1:18" ht="12.75" x14ac:dyDescent="0.2">
      <c r="A67" s="320"/>
      <c r="B67" s="320"/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680"/>
      <c r="R67" s="680"/>
    </row>
    <row r="68" spans="1:18" ht="12.75" x14ac:dyDescent="0.2">
      <c r="A68" s="320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680"/>
      <c r="R68" s="680"/>
    </row>
    <row r="69" spans="1:18" ht="12.75" x14ac:dyDescent="0.2">
      <c r="A69" s="320"/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680"/>
      <c r="R69" s="680"/>
    </row>
    <row r="70" spans="1:18" ht="12.75" x14ac:dyDescent="0.2">
      <c r="A70" s="320"/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680"/>
      <c r="R70" s="680"/>
    </row>
    <row r="71" spans="1:18" ht="12.75" x14ac:dyDescent="0.2">
      <c r="A71" s="320"/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680"/>
      <c r="R71" s="680"/>
    </row>
    <row r="72" spans="1:18" ht="12.75" x14ac:dyDescent="0.2">
      <c r="A72" s="320"/>
      <c r="B72" s="320"/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680"/>
      <c r="R72" s="680"/>
    </row>
    <row r="73" spans="1:18" ht="12.75" x14ac:dyDescent="0.2">
      <c r="A73" s="320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680"/>
      <c r="R73" s="680"/>
    </row>
    <row r="74" spans="1:18" ht="12.75" x14ac:dyDescent="0.2">
      <c r="A74" s="320"/>
      <c r="B74" s="320"/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680"/>
      <c r="R74" s="680"/>
    </row>
    <row r="75" spans="1:18" ht="12.75" x14ac:dyDescent="0.2">
      <c r="A75" s="320"/>
      <c r="B75" s="320"/>
      <c r="C75" s="320"/>
      <c r="D75" s="320"/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0"/>
      <c r="P75" s="320"/>
      <c r="Q75" s="680"/>
      <c r="R75" s="680"/>
    </row>
    <row r="76" spans="1:18" ht="12.75" x14ac:dyDescent="0.2">
      <c r="A76" s="320"/>
      <c r="B76" s="320"/>
      <c r="C76" s="320"/>
      <c r="D76" s="320"/>
      <c r="E76" s="320"/>
      <c r="F76" s="320"/>
      <c r="G76" s="320"/>
      <c r="H76" s="320"/>
      <c r="I76" s="320"/>
      <c r="J76" s="320"/>
      <c r="K76" s="320"/>
      <c r="L76" s="320"/>
      <c r="M76" s="320"/>
      <c r="N76" s="320"/>
      <c r="O76" s="320"/>
      <c r="P76" s="320"/>
      <c r="Q76" s="680"/>
      <c r="R76" s="680"/>
    </row>
    <row r="77" spans="1:18" ht="12.75" x14ac:dyDescent="0.2">
      <c r="A77" s="320"/>
      <c r="B77" s="320"/>
      <c r="C77" s="320"/>
      <c r="D77" s="320"/>
      <c r="E77" s="320"/>
      <c r="F77" s="320"/>
      <c r="G77" s="320"/>
      <c r="H77" s="320"/>
      <c r="I77" s="320"/>
      <c r="J77" s="320"/>
      <c r="K77" s="320"/>
      <c r="L77" s="320"/>
      <c r="M77" s="320"/>
      <c r="N77" s="320"/>
      <c r="O77" s="320"/>
      <c r="P77" s="320"/>
      <c r="Q77" s="680"/>
      <c r="R77" s="680"/>
    </row>
    <row r="78" spans="1:18" ht="12.75" x14ac:dyDescent="0.2">
      <c r="A78" s="320"/>
      <c r="B78" s="320"/>
      <c r="C78" s="320"/>
      <c r="D78" s="320"/>
      <c r="E78" s="320"/>
      <c r="F78" s="320"/>
      <c r="G78" s="320"/>
      <c r="H78" s="320"/>
      <c r="I78" s="320"/>
      <c r="J78" s="320"/>
      <c r="K78" s="320"/>
      <c r="L78" s="320"/>
      <c r="M78" s="320"/>
      <c r="N78" s="320"/>
      <c r="O78" s="320"/>
      <c r="P78" s="320"/>
      <c r="Q78" s="680"/>
      <c r="R78" s="680"/>
    </row>
    <row r="79" spans="1:18" ht="12.75" x14ac:dyDescent="0.2">
      <c r="A79" s="320"/>
      <c r="B79" s="320"/>
      <c r="C79" s="320"/>
      <c r="D79" s="320"/>
      <c r="E79" s="320"/>
      <c r="F79" s="320"/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680"/>
      <c r="R79" s="680"/>
    </row>
    <row r="80" spans="1:18" ht="12.75" x14ac:dyDescent="0.2">
      <c r="A80" s="320"/>
      <c r="B80" s="320"/>
      <c r="C80" s="320"/>
      <c r="D80" s="320"/>
      <c r="E80" s="320"/>
      <c r="F80" s="320"/>
      <c r="G80" s="320"/>
      <c r="H80" s="320"/>
      <c r="I80" s="320"/>
      <c r="J80" s="320"/>
      <c r="K80" s="320"/>
      <c r="L80" s="320"/>
      <c r="M80" s="320"/>
      <c r="N80" s="320"/>
      <c r="O80" s="320"/>
      <c r="P80" s="320"/>
      <c r="Q80" s="680"/>
      <c r="R80" s="680"/>
    </row>
    <row r="81" spans="1:18" ht="12.75" x14ac:dyDescent="0.2">
      <c r="A81" s="320"/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0"/>
      <c r="M81" s="320"/>
      <c r="N81" s="320"/>
      <c r="O81" s="320"/>
      <c r="P81" s="320"/>
      <c r="Q81" s="680"/>
      <c r="R81" s="680"/>
    </row>
    <row r="82" spans="1:18" ht="12.75" x14ac:dyDescent="0.2">
      <c r="A82" s="320"/>
      <c r="B82" s="320"/>
      <c r="C82" s="320"/>
      <c r="D82" s="320"/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0"/>
      <c r="P82" s="320"/>
      <c r="Q82" s="680"/>
      <c r="R82" s="680"/>
    </row>
    <row r="83" spans="1:18" ht="12.75" x14ac:dyDescent="0.2">
      <c r="A83" s="320"/>
      <c r="B83" s="320"/>
      <c r="C83" s="320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680"/>
      <c r="R83" s="680"/>
    </row>
    <row r="84" spans="1:18" ht="12.75" x14ac:dyDescent="0.2">
      <c r="A84" s="320"/>
      <c r="B84" s="320"/>
      <c r="C84" s="320"/>
      <c r="D84" s="320"/>
      <c r="E84" s="320"/>
      <c r="F84" s="320"/>
      <c r="G84" s="320"/>
      <c r="H84" s="320"/>
      <c r="I84" s="320"/>
      <c r="J84" s="320"/>
      <c r="K84" s="320"/>
      <c r="L84" s="320"/>
      <c r="M84" s="320"/>
      <c r="N84" s="320"/>
      <c r="O84" s="320"/>
      <c r="P84" s="320"/>
      <c r="Q84" s="680"/>
      <c r="R84" s="680"/>
    </row>
    <row r="85" spans="1:18" ht="12.75" x14ac:dyDescent="0.2">
      <c r="A85" s="320"/>
      <c r="B85" s="320"/>
      <c r="C85" s="320"/>
      <c r="D85" s="320"/>
      <c r="E85" s="320"/>
      <c r="F85" s="320"/>
      <c r="G85" s="320"/>
      <c r="H85" s="320"/>
      <c r="I85" s="320"/>
      <c r="J85" s="320"/>
      <c r="K85" s="320"/>
      <c r="L85" s="320"/>
      <c r="M85" s="320"/>
      <c r="N85" s="320"/>
      <c r="O85" s="320"/>
      <c r="P85" s="320"/>
      <c r="Q85" s="680"/>
      <c r="R85" s="680"/>
    </row>
    <row r="86" spans="1:18" ht="12.75" x14ac:dyDescent="0.2">
      <c r="A86" s="320"/>
      <c r="B86" s="320"/>
      <c r="C86" s="320"/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680"/>
      <c r="R86" s="680"/>
    </row>
    <row r="87" spans="1:18" ht="12.75" x14ac:dyDescent="0.2">
      <c r="A87" s="320"/>
      <c r="B87" s="320"/>
      <c r="C87" s="320"/>
      <c r="D87" s="320"/>
      <c r="E87" s="320"/>
      <c r="F87" s="320"/>
      <c r="G87" s="320"/>
      <c r="H87" s="320"/>
      <c r="I87" s="320"/>
      <c r="J87" s="320"/>
      <c r="K87" s="320"/>
      <c r="L87" s="320"/>
      <c r="M87" s="320"/>
      <c r="N87" s="320"/>
      <c r="O87" s="320"/>
      <c r="P87" s="320"/>
      <c r="Q87" s="680"/>
      <c r="R87" s="680"/>
    </row>
    <row r="88" spans="1:18" ht="12.75" x14ac:dyDescent="0.2">
      <c r="A88" s="320"/>
      <c r="B88" s="320"/>
      <c r="C88" s="320"/>
      <c r="D88" s="320"/>
      <c r="E88" s="320"/>
      <c r="F88" s="320"/>
      <c r="G88" s="320"/>
      <c r="H88" s="320"/>
      <c r="I88" s="320"/>
      <c r="J88" s="320"/>
      <c r="K88" s="320"/>
      <c r="L88" s="320"/>
      <c r="M88" s="320"/>
      <c r="N88" s="320"/>
      <c r="O88" s="320"/>
      <c r="P88" s="320"/>
      <c r="Q88" s="680"/>
      <c r="R88" s="680"/>
    </row>
    <row r="89" spans="1:18" ht="12.75" x14ac:dyDescent="0.2">
      <c r="A89" s="320"/>
      <c r="B89" s="320"/>
      <c r="C89" s="320"/>
      <c r="D89" s="320"/>
      <c r="E89" s="320"/>
      <c r="F89" s="320"/>
      <c r="G89" s="320"/>
      <c r="H89" s="320"/>
      <c r="I89" s="320"/>
      <c r="J89" s="320"/>
      <c r="K89" s="320"/>
      <c r="L89" s="320"/>
      <c r="M89" s="320"/>
      <c r="N89" s="320"/>
      <c r="O89" s="320"/>
      <c r="P89" s="320"/>
      <c r="Q89" s="680"/>
      <c r="R89" s="680"/>
    </row>
    <row r="90" spans="1:18" ht="12.75" x14ac:dyDescent="0.2">
      <c r="A90" s="320"/>
      <c r="B90" s="320"/>
      <c r="C90" s="320"/>
      <c r="D90" s="320"/>
      <c r="E90" s="320"/>
      <c r="F90" s="320"/>
      <c r="G90" s="320"/>
      <c r="H90" s="320"/>
      <c r="I90" s="320"/>
      <c r="J90" s="320"/>
      <c r="K90" s="320"/>
      <c r="L90" s="320"/>
      <c r="M90" s="320"/>
      <c r="N90" s="320"/>
      <c r="O90" s="320"/>
      <c r="P90" s="320"/>
      <c r="Q90" s="680"/>
      <c r="R90" s="680"/>
    </row>
    <row r="91" spans="1:18" ht="12.75" x14ac:dyDescent="0.2">
      <c r="A91" s="320"/>
      <c r="B91" s="320"/>
      <c r="C91" s="320"/>
      <c r="D91" s="320"/>
      <c r="E91" s="320"/>
      <c r="F91" s="320"/>
      <c r="G91" s="320"/>
      <c r="H91" s="320"/>
      <c r="I91" s="320"/>
      <c r="J91" s="320"/>
      <c r="K91" s="320"/>
      <c r="L91" s="320"/>
      <c r="M91" s="320"/>
      <c r="N91" s="320"/>
      <c r="O91" s="320"/>
      <c r="P91" s="320"/>
      <c r="Q91" s="680"/>
      <c r="R91" s="680"/>
    </row>
    <row r="92" spans="1:18" ht="12.75" x14ac:dyDescent="0.2">
      <c r="A92" s="320"/>
      <c r="B92" s="320"/>
      <c r="C92" s="320"/>
      <c r="D92" s="320"/>
      <c r="E92" s="320"/>
      <c r="F92" s="320"/>
      <c r="G92" s="320"/>
      <c r="H92" s="320"/>
      <c r="I92" s="320"/>
      <c r="J92" s="320"/>
      <c r="K92" s="320"/>
      <c r="L92" s="320"/>
      <c r="M92" s="320"/>
      <c r="N92" s="320"/>
      <c r="O92" s="320"/>
      <c r="P92" s="320"/>
      <c r="Q92" s="680"/>
      <c r="R92" s="680"/>
    </row>
    <row r="93" spans="1:18" ht="12.75" x14ac:dyDescent="0.2">
      <c r="A93" s="320"/>
      <c r="B93" s="320"/>
      <c r="C93" s="320"/>
      <c r="D93" s="320"/>
      <c r="E93" s="320"/>
      <c r="F93" s="320"/>
      <c r="G93" s="320"/>
      <c r="H93" s="320"/>
      <c r="I93" s="320"/>
      <c r="J93" s="320"/>
      <c r="K93" s="320"/>
      <c r="L93" s="320"/>
      <c r="M93" s="320"/>
      <c r="N93" s="320"/>
      <c r="O93" s="320"/>
      <c r="P93" s="320"/>
      <c r="Q93" s="680"/>
      <c r="R93" s="680"/>
    </row>
    <row r="94" spans="1:18" ht="12.75" x14ac:dyDescent="0.2">
      <c r="A94" s="320"/>
      <c r="B94" s="320"/>
      <c r="C94" s="320"/>
      <c r="D94" s="320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680"/>
      <c r="R94" s="680"/>
    </row>
    <row r="95" spans="1:18" ht="12.75" x14ac:dyDescent="0.2">
      <c r="A95" s="320"/>
      <c r="B95" s="320"/>
      <c r="C95" s="320"/>
      <c r="D95" s="320"/>
      <c r="E95" s="320"/>
      <c r="F95" s="320"/>
      <c r="G95" s="320"/>
      <c r="H95" s="320"/>
      <c r="I95" s="320"/>
      <c r="J95" s="320"/>
      <c r="K95" s="320"/>
      <c r="L95" s="320"/>
      <c r="M95" s="320"/>
      <c r="N95" s="320"/>
      <c r="O95" s="320"/>
      <c r="P95" s="320"/>
      <c r="Q95" s="680"/>
      <c r="R95" s="680"/>
    </row>
    <row r="96" spans="1:18" ht="12.75" x14ac:dyDescent="0.2">
      <c r="A96" s="320"/>
      <c r="B96" s="320"/>
      <c r="C96" s="320"/>
      <c r="D96" s="320"/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680"/>
      <c r="R96" s="680"/>
    </row>
    <row r="97" spans="1:18" ht="12.75" x14ac:dyDescent="0.2">
      <c r="A97" s="320"/>
      <c r="B97" s="320"/>
      <c r="C97" s="320"/>
      <c r="D97" s="320"/>
      <c r="E97" s="320"/>
      <c r="F97" s="320"/>
      <c r="G97" s="320"/>
      <c r="H97" s="320"/>
      <c r="I97" s="320"/>
      <c r="J97" s="320"/>
      <c r="K97" s="320"/>
      <c r="L97" s="320"/>
      <c r="M97" s="320"/>
      <c r="N97" s="320"/>
      <c r="O97" s="320"/>
      <c r="P97" s="320"/>
      <c r="Q97" s="680"/>
      <c r="R97" s="680"/>
    </row>
    <row r="98" spans="1:18" ht="12.75" x14ac:dyDescent="0.2">
      <c r="A98" s="320"/>
      <c r="B98" s="320"/>
      <c r="C98" s="320"/>
      <c r="D98" s="320"/>
      <c r="E98" s="320"/>
      <c r="F98" s="320"/>
      <c r="G98" s="320"/>
      <c r="H98" s="320"/>
      <c r="I98" s="320"/>
      <c r="J98" s="320"/>
      <c r="K98" s="320"/>
      <c r="L98" s="320"/>
      <c r="M98" s="320"/>
      <c r="N98" s="320"/>
      <c r="O98" s="320"/>
      <c r="P98" s="320"/>
      <c r="Q98" s="680"/>
      <c r="R98" s="680"/>
    </row>
    <row r="99" spans="1:18" ht="12.75" x14ac:dyDescent="0.2">
      <c r="A99" s="320"/>
      <c r="B99" s="320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  <c r="P99" s="320"/>
      <c r="Q99" s="680"/>
      <c r="R99" s="680"/>
    </row>
    <row r="100" spans="1:18" ht="12.75" x14ac:dyDescent="0.2">
      <c r="A100" s="320"/>
      <c r="B100" s="320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  <c r="P100" s="320"/>
      <c r="Q100" s="680"/>
      <c r="R100" s="680"/>
    </row>
    <row r="101" spans="1:18" ht="12.75" x14ac:dyDescent="0.2">
      <c r="A101" s="320"/>
      <c r="B101" s="320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  <c r="P101" s="320"/>
      <c r="Q101" s="680"/>
      <c r="R101" s="680"/>
    </row>
    <row r="102" spans="1:18" ht="12.75" x14ac:dyDescent="0.2">
      <c r="A102" s="320"/>
      <c r="B102" s="320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680"/>
      <c r="R102" s="680"/>
    </row>
    <row r="103" spans="1:18" ht="12.75" x14ac:dyDescent="0.2">
      <c r="A103" s="320"/>
      <c r="B103" s="320"/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  <c r="P103" s="320"/>
      <c r="Q103" s="680"/>
      <c r="R103" s="680"/>
    </row>
    <row r="104" spans="1:18" ht="12.75" x14ac:dyDescent="0.2">
      <c r="A104" s="320"/>
      <c r="B104" s="320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680"/>
      <c r="R104" s="680"/>
    </row>
    <row r="105" spans="1:18" ht="12.75" x14ac:dyDescent="0.2">
      <c r="A105" s="320"/>
      <c r="B105" s="320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680"/>
      <c r="R105" s="680"/>
    </row>
    <row r="106" spans="1:18" ht="12.75" x14ac:dyDescent="0.2">
      <c r="A106" s="320"/>
      <c r="B106" s="320"/>
      <c r="C106" s="320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680"/>
      <c r="R106" s="680"/>
    </row>
    <row r="107" spans="1:18" ht="12.75" x14ac:dyDescent="0.2">
      <c r="A107" s="320"/>
      <c r="B107" s="320"/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  <c r="P107" s="320"/>
      <c r="Q107" s="680"/>
      <c r="R107" s="680"/>
    </row>
    <row r="108" spans="1:18" ht="12.75" x14ac:dyDescent="0.2">
      <c r="A108" s="320"/>
      <c r="B108" s="320"/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680"/>
      <c r="R108" s="680"/>
    </row>
    <row r="109" spans="1:18" ht="12.75" x14ac:dyDescent="0.2">
      <c r="A109" s="320"/>
      <c r="B109" s="320"/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  <c r="P109" s="320"/>
      <c r="Q109" s="680"/>
      <c r="R109" s="680"/>
    </row>
    <row r="110" spans="1:18" ht="12.75" x14ac:dyDescent="0.2">
      <c r="A110" s="320"/>
      <c r="B110" s="320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  <c r="P110" s="320"/>
      <c r="Q110" s="680"/>
      <c r="R110" s="680"/>
    </row>
    <row r="111" spans="1:18" ht="12.75" x14ac:dyDescent="0.2">
      <c r="A111" s="320"/>
      <c r="B111" s="320"/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  <c r="P111" s="320"/>
      <c r="Q111" s="680"/>
      <c r="R111" s="680"/>
    </row>
    <row r="112" spans="1:18" ht="12.75" x14ac:dyDescent="0.2">
      <c r="A112" s="320"/>
      <c r="B112" s="320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  <c r="P112" s="320"/>
      <c r="Q112" s="680"/>
      <c r="R112" s="680"/>
    </row>
    <row r="113" spans="1:18" ht="12.75" x14ac:dyDescent="0.2">
      <c r="A113" s="320"/>
      <c r="B113" s="320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  <c r="P113" s="320"/>
      <c r="Q113" s="680"/>
      <c r="R113" s="680"/>
    </row>
    <row r="114" spans="1:18" ht="12.75" x14ac:dyDescent="0.2">
      <c r="A114" s="320"/>
      <c r="B114" s="320"/>
      <c r="C114" s="320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  <c r="P114" s="320"/>
      <c r="Q114" s="680"/>
      <c r="R114" s="680"/>
    </row>
    <row r="115" spans="1:18" ht="12.75" x14ac:dyDescent="0.2">
      <c r="A115" s="320"/>
      <c r="B115" s="320"/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680"/>
      <c r="R115" s="680"/>
    </row>
    <row r="116" spans="1:18" ht="12.75" x14ac:dyDescent="0.2">
      <c r="A116" s="320"/>
      <c r="B116" s="320"/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  <c r="P116" s="320"/>
      <c r="Q116" s="680"/>
      <c r="R116" s="680"/>
    </row>
    <row r="117" spans="1:18" ht="12.75" x14ac:dyDescent="0.2">
      <c r="A117" s="320"/>
      <c r="B117" s="320"/>
      <c r="C117" s="320"/>
      <c r="D117" s="320"/>
      <c r="E117" s="320"/>
      <c r="F117" s="320"/>
      <c r="G117" s="320"/>
      <c r="H117" s="320"/>
      <c r="I117" s="320"/>
      <c r="J117" s="320"/>
      <c r="K117" s="320"/>
      <c r="L117" s="320"/>
      <c r="M117" s="320"/>
      <c r="N117" s="320"/>
      <c r="O117" s="320"/>
      <c r="P117" s="320"/>
      <c r="Q117" s="680"/>
      <c r="R117" s="680"/>
    </row>
    <row r="118" spans="1:18" ht="12.75" x14ac:dyDescent="0.2">
      <c r="A118" s="320"/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  <c r="P118" s="320"/>
      <c r="Q118" s="680"/>
      <c r="R118" s="680"/>
    </row>
    <row r="119" spans="1:18" ht="12.75" x14ac:dyDescent="0.2">
      <c r="A119" s="320"/>
      <c r="B119" s="320"/>
      <c r="C119" s="320"/>
      <c r="D119" s="320"/>
      <c r="E119" s="320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P119" s="320"/>
    </row>
    <row r="120" spans="1:18" ht="12.75" x14ac:dyDescent="0.2">
      <c r="A120" s="320"/>
      <c r="B120" s="320"/>
      <c r="C120" s="320"/>
      <c r="D120" s="320"/>
      <c r="E120" s="320"/>
      <c r="F120" s="320"/>
      <c r="G120" s="320"/>
      <c r="H120" s="320"/>
      <c r="I120" s="320"/>
      <c r="J120" s="320"/>
      <c r="K120" s="320"/>
      <c r="L120" s="320"/>
      <c r="M120" s="320"/>
      <c r="N120" s="320"/>
      <c r="O120" s="320"/>
      <c r="P120" s="320"/>
    </row>
    <row r="121" spans="1:18" ht="12.75" x14ac:dyDescent="0.2">
      <c r="A121" s="320"/>
      <c r="B121" s="320"/>
      <c r="C121" s="320"/>
      <c r="D121" s="320"/>
      <c r="E121" s="320"/>
      <c r="F121" s="320"/>
      <c r="G121" s="320"/>
      <c r="H121" s="320"/>
      <c r="I121" s="320"/>
      <c r="J121" s="320"/>
      <c r="K121" s="320"/>
      <c r="L121" s="320"/>
      <c r="M121" s="320"/>
      <c r="N121" s="320"/>
      <c r="O121" s="320"/>
      <c r="P121" s="320"/>
    </row>
    <row r="122" spans="1:18" ht="12.75" x14ac:dyDescent="0.2">
      <c r="A122" s="320"/>
      <c r="B122" s="320"/>
      <c r="C122" s="320"/>
      <c r="D122" s="320"/>
      <c r="E122" s="320"/>
      <c r="F122" s="320"/>
      <c r="G122" s="320"/>
      <c r="H122" s="320"/>
      <c r="I122" s="320"/>
      <c r="J122" s="320"/>
      <c r="K122" s="320"/>
      <c r="L122" s="320"/>
      <c r="M122" s="320"/>
      <c r="N122" s="320"/>
      <c r="O122" s="320"/>
      <c r="P122" s="320"/>
    </row>
    <row r="123" spans="1:18" ht="12.75" x14ac:dyDescent="0.2">
      <c r="A123" s="320"/>
      <c r="B123" s="320"/>
      <c r="C123" s="320"/>
      <c r="D123" s="320"/>
      <c r="E123" s="320"/>
      <c r="F123" s="320"/>
      <c r="G123" s="320"/>
      <c r="H123" s="320"/>
      <c r="I123" s="320"/>
      <c r="J123" s="320"/>
      <c r="K123" s="320"/>
      <c r="L123" s="320"/>
      <c r="M123" s="320"/>
      <c r="N123" s="320"/>
      <c r="O123" s="320"/>
      <c r="P123" s="320"/>
    </row>
    <row r="124" spans="1:18" ht="12.75" x14ac:dyDescent="0.2">
      <c r="A124" s="320"/>
      <c r="B124" s="320"/>
      <c r="C124" s="320"/>
      <c r="D124" s="320"/>
      <c r="E124" s="320"/>
      <c r="F124" s="320"/>
      <c r="G124" s="320"/>
      <c r="H124" s="320"/>
      <c r="I124" s="320"/>
      <c r="J124" s="320"/>
      <c r="K124" s="320"/>
      <c r="L124" s="320"/>
      <c r="M124" s="320"/>
      <c r="N124" s="320"/>
      <c r="O124" s="320"/>
      <c r="P124" s="320"/>
    </row>
    <row r="125" spans="1:18" ht="12.75" x14ac:dyDescent="0.2">
      <c r="A125" s="320"/>
      <c r="B125" s="320"/>
      <c r="C125" s="320"/>
      <c r="D125" s="320"/>
      <c r="E125" s="320"/>
      <c r="F125" s="320"/>
      <c r="G125" s="320"/>
      <c r="H125" s="320"/>
      <c r="I125" s="320"/>
      <c r="J125" s="320"/>
      <c r="K125" s="320"/>
      <c r="L125" s="320"/>
      <c r="M125" s="320"/>
      <c r="N125" s="320"/>
      <c r="O125" s="320"/>
      <c r="P125" s="320"/>
    </row>
    <row r="126" spans="1:18" ht="12.75" x14ac:dyDescent="0.2">
      <c r="A126" s="320"/>
      <c r="B126" s="320"/>
      <c r="C126" s="320"/>
      <c r="D126" s="320"/>
      <c r="E126" s="320"/>
      <c r="F126" s="320"/>
      <c r="G126" s="320"/>
      <c r="H126" s="320"/>
      <c r="I126" s="320"/>
      <c r="J126" s="320"/>
      <c r="K126" s="320"/>
      <c r="L126" s="320"/>
      <c r="M126" s="320"/>
      <c r="N126" s="320"/>
      <c r="O126" s="320"/>
      <c r="P126" s="320"/>
    </row>
    <row r="127" spans="1:18" ht="12.75" x14ac:dyDescent="0.2">
      <c r="A127" s="320"/>
      <c r="B127" s="320"/>
      <c r="C127" s="320"/>
      <c r="D127" s="320"/>
      <c r="E127" s="320"/>
      <c r="F127" s="320"/>
      <c r="G127" s="320"/>
      <c r="H127" s="320"/>
      <c r="I127" s="320"/>
      <c r="J127" s="320"/>
      <c r="K127" s="320"/>
      <c r="L127" s="320"/>
      <c r="M127" s="320"/>
      <c r="N127" s="320"/>
      <c r="O127" s="320"/>
      <c r="P127" s="320"/>
    </row>
    <row r="128" spans="1:18" ht="12.75" x14ac:dyDescent="0.2">
      <c r="A128" s="320"/>
      <c r="B128" s="320"/>
      <c r="C128" s="320"/>
      <c r="D128" s="320"/>
      <c r="E128" s="320"/>
      <c r="F128" s="320"/>
      <c r="G128" s="320"/>
      <c r="H128" s="320"/>
      <c r="I128" s="320"/>
      <c r="J128" s="320"/>
      <c r="K128" s="320"/>
      <c r="L128" s="320"/>
      <c r="M128" s="320"/>
      <c r="N128" s="320"/>
      <c r="O128" s="320"/>
      <c r="P128" s="320"/>
    </row>
  </sheetData>
  <mergeCells count="4">
    <mergeCell ref="A1:P1"/>
    <mergeCell ref="A2:P2"/>
    <mergeCell ref="A3:P3"/>
    <mergeCell ref="A4:P4"/>
  </mergeCells>
  <phoneticPr fontId="3" type="noConversion"/>
  <printOptions horizontalCentered="1"/>
  <pageMargins left="0.25" right="0.25" top="1" bottom="0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D33" sqref="D33"/>
    </sheetView>
  </sheetViews>
  <sheetFormatPr defaultRowHeight="10.5" x14ac:dyDescent="0.15"/>
  <cols>
    <col min="1" max="1" width="37.1640625" customWidth="1"/>
    <col min="3" max="3" width="11.6640625" style="802" bestFit="1" customWidth="1"/>
    <col min="5" max="5" width="15.5" customWidth="1"/>
    <col min="7" max="7" width="29.33203125" bestFit="1" customWidth="1"/>
  </cols>
  <sheetData>
    <row r="1" spans="1:5" x14ac:dyDescent="0.15">
      <c r="A1" s="803" t="s">
        <v>1185</v>
      </c>
      <c r="B1" s="803"/>
      <c r="C1" s="804"/>
      <c r="D1" s="803"/>
      <c r="E1" s="803"/>
    </row>
    <row r="3" spans="1:5" x14ac:dyDescent="0.15">
      <c r="A3" t="s">
        <v>1503</v>
      </c>
    </row>
    <row r="4" spans="1:5" x14ac:dyDescent="0.15">
      <c r="A4" t="s">
        <v>1535</v>
      </c>
    </row>
    <row r="7" spans="1:5" x14ac:dyDescent="0.15">
      <c r="A7" t="s">
        <v>1510</v>
      </c>
      <c r="B7" t="s">
        <v>1511</v>
      </c>
      <c r="C7" s="891">
        <v>93281164.909999967</v>
      </c>
    </row>
    <row r="8" spans="1:5" x14ac:dyDescent="0.15">
      <c r="C8" s="891"/>
    </row>
    <row r="9" spans="1:5" x14ac:dyDescent="0.15">
      <c r="A9" t="s">
        <v>1515</v>
      </c>
      <c r="B9" t="s">
        <v>1511</v>
      </c>
      <c r="C9" s="891">
        <v>51321558.019999996</v>
      </c>
    </row>
    <row r="10" spans="1:5" x14ac:dyDescent="0.15">
      <c r="C10" s="891"/>
    </row>
    <row r="11" spans="1:5" x14ac:dyDescent="0.15">
      <c r="A11" t="s">
        <v>1518</v>
      </c>
      <c r="B11" t="s">
        <v>1511</v>
      </c>
      <c r="C11" s="891">
        <v>1856648.35</v>
      </c>
    </row>
    <row r="12" spans="1:5" x14ac:dyDescent="0.15">
      <c r="C12" s="891"/>
    </row>
    <row r="13" spans="1:5" x14ac:dyDescent="0.15">
      <c r="A13" t="s">
        <v>1521</v>
      </c>
      <c r="B13" t="s">
        <v>1511</v>
      </c>
      <c r="C13" s="891">
        <v>211100.63</v>
      </c>
    </row>
    <row r="14" spans="1:5" x14ac:dyDescent="0.15">
      <c r="C14" s="890"/>
    </row>
    <row r="15" spans="1:5" x14ac:dyDescent="0.15">
      <c r="A15" t="s">
        <v>1503</v>
      </c>
      <c r="C15" s="890"/>
    </row>
    <row r="16" spans="1:5" x14ac:dyDescent="0.15">
      <c r="A16" t="s">
        <v>1536</v>
      </c>
      <c r="C16" s="890"/>
    </row>
    <row r="17" spans="1:3" x14ac:dyDescent="0.15">
      <c r="C17" s="890"/>
    </row>
    <row r="18" spans="1:3" x14ac:dyDescent="0.15">
      <c r="A18" t="s">
        <v>1528</v>
      </c>
      <c r="B18" t="s">
        <v>1511</v>
      </c>
      <c r="C18" s="891">
        <v>17206319.289999999</v>
      </c>
    </row>
    <row r="19" spans="1:3" x14ac:dyDescent="0.15">
      <c r="C19" s="890"/>
    </row>
    <row r="20" spans="1:3" x14ac:dyDescent="0.15">
      <c r="A20" t="s">
        <v>1708</v>
      </c>
      <c r="C20" s="890">
        <v>0</v>
      </c>
    </row>
    <row r="21" spans="1:3" x14ac:dyDescent="0.15">
      <c r="C21" s="890"/>
    </row>
    <row r="22" spans="1:3" x14ac:dyDescent="0.15">
      <c r="A22" t="s">
        <v>1503</v>
      </c>
      <c r="C22" s="890"/>
    </row>
    <row r="23" spans="1:3" x14ac:dyDescent="0.15">
      <c r="A23" t="s">
        <v>1537</v>
      </c>
      <c r="C23" s="890"/>
    </row>
    <row r="24" spans="1:3" x14ac:dyDescent="0.15">
      <c r="C24" s="890"/>
    </row>
    <row r="25" spans="1:3" x14ac:dyDescent="0.15">
      <c r="A25" t="s">
        <v>1534</v>
      </c>
      <c r="B25" t="s">
        <v>1511</v>
      </c>
      <c r="C25" s="891">
        <v>111744211.33</v>
      </c>
    </row>
    <row r="26" spans="1:3" x14ac:dyDescent="0.15">
      <c r="C26" s="890"/>
    </row>
    <row r="27" spans="1:3" x14ac:dyDescent="0.15">
      <c r="A27" t="s">
        <v>1503</v>
      </c>
      <c r="C27" s="890"/>
    </row>
    <row r="28" spans="1:3" x14ac:dyDescent="0.15">
      <c r="A28" t="s">
        <v>1538</v>
      </c>
      <c r="C28" s="890"/>
    </row>
    <row r="29" spans="1:3" x14ac:dyDescent="0.15">
      <c r="C29" s="890"/>
    </row>
    <row r="30" spans="1:3" x14ac:dyDescent="0.15">
      <c r="A30" t="s">
        <v>1270</v>
      </c>
      <c r="B30" t="s">
        <v>1511</v>
      </c>
      <c r="C30" s="964">
        <v>93281164.909999967</v>
      </c>
    </row>
    <row r="31" spans="1:3" x14ac:dyDescent="0.15">
      <c r="A31" t="s">
        <v>1271</v>
      </c>
      <c r="B31" t="s">
        <v>1511</v>
      </c>
      <c r="C31" s="891">
        <v>6736144.6099999994</v>
      </c>
    </row>
    <row r="32" spans="1:3" x14ac:dyDescent="0.15">
      <c r="C32" s="890"/>
    </row>
    <row r="33" spans="1:3" x14ac:dyDescent="0.15">
      <c r="C33" s="890"/>
    </row>
    <row r="34" spans="1:3" x14ac:dyDescent="0.15">
      <c r="A34" s="714" t="s">
        <v>1539</v>
      </c>
      <c r="B34" s="714"/>
      <c r="C34" s="891"/>
    </row>
    <row r="35" spans="1:3" x14ac:dyDescent="0.15">
      <c r="A35" s="714"/>
      <c r="B35" s="714"/>
      <c r="C35" s="1103"/>
    </row>
    <row r="36" spans="1:3" x14ac:dyDescent="0.15">
      <c r="A36" s="714" t="s">
        <v>1540</v>
      </c>
      <c r="B36" s="714" t="s">
        <v>1511</v>
      </c>
      <c r="C36" s="1104">
        <v>192713</v>
      </c>
    </row>
    <row r="37" spans="1:3" x14ac:dyDescent="0.15">
      <c r="A37" s="714" t="s">
        <v>1541</v>
      </c>
      <c r="B37" s="714"/>
      <c r="C37" s="1104">
        <v>147314</v>
      </c>
    </row>
    <row r="38" spans="1:3" x14ac:dyDescent="0.15">
      <c r="A38" s="714" t="s">
        <v>1542</v>
      </c>
      <c r="B38" s="714"/>
      <c r="C38" s="1104">
        <v>0</v>
      </c>
    </row>
    <row r="39" spans="1:3" x14ac:dyDescent="0.15">
      <c r="A39" s="714" t="s">
        <v>1543</v>
      </c>
      <c r="B39" s="714"/>
      <c r="C39" s="1104">
        <v>0</v>
      </c>
    </row>
    <row r="40" spans="1:3" x14ac:dyDescent="0.15">
      <c r="A40" s="714" t="s">
        <v>1544</v>
      </c>
      <c r="B40" s="714"/>
      <c r="C40" s="1104">
        <v>343888</v>
      </c>
    </row>
    <row r="41" spans="1:3" x14ac:dyDescent="0.15">
      <c r="C41" s="888"/>
    </row>
    <row r="42" spans="1:3" x14ac:dyDescent="0.15">
      <c r="A42" t="s">
        <v>1545</v>
      </c>
      <c r="B42" t="s">
        <v>1511</v>
      </c>
      <c r="C42" s="1104">
        <v>467902.91</v>
      </c>
    </row>
    <row r="43" spans="1:3" x14ac:dyDescent="0.15">
      <c r="C43" s="89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M30"/>
  <sheetViews>
    <sheetView zoomScaleNormal="100" workbookViewId="0">
      <selection activeCell="E25" sqref="E25"/>
    </sheetView>
  </sheetViews>
  <sheetFormatPr defaultColWidth="9.83203125" defaultRowHeight="10.5" x14ac:dyDescent="0.15"/>
  <cols>
    <col min="1" max="1" width="7.83203125" customWidth="1"/>
    <col min="2" max="2" width="3.83203125" customWidth="1"/>
    <col min="3" max="3" width="49.5" bestFit="1" customWidth="1"/>
    <col min="4" max="4" width="3.83203125" customWidth="1"/>
    <col min="5" max="5" width="39.1640625" bestFit="1" customWidth="1"/>
    <col min="6" max="6" width="3.83203125" customWidth="1"/>
    <col min="7" max="7" width="19.83203125" customWidth="1"/>
    <col min="8" max="8" width="3.83203125" customWidth="1"/>
    <col min="9" max="9" width="16.83203125" customWidth="1"/>
    <col min="10" max="10" width="18.83203125" customWidth="1"/>
    <col min="11" max="11" width="3.83203125" customWidth="1"/>
    <col min="12" max="12" width="18.33203125" customWidth="1"/>
    <col min="13" max="13" width="13.83203125" customWidth="1"/>
  </cols>
  <sheetData>
    <row r="1" spans="1:13" ht="12.75" x14ac:dyDescent="0.2">
      <c r="A1" s="1408" t="s">
        <v>993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91"/>
    </row>
    <row r="2" spans="1:13" ht="12.75" x14ac:dyDescent="0.2">
      <c r="A2" s="1391" t="str">
        <f>Input!C4</f>
        <v>CASE NO. 2017-xxxxx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91"/>
    </row>
    <row r="3" spans="1:13" ht="12.75" x14ac:dyDescent="0.2">
      <c r="A3" s="1408" t="s">
        <v>966</v>
      </c>
      <c r="B3" s="1408"/>
      <c r="C3" s="1408"/>
      <c r="D3" s="1408"/>
      <c r="E3" s="1408"/>
      <c r="F3" s="1408"/>
      <c r="G3" s="1408"/>
      <c r="H3" s="1408"/>
      <c r="I3" s="1408"/>
      <c r="J3" s="1408"/>
      <c r="K3" s="1408"/>
      <c r="L3" s="1408"/>
      <c r="M3" s="91"/>
    </row>
    <row r="4" spans="1:13" ht="12.75" x14ac:dyDescent="0.2">
      <c r="A4" s="1391" t="str">
        <f>Input!C9</f>
        <v>FOR THE HISTORIC PERIOD DECEMBER 31, 2017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91"/>
    </row>
    <row r="5" spans="1:13" ht="12.75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ht="12.75" x14ac:dyDescent="0.2">
      <c r="A6" s="112" t="s">
        <v>839</v>
      </c>
      <c r="B6" s="90"/>
      <c r="C6" s="90"/>
      <c r="D6" s="90"/>
      <c r="E6" s="90"/>
      <c r="F6" s="90"/>
      <c r="G6" s="90"/>
      <c r="H6" s="90"/>
      <c r="I6" s="90"/>
      <c r="J6" s="91"/>
      <c r="K6" s="90"/>
      <c r="L6" s="119" t="s">
        <v>320</v>
      </c>
      <c r="M6" s="91"/>
    </row>
    <row r="7" spans="1:13" ht="12.75" x14ac:dyDescent="0.2">
      <c r="A7" s="112" t="s">
        <v>490</v>
      </c>
      <c r="B7" s="90"/>
      <c r="C7" s="90"/>
      <c r="D7" s="90"/>
      <c r="E7" s="90"/>
      <c r="F7" s="90"/>
      <c r="G7" s="90"/>
      <c r="H7" s="90"/>
      <c r="I7" s="90"/>
      <c r="J7" s="91"/>
      <c r="K7" s="90"/>
      <c r="L7" s="119" t="s">
        <v>491</v>
      </c>
      <c r="M7" s="91"/>
    </row>
    <row r="8" spans="1:13" ht="12.75" x14ac:dyDescent="0.2">
      <c r="A8" s="120" t="s">
        <v>840</v>
      </c>
      <c r="B8" s="121"/>
      <c r="C8" s="121"/>
      <c r="D8" s="121"/>
      <c r="E8" s="121"/>
      <c r="F8" s="121"/>
      <c r="G8" s="121"/>
      <c r="H8" s="121"/>
      <c r="I8" s="122"/>
      <c r="J8" s="346"/>
      <c r="K8" s="122"/>
      <c r="L8" s="123" t="str">
        <f>Input!E27</f>
        <v>WITNESS:  C. Y. LAI</v>
      </c>
      <c r="M8" s="91"/>
    </row>
    <row r="9" spans="1:13" ht="12.75" x14ac:dyDescent="0.2">
      <c r="A9" s="90"/>
      <c r="B9" s="90"/>
      <c r="C9" s="90"/>
      <c r="D9" s="90"/>
      <c r="E9" s="113" t="s">
        <v>321</v>
      </c>
      <c r="F9" s="90"/>
      <c r="G9" s="90"/>
      <c r="H9" s="90"/>
      <c r="I9" s="90"/>
      <c r="J9" s="90"/>
      <c r="K9" s="90"/>
      <c r="L9" s="90"/>
      <c r="M9" s="91"/>
    </row>
    <row r="10" spans="1:13" ht="12.75" x14ac:dyDescent="0.2">
      <c r="A10" s="113" t="s">
        <v>493</v>
      </c>
      <c r="B10" s="90"/>
      <c r="C10" s="112" t="s">
        <v>322</v>
      </c>
      <c r="D10" s="90"/>
      <c r="E10" s="113" t="s">
        <v>323</v>
      </c>
      <c r="F10" s="90"/>
      <c r="G10" s="113" t="s">
        <v>1232</v>
      </c>
      <c r="H10" s="90"/>
      <c r="I10" s="113" t="s">
        <v>525</v>
      </c>
      <c r="J10" s="113" t="s">
        <v>523</v>
      </c>
      <c r="K10" s="90"/>
      <c r="L10" s="113" t="s">
        <v>523</v>
      </c>
      <c r="M10" s="91"/>
    </row>
    <row r="11" spans="1:13" ht="12.75" x14ac:dyDescent="0.2">
      <c r="A11" s="124" t="s">
        <v>496</v>
      </c>
      <c r="B11" s="121"/>
      <c r="C11" s="120" t="s">
        <v>324</v>
      </c>
      <c r="D11" s="121"/>
      <c r="E11" s="124" t="s">
        <v>1600</v>
      </c>
      <c r="F11" s="121"/>
      <c r="G11" s="124" t="s">
        <v>1236</v>
      </c>
      <c r="H11" s="121"/>
      <c r="I11" s="124" t="s">
        <v>982</v>
      </c>
      <c r="J11" s="124" t="s">
        <v>983</v>
      </c>
      <c r="K11" s="121"/>
      <c r="L11" s="124" t="s">
        <v>1248</v>
      </c>
      <c r="M11" s="91"/>
    </row>
    <row r="12" spans="1:13" ht="12.75" x14ac:dyDescent="0.2">
      <c r="A12" s="90"/>
      <c r="B12" s="90"/>
      <c r="C12" s="90"/>
      <c r="D12" s="90"/>
      <c r="E12" s="90"/>
      <c r="F12" s="90"/>
      <c r="G12" s="90"/>
      <c r="H12" s="90"/>
      <c r="I12" s="113" t="s">
        <v>500</v>
      </c>
      <c r="J12" s="90"/>
      <c r="K12" s="90"/>
      <c r="L12" s="113" t="s">
        <v>500</v>
      </c>
      <c r="M12" s="91"/>
    </row>
    <row r="13" spans="1:13" ht="12.75" x14ac:dyDescent="0.2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12.75" x14ac:dyDescent="0.2">
      <c r="A14" s="113">
        <v>1</v>
      </c>
      <c r="B14" s="90"/>
      <c r="C14" s="112" t="s">
        <v>325</v>
      </c>
      <c r="D14" s="90"/>
      <c r="E14" s="112" t="s">
        <v>326</v>
      </c>
      <c r="F14" s="90"/>
      <c r="G14" s="113" t="s">
        <v>892</v>
      </c>
      <c r="H14" s="90"/>
      <c r="I14" s="129" t="e">
        <f>'WC Comp 1-8 O&amp;M Exp  B-5.2'!I29</f>
        <v>#REF!</v>
      </c>
      <c r="J14" s="113" t="s">
        <v>327</v>
      </c>
      <c r="K14" s="90"/>
      <c r="L14" s="128" t="e">
        <f>I14</f>
        <v>#REF!</v>
      </c>
      <c r="M14" s="91"/>
    </row>
    <row r="15" spans="1:13" ht="12.75" x14ac:dyDescent="0.2">
      <c r="A15" s="90"/>
      <c r="B15" s="90"/>
      <c r="C15" s="90"/>
      <c r="D15" s="90"/>
      <c r="E15" s="90"/>
      <c r="F15" s="128"/>
      <c r="G15" s="347"/>
      <c r="H15" s="128"/>
      <c r="I15" s="128"/>
      <c r="J15" s="128"/>
      <c r="K15" s="90"/>
      <c r="L15" s="128"/>
      <c r="M15" s="91"/>
    </row>
    <row r="16" spans="1:13" ht="12.75" x14ac:dyDescent="0.2">
      <c r="A16" s="113">
        <f>A14+1</f>
        <v>2</v>
      </c>
      <c r="B16" s="90"/>
      <c r="C16" s="112" t="s">
        <v>328</v>
      </c>
      <c r="D16" s="90"/>
      <c r="E16" s="112" t="s">
        <v>329</v>
      </c>
      <c r="F16" s="128"/>
      <c r="G16" s="113" t="s">
        <v>894</v>
      </c>
      <c r="H16" s="128"/>
      <c r="I16" s="129">
        <f>'WC Comp 13 Mon Avg Bal B-5.1'!E14</f>
        <v>0</v>
      </c>
      <c r="J16" s="128"/>
      <c r="K16" s="90"/>
      <c r="L16" s="128">
        <f>I16</f>
        <v>0</v>
      </c>
      <c r="M16" s="91"/>
    </row>
    <row r="17" spans="1:13" ht="12.75" x14ac:dyDescent="0.2">
      <c r="A17" s="90"/>
      <c r="B17" s="90"/>
      <c r="C17" s="90"/>
      <c r="D17" s="90"/>
      <c r="E17" s="90"/>
      <c r="F17" s="128"/>
      <c r="G17" s="90"/>
      <c r="H17" s="90"/>
      <c r="I17" s="128"/>
      <c r="J17" s="128"/>
      <c r="K17" s="90"/>
      <c r="L17" s="128"/>
      <c r="M17" s="91"/>
    </row>
    <row r="18" spans="1:13" ht="12.75" x14ac:dyDescent="0.2">
      <c r="A18" s="113">
        <f>A16+1</f>
        <v>3</v>
      </c>
      <c r="B18" s="90"/>
      <c r="C18" s="112" t="s">
        <v>330</v>
      </c>
      <c r="D18" s="90"/>
      <c r="E18" s="112" t="s">
        <v>329</v>
      </c>
      <c r="F18" s="128"/>
      <c r="G18" s="113" t="s">
        <v>894</v>
      </c>
      <c r="H18" s="128"/>
      <c r="I18" s="129">
        <f>'WC Comp 13 Mon Avg Bal B-5.1'!E16</f>
        <v>54354</v>
      </c>
      <c r="J18" s="90"/>
      <c r="K18" s="90"/>
      <c r="L18" s="128">
        <f>I18</f>
        <v>54354</v>
      </c>
      <c r="M18" s="91"/>
    </row>
    <row r="19" spans="1:13" ht="12.75" x14ac:dyDescent="0.2">
      <c r="A19" s="90"/>
      <c r="B19" s="90"/>
      <c r="C19" s="90"/>
      <c r="D19" s="90"/>
      <c r="E19" s="90"/>
      <c r="F19" s="128"/>
      <c r="G19" s="347"/>
      <c r="H19" s="128"/>
      <c r="I19" s="128"/>
      <c r="J19" s="128"/>
      <c r="K19" s="90"/>
      <c r="L19" s="128"/>
      <c r="M19" s="91"/>
    </row>
    <row r="20" spans="1:13" ht="12.75" x14ac:dyDescent="0.2">
      <c r="A20" s="113">
        <f>A18+1</f>
        <v>4</v>
      </c>
      <c r="B20" s="90"/>
      <c r="C20" s="112" t="s">
        <v>331</v>
      </c>
      <c r="D20" s="90"/>
      <c r="E20" s="112" t="s">
        <v>329</v>
      </c>
      <c r="F20" s="128"/>
      <c r="G20" s="113" t="s">
        <v>894</v>
      </c>
      <c r="H20" s="128"/>
      <c r="I20" s="129">
        <f>'WC Comp 13 Mon Avg Bal B-5.1'!E18</f>
        <v>48234292</v>
      </c>
      <c r="J20" s="128"/>
      <c r="K20" s="90"/>
      <c r="L20" s="128">
        <f>I20</f>
        <v>48234292</v>
      </c>
      <c r="M20" s="91"/>
    </row>
    <row r="21" spans="1:13" ht="12.75" x14ac:dyDescent="0.2">
      <c r="A21" s="90"/>
      <c r="B21" s="90"/>
      <c r="C21" s="90"/>
      <c r="D21" s="90"/>
      <c r="E21" s="90"/>
      <c r="F21" s="128"/>
      <c r="G21" s="347"/>
      <c r="H21" s="128"/>
      <c r="I21" s="128"/>
      <c r="J21" s="128"/>
      <c r="K21" s="90"/>
      <c r="L21" s="128"/>
      <c r="M21" s="91"/>
    </row>
    <row r="22" spans="1:13" ht="12.75" x14ac:dyDescent="0.2">
      <c r="A22" s="113">
        <f>A20+1</f>
        <v>5</v>
      </c>
      <c r="B22" s="90"/>
      <c r="C22" s="112" t="s">
        <v>332</v>
      </c>
      <c r="D22" s="90"/>
      <c r="E22" s="112" t="s">
        <v>329</v>
      </c>
      <c r="F22" s="128"/>
      <c r="G22" s="113" t="s">
        <v>894</v>
      </c>
      <c r="H22" s="128"/>
      <c r="I22" s="130">
        <f>'WC Comp 13 Mon Avg Bal B-5.1'!E20</f>
        <v>376377</v>
      </c>
      <c r="J22" s="128"/>
      <c r="K22" s="90"/>
      <c r="L22" s="348">
        <f>I22</f>
        <v>376377</v>
      </c>
      <c r="M22" s="91"/>
    </row>
    <row r="23" spans="1:13" ht="12.75" x14ac:dyDescent="0.2">
      <c r="A23" s="90"/>
      <c r="B23" s="90"/>
      <c r="C23" s="90"/>
      <c r="D23" s="90"/>
      <c r="E23" s="90"/>
      <c r="F23" s="128"/>
      <c r="G23" s="347"/>
      <c r="H23" s="128"/>
      <c r="I23" s="128"/>
      <c r="J23" s="128"/>
      <c r="K23" s="90"/>
      <c r="L23" s="128"/>
      <c r="M23" s="91"/>
    </row>
    <row r="24" spans="1:13" ht="13.5" thickBot="1" x14ac:dyDescent="0.25">
      <c r="A24" s="113">
        <f>A22+1</f>
        <v>6</v>
      </c>
      <c r="B24" s="90"/>
      <c r="C24" s="112" t="s">
        <v>333</v>
      </c>
      <c r="D24" s="90"/>
      <c r="E24" s="90"/>
      <c r="F24" s="128"/>
      <c r="G24" s="90"/>
      <c r="H24" s="128"/>
      <c r="I24" s="349" t="e">
        <f>SUM(I14:I22)</f>
        <v>#REF!</v>
      </c>
      <c r="J24" s="128"/>
      <c r="K24" s="90"/>
      <c r="L24" s="349" t="e">
        <f>SUM(L14:L22)</f>
        <v>#REF!</v>
      </c>
      <c r="M24" s="91"/>
    </row>
    <row r="25" spans="1:13" ht="13.5" thickTop="1" x14ac:dyDescent="0.2">
      <c r="A25" s="90"/>
      <c r="B25" s="90"/>
      <c r="C25" s="90"/>
      <c r="D25" s="90"/>
      <c r="E25" s="90"/>
      <c r="F25" s="128"/>
      <c r="G25" s="347"/>
      <c r="H25" s="128"/>
      <c r="I25" s="128"/>
      <c r="J25" s="128"/>
      <c r="K25" s="90"/>
      <c r="L25" s="128"/>
      <c r="M25" s="91"/>
    </row>
    <row r="26" spans="1:13" ht="11.25" x14ac:dyDescent="0.2">
      <c r="A26" s="91"/>
      <c r="B26" s="91"/>
      <c r="C26" s="91"/>
      <c r="D26" s="91"/>
      <c r="E26" s="91"/>
      <c r="F26" s="350"/>
      <c r="G26" s="91"/>
      <c r="H26" s="350"/>
      <c r="I26" s="350"/>
      <c r="J26" s="350"/>
      <c r="K26" s="91"/>
      <c r="L26" s="350"/>
      <c r="M26" s="91"/>
    </row>
    <row r="27" spans="1:13" ht="11.25" x14ac:dyDescent="0.2">
      <c r="A27" s="91"/>
      <c r="B27" s="91"/>
      <c r="C27" s="91"/>
      <c r="D27" s="91"/>
      <c r="E27" s="91"/>
      <c r="F27" s="350"/>
      <c r="G27" s="351"/>
      <c r="H27" s="350"/>
      <c r="I27" s="350"/>
      <c r="J27" s="350"/>
      <c r="K27" s="91"/>
      <c r="L27" s="350"/>
      <c r="M27" s="91"/>
    </row>
    <row r="28" spans="1:13" ht="11.25" x14ac:dyDescent="0.2">
      <c r="A28" s="91"/>
      <c r="B28" s="91"/>
      <c r="C28" s="91"/>
      <c r="D28" s="91"/>
      <c r="E28" s="91"/>
      <c r="F28" s="350"/>
      <c r="G28" s="91"/>
      <c r="H28" s="350"/>
      <c r="I28" s="350"/>
      <c r="J28" s="350"/>
      <c r="K28" s="91"/>
      <c r="L28" s="350"/>
      <c r="M28" s="91"/>
    </row>
    <row r="29" spans="1:13" ht="11.25" x14ac:dyDescent="0.2">
      <c r="A29" s="91"/>
      <c r="B29" s="91"/>
      <c r="C29" s="91"/>
      <c r="D29" s="91"/>
      <c r="E29" s="91"/>
      <c r="F29" s="350"/>
      <c r="G29" s="351"/>
      <c r="H29" s="350"/>
      <c r="I29" s="350"/>
      <c r="J29" s="350"/>
      <c r="K29" s="91"/>
      <c r="L29" s="350"/>
      <c r="M29" s="91"/>
    </row>
    <row r="30" spans="1:13" ht="11.25" x14ac:dyDescent="0.2">
      <c r="A30" s="91"/>
      <c r="B30" s="91"/>
      <c r="C30" s="91"/>
      <c r="D30" s="91"/>
      <c r="E30" s="91"/>
      <c r="F30" s="350"/>
      <c r="G30" s="91"/>
      <c r="H30" s="350"/>
      <c r="I30" s="350"/>
      <c r="J30" s="350"/>
      <c r="K30" s="91"/>
      <c r="L30" s="350"/>
      <c r="M30" s="91"/>
    </row>
  </sheetData>
  <mergeCells count="4">
    <mergeCell ref="A1:L1"/>
    <mergeCell ref="A2:L2"/>
    <mergeCell ref="A3:L3"/>
    <mergeCell ref="A4:L4"/>
  </mergeCells>
  <phoneticPr fontId="0" type="noConversion"/>
  <printOptions horizontalCentered="1"/>
  <pageMargins left="0.25" right="0.25" top="1" bottom="0.75" header="0.5" footer="0.5"/>
  <pageSetup scale="8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P31"/>
  <sheetViews>
    <sheetView zoomScaleNormal="100" workbookViewId="0">
      <selection activeCell="E25" sqref="E25"/>
    </sheetView>
  </sheetViews>
  <sheetFormatPr defaultColWidth="9.83203125" defaultRowHeight="10.5" x14ac:dyDescent="0.15"/>
  <cols>
    <col min="1" max="1" width="5.83203125" customWidth="1"/>
    <col min="2" max="2" width="2.83203125" customWidth="1"/>
    <col min="3" max="3" width="55.5" bestFit="1" customWidth="1"/>
    <col min="4" max="4" width="2.83203125" customWidth="1"/>
    <col min="5" max="5" width="14.6640625" bestFit="1" customWidth="1"/>
    <col min="6" max="6" width="2.83203125" customWidth="1"/>
    <col min="7" max="7" width="17.83203125" customWidth="1"/>
    <col min="8" max="8" width="2.83203125" customWidth="1"/>
    <col min="9" max="9" width="15.83203125" customWidth="1"/>
    <col min="10" max="10" width="2.83203125" customWidth="1"/>
    <col min="11" max="11" width="14.83203125" bestFit="1" customWidth="1"/>
    <col min="12" max="12" width="2.83203125" customWidth="1"/>
    <col min="13" max="13" width="19.5" customWidth="1"/>
    <col min="14" max="14" width="2.83203125" customWidth="1"/>
    <col min="15" max="15" width="23.33203125" customWidth="1"/>
  </cols>
  <sheetData>
    <row r="1" spans="1:16" ht="12.75" x14ac:dyDescent="0.2">
      <c r="A1" s="1408" t="s">
        <v>477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1408"/>
      <c r="N1" s="1408"/>
      <c r="O1" s="1408"/>
      <c r="P1" s="91"/>
    </row>
    <row r="2" spans="1:16" ht="12.75" x14ac:dyDescent="0.2">
      <c r="A2" s="1391" t="str">
        <f>Input!C4</f>
        <v>CASE NO. 2017-xxxxx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  <c r="N2" s="1391"/>
      <c r="O2" s="1391"/>
      <c r="P2" s="91"/>
    </row>
    <row r="3" spans="1:16" ht="12.75" x14ac:dyDescent="0.2">
      <c r="A3" s="1408" t="s">
        <v>968</v>
      </c>
      <c r="B3" s="1408"/>
      <c r="C3" s="1408"/>
      <c r="D3" s="1408"/>
      <c r="E3" s="1408"/>
      <c r="F3" s="1408"/>
      <c r="G3" s="1408"/>
      <c r="H3" s="1408"/>
      <c r="I3" s="1408"/>
      <c r="J3" s="1408"/>
      <c r="K3" s="1408"/>
      <c r="L3" s="1408"/>
      <c r="M3" s="1408"/>
      <c r="N3" s="1408"/>
      <c r="O3" s="1408"/>
      <c r="P3" s="91"/>
    </row>
    <row r="4" spans="1:16" ht="12.75" x14ac:dyDescent="0.2">
      <c r="A4" s="1391" t="str">
        <f>Input!C7</f>
        <v>AS OF DECEMBER 31, 2017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1391"/>
      <c r="N4" s="1391"/>
      <c r="O4" s="1391"/>
      <c r="P4" s="91"/>
    </row>
    <row r="5" spans="1:16" ht="12.75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</row>
    <row r="6" spans="1:16" ht="12.75" x14ac:dyDescent="0.2">
      <c r="A6" s="112" t="s">
        <v>839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90"/>
      <c r="O6" s="119" t="s">
        <v>334</v>
      </c>
      <c r="P6" s="91"/>
    </row>
    <row r="7" spans="1:16" ht="12.75" x14ac:dyDescent="0.2">
      <c r="A7" s="112" t="s">
        <v>490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  <c r="N7" s="90"/>
      <c r="O7" s="119" t="s">
        <v>491</v>
      </c>
      <c r="P7" s="91"/>
    </row>
    <row r="8" spans="1:16" ht="12.75" x14ac:dyDescent="0.2">
      <c r="A8" s="120" t="s">
        <v>336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346"/>
      <c r="N8" s="122"/>
      <c r="O8" s="123" t="str">
        <f>Input!E27</f>
        <v>WITNESS:  C. Y. LAI</v>
      </c>
      <c r="P8" s="91"/>
    </row>
    <row r="9" spans="1:16" ht="12.75" x14ac:dyDescent="0.2">
      <c r="A9" s="90"/>
      <c r="B9" s="90"/>
      <c r="C9" s="90"/>
      <c r="D9" s="90"/>
      <c r="E9" s="121"/>
      <c r="F9" s="121"/>
      <c r="G9" s="124" t="s">
        <v>337</v>
      </c>
      <c r="H9" s="121"/>
      <c r="I9" s="121"/>
      <c r="J9" s="90"/>
      <c r="K9" s="121"/>
      <c r="L9" s="121"/>
      <c r="M9" s="124" t="s">
        <v>338</v>
      </c>
      <c r="N9" s="121"/>
      <c r="O9" s="121"/>
      <c r="P9" s="91"/>
    </row>
    <row r="10" spans="1:16" ht="12.75" x14ac:dyDescent="0.2">
      <c r="A10" s="113" t="s">
        <v>493</v>
      </c>
      <c r="B10" s="90"/>
      <c r="C10" s="90"/>
      <c r="D10" s="90"/>
      <c r="E10" s="113" t="s">
        <v>339</v>
      </c>
      <c r="F10" s="90"/>
      <c r="G10" s="113" t="s">
        <v>523</v>
      </c>
      <c r="H10" s="90"/>
      <c r="I10" s="113" t="s">
        <v>523</v>
      </c>
      <c r="J10" s="90"/>
      <c r="K10" s="113" t="s">
        <v>339</v>
      </c>
      <c r="L10" s="90"/>
      <c r="M10" s="113" t="s">
        <v>523</v>
      </c>
      <c r="N10" s="90"/>
      <c r="O10" s="113" t="s">
        <v>523</v>
      </c>
      <c r="P10" s="91"/>
    </row>
    <row r="11" spans="1:16" ht="12.75" x14ac:dyDescent="0.2">
      <c r="A11" s="124" t="s">
        <v>496</v>
      </c>
      <c r="B11" s="121"/>
      <c r="C11" s="120" t="s">
        <v>480</v>
      </c>
      <c r="D11" s="121"/>
      <c r="E11" s="124" t="s">
        <v>982</v>
      </c>
      <c r="F11" s="121"/>
      <c r="G11" s="124" t="s">
        <v>983</v>
      </c>
      <c r="H11" s="121"/>
      <c r="I11" s="124" t="s">
        <v>1248</v>
      </c>
      <c r="J11" s="121"/>
      <c r="K11" s="124" t="s">
        <v>982</v>
      </c>
      <c r="L11" s="121"/>
      <c r="M11" s="124" t="s">
        <v>983</v>
      </c>
      <c r="N11" s="121"/>
      <c r="O11" s="124" t="s">
        <v>1248</v>
      </c>
      <c r="P11" s="91"/>
    </row>
    <row r="12" spans="1:16" ht="12.75" x14ac:dyDescent="0.2">
      <c r="A12" s="90"/>
      <c r="B12" s="90"/>
      <c r="C12" s="90"/>
      <c r="D12" s="90"/>
      <c r="E12" s="113" t="s">
        <v>500</v>
      </c>
      <c r="F12" s="90"/>
      <c r="G12" s="90"/>
      <c r="H12" s="90"/>
      <c r="I12" s="113" t="s">
        <v>500</v>
      </c>
      <c r="J12" s="90"/>
      <c r="K12" s="113" t="s">
        <v>500</v>
      </c>
      <c r="L12" s="90"/>
      <c r="M12" s="90"/>
      <c r="N12" s="90"/>
      <c r="O12" s="113" t="s">
        <v>500</v>
      </c>
      <c r="P12" s="91"/>
    </row>
    <row r="13" spans="1:16" ht="12.75" x14ac:dyDescent="0.2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</row>
    <row r="14" spans="1:16" ht="12.75" x14ac:dyDescent="0.2">
      <c r="A14" s="113">
        <v>1</v>
      </c>
      <c r="B14" s="90"/>
      <c r="C14" s="352" t="s">
        <v>328</v>
      </c>
      <c r="D14" s="90"/>
      <c r="E14" s="726">
        <v>0</v>
      </c>
      <c r="F14" s="90"/>
      <c r="G14" s="113" t="s">
        <v>327</v>
      </c>
      <c r="H14" s="90"/>
      <c r="I14" s="128">
        <f>E14</f>
        <v>0</v>
      </c>
      <c r="J14" s="90"/>
      <c r="K14" s="128">
        <v>0</v>
      </c>
      <c r="L14" s="128"/>
      <c r="M14" s="113" t="s">
        <v>327</v>
      </c>
      <c r="N14" s="90"/>
      <c r="O14" s="128">
        <f>K14</f>
        <v>0</v>
      </c>
      <c r="P14" s="91"/>
    </row>
    <row r="15" spans="1:16" ht="12.75" x14ac:dyDescent="0.2">
      <c r="A15" s="90"/>
      <c r="B15" s="90"/>
      <c r="C15" s="90"/>
      <c r="D15" s="90"/>
      <c r="E15" s="90"/>
      <c r="F15" s="128"/>
      <c r="G15" s="347"/>
      <c r="H15" s="128"/>
      <c r="I15" s="128"/>
      <c r="J15" s="128"/>
      <c r="K15" s="128"/>
      <c r="L15" s="128"/>
      <c r="M15" s="347"/>
      <c r="N15" s="90"/>
      <c r="O15" s="128"/>
      <c r="P15" s="91"/>
    </row>
    <row r="16" spans="1:16" ht="12.75" x14ac:dyDescent="0.2">
      <c r="A16" s="113">
        <f>A14+1</f>
        <v>2</v>
      </c>
      <c r="B16" s="90"/>
      <c r="C16" s="352" t="s">
        <v>330</v>
      </c>
      <c r="D16" s="90"/>
      <c r="E16" s="128">
        <f>'WPB-5.1 MIS WC'!I25+'WPB-5.1 MIS WC'!I51</f>
        <v>54354</v>
      </c>
      <c r="F16" s="128"/>
      <c r="G16" s="113" t="s">
        <v>327</v>
      </c>
      <c r="H16" s="128"/>
      <c r="I16" s="128">
        <f>E16</f>
        <v>54354</v>
      </c>
      <c r="J16" s="128"/>
      <c r="K16" s="128">
        <f>'WPB-5.1 MIS WC'!H51</f>
        <v>49765</v>
      </c>
      <c r="L16" s="128"/>
      <c r="M16" s="113" t="s">
        <v>327</v>
      </c>
      <c r="N16" s="90"/>
      <c r="O16" s="128">
        <f>K16</f>
        <v>49765</v>
      </c>
      <c r="P16" s="91"/>
    </row>
    <row r="17" spans="1:16" ht="12.75" x14ac:dyDescent="0.2">
      <c r="A17" s="90"/>
      <c r="B17" s="90"/>
      <c r="C17" s="90"/>
      <c r="D17" s="90"/>
      <c r="E17" s="90"/>
      <c r="F17" s="128"/>
      <c r="G17" s="90"/>
      <c r="H17" s="90"/>
      <c r="I17" s="128"/>
      <c r="J17" s="128"/>
      <c r="K17" s="128"/>
      <c r="L17" s="128"/>
      <c r="M17" s="90"/>
      <c r="N17" s="90"/>
      <c r="O17" s="128"/>
      <c r="P17" s="91"/>
    </row>
    <row r="18" spans="1:16" ht="12.75" x14ac:dyDescent="0.2">
      <c r="A18" s="113">
        <f>A16+1</f>
        <v>3</v>
      </c>
      <c r="B18" s="90"/>
      <c r="C18" s="112" t="s">
        <v>340</v>
      </c>
      <c r="D18" s="90"/>
      <c r="E18" s="128">
        <f>'WPB-5.1 MIS WC'!K143</f>
        <v>48234292</v>
      </c>
      <c r="F18" s="128"/>
      <c r="G18" s="113" t="s">
        <v>327</v>
      </c>
      <c r="H18" s="128"/>
      <c r="I18" s="128">
        <f>E18</f>
        <v>48234292</v>
      </c>
      <c r="J18" s="90"/>
      <c r="K18" s="128">
        <f>'WPB-5.1 MIS WC'!K141</f>
        <v>68403287.064800009</v>
      </c>
      <c r="L18" s="128"/>
      <c r="M18" s="113" t="s">
        <v>327</v>
      </c>
      <c r="N18" s="90"/>
      <c r="O18" s="128">
        <f>K18</f>
        <v>68403287.064800009</v>
      </c>
      <c r="P18" s="91"/>
    </row>
    <row r="19" spans="1:16" ht="12.75" x14ac:dyDescent="0.2">
      <c r="A19" s="90"/>
      <c r="B19" s="90"/>
      <c r="C19" s="90"/>
      <c r="D19" s="90"/>
      <c r="E19" s="90"/>
      <c r="F19" s="128"/>
      <c r="G19" s="347"/>
      <c r="H19" s="128"/>
      <c r="I19" s="128"/>
      <c r="J19" s="128"/>
      <c r="K19" s="128"/>
      <c r="L19" s="128"/>
      <c r="M19" s="347"/>
      <c r="N19" s="90"/>
      <c r="O19" s="128"/>
      <c r="P19" s="91"/>
    </row>
    <row r="20" spans="1:16" ht="12.75" x14ac:dyDescent="0.2">
      <c r="A20" s="113">
        <f>A18+1</f>
        <v>4</v>
      </c>
      <c r="B20" s="90"/>
      <c r="C20" s="112" t="s">
        <v>332</v>
      </c>
      <c r="D20" s="90"/>
      <c r="E20" s="348">
        <f>'WPB-5.1 MIS WC'!I75</f>
        <v>376377</v>
      </c>
      <c r="F20" s="128"/>
      <c r="G20" s="113" t="s">
        <v>327</v>
      </c>
      <c r="H20" s="128"/>
      <c r="I20" s="348">
        <f>E20</f>
        <v>376377</v>
      </c>
      <c r="J20" s="128"/>
      <c r="K20" s="348">
        <f>'WPB-5.1 MIS WC'!H75</f>
        <v>389064</v>
      </c>
      <c r="L20" s="128"/>
      <c r="M20" s="113" t="s">
        <v>327</v>
      </c>
      <c r="N20" s="90"/>
      <c r="O20" s="348">
        <f>K20</f>
        <v>389064</v>
      </c>
      <c r="P20" s="91"/>
    </row>
    <row r="21" spans="1:16" ht="12.75" x14ac:dyDescent="0.2">
      <c r="A21" s="90"/>
      <c r="B21" s="90"/>
      <c r="C21" s="90"/>
      <c r="D21" s="90"/>
      <c r="E21" s="90"/>
      <c r="F21" s="128"/>
      <c r="G21" s="347"/>
      <c r="H21" s="128"/>
      <c r="I21" s="128"/>
      <c r="J21" s="128"/>
      <c r="K21" s="128"/>
      <c r="L21" s="128"/>
      <c r="M21" s="90"/>
      <c r="N21" s="90"/>
      <c r="O21" s="128"/>
      <c r="P21" s="91"/>
    </row>
    <row r="22" spans="1:16" ht="13.5" thickBot="1" x14ac:dyDescent="0.25">
      <c r="A22" s="113">
        <f>A20+1</f>
        <v>5</v>
      </c>
      <c r="B22" s="90"/>
      <c r="C22" s="112" t="s">
        <v>341</v>
      </c>
      <c r="D22" s="90"/>
      <c r="E22" s="349">
        <f>SUM(E14:E20)</f>
        <v>48665023</v>
      </c>
      <c r="F22" s="128"/>
      <c r="G22" s="90"/>
      <c r="H22" s="128"/>
      <c r="I22" s="349">
        <f>SUM(I14:I20)</f>
        <v>48665023</v>
      </c>
      <c r="J22" s="128"/>
      <c r="K22" s="349">
        <f>SUM(K14:K20)</f>
        <v>68842116.064800009</v>
      </c>
      <c r="L22" s="128"/>
      <c r="M22" s="90"/>
      <c r="N22" s="90"/>
      <c r="O22" s="349">
        <f>SUM(O14:O20)</f>
        <v>68842116.064800009</v>
      </c>
      <c r="P22" s="91"/>
    </row>
    <row r="23" spans="1:16" ht="13.5" thickTop="1" x14ac:dyDescent="0.2">
      <c r="A23" s="90"/>
      <c r="B23" s="90"/>
      <c r="C23" s="90"/>
      <c r="D23" s="90"/>
      <c r="E23" s="90"/>
      <c r="F23" s="128"/>
      <c r="G23" s="347"/>
      <c r="H23" s="128"/>
      <c r="I23" s="128"/>
      <c r="J23" s="128"/>
      <c r="K23" s="128"/>
      <c r="L23" s="128"/>
      <c r="M23" s="90"/>
      <c r="N23" s="90"/>
      <c r="O23" s="90"/>
      <c r="P23" s="91"/>
    </row>
    <row r="24" spans="1:16" ht="12.75" x14ac:dyDescent="0.2">
      <c r="A24" s="90"/>
      <c r="B24" s="90"/>
      <c r="C24" s="90"/>
      <c r="D24" s="90"/>
      <c r="E24" s="90"/>
      <c r="F24" s="128"/>
      <c r="G24" s="90"/>
      <c r="H24" s="128"/>
      <c r="I24" s="128"/>
      <c r="J24" s="128"/>
      <c r="K24" s="128"/>
      <c r="L24" s="128"/>
      <c r="M24" s="90"/>
      <c r="N24" s="90"/>
      <c r="O24" s="90"/>
      <c r="P24" s="91"/>
    </row>
    <row r="25" spans="1:16" ht="11.25" x14ac:dyDescent="0.2">
      <c r="A25" s="91"/>
      <c r="B25" s="91"/>
      <c r="C25" s="91"/>
      <c r="D25" s="91"/>
      <c r="E25" s="91"/>
      <c r="F25" s="350"/>
      <c r="G25" s="351"/>
      <c r="H25" s="350"/>
      <c r="I25" s="350"/>
      <c r="J25" s="350"/>
      <c r="K25" s="91"/>
      <c r="L25" s="350"/>
      <c r="M25" s="91"/>
      <c r="N25" s="91"/>
      <c r="O25" s="91"/>
      <c r="P25" s="91"/>
    </row>
    <row r="26" spans="1:16" ht="11.25" x14ac:dyDescent="0.2">
      <c r="A26" s="91"/>
      <c r="B26" s="91"/>
      <c r="C26" s="91"/>
      <c r="D26" s="91"/>
      <c r="E26" s="91"/>
      <c r="F26" s="350"/>
      <c r="G26" s="91"/>
      <c r="H26" s="350"/>
      <c r="I26" s="350"/>
      <c r="J26" s="350"/>
      <c r="K26" s="91"/>
      <c r="L26" s="350"/>
      <c r="M26" s="91"/>
      <c r="N26" s="91"/>
      <c r="O26" s="91"/>
      <c r="P26" s="91"/>
    </row>
    <row r="27" spans="1:16" ht="11.25" x14ac:dyDescent="0.2">
      <c r="A27" s="91"/>
      <c r="B27" s="91"/>
      <c r="C27" s="91"/>
      <c r="D27" s="91"/>
      <c r="E27" s="91"/>
      <c r="F27" s="350"/>
      <c r="G27" s="351"/>
      <c r="H27" s="350"/>
      <c r="I27" s="350"/>
      <c r="J27" s="350"/>
      <c r="K27" s="91"/>
      <c r="L27" s="350"/>
      <c r="M27" s="91"/>
      <c r="N27" s="91"/>
      <c r="O27" s="91"/>
      <c r="P27" s="91"/>
    </row>
    <row r="28" spans="1:16" x14ac:dyDescent="0.15">
      <c r="F28" s="13"/>
      <c r="H28" s="13"/>
      <c r="I28" s="13"/>
      <c r="J28" s="13"/>
      <c r="L28" s="13"/>
    </row>
    <row r="29" spans="1:16" x14ac:dyDescent="0.15">
      <c r="F29" s="13"/>
      <c r="G29" s="47"/>
      <c r="H29" s="13"/>
      <c r="I29" s="13"/>
      <c r="J29" s="13"/>
      <c r="L29" s="13"/>
    </row>
    <row r="30" spans="1:16" x14ac:dyDescent="0.15">
      <c r="F30" s="13"/>
      <c r="H30" s="13"/>
      <c r="I30" s="13"/>
      <c r="J30" s="13"/>
      <c r="L30" s="13"/>
    </row>
    <row r="31" spans="1:16" x14ac:dyDescent="0.15">
      <c r="F31" s="13"/>
      <c r="G31" s="47"/>
      <c r="H31" s="13"/>
      <c r="I31" s="13"/>
      <c r="J31" s="13"/>
      <c r="L31" s="13"/>
    </row>
  </sheetData>
  <mergeCells count="4">
    <mergeCell ref="A1:O1"/>
    <mergeCell ref="A2:O2"/>
    <mergeCell ref="A3:O3"/>
    <mergeCell ref="A4:O4"/>
  </mergeCells>
  <phoneticPr fontId="0" type="noConversion"/>
  <printOptions horizontalCentered="1"/>
  <pageMargins left="0.25" right="0.25" top="1" bottom="0.75" header="0.5" footer="0.5"/>
  <pageSetup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S123"/>
  <sheetViews>
    <sheetView zoomScaleNormal="90" workbookViewId="0">
      <selection activeCell="E25" sqref="E25"/>
    </sheetView>
  </sheetViews>
  <sheetFormatPr defaultColWidth="9.83203125" defaultRowHeight="10.5" x14ac:dyDescent="0.15"/>
  <cols>
    <col min="1" max="1" width="7.83203125" customWidth="1"/>
    <col min="2" max="2" width="3.83203125" customWidth="1"/>
    <col min="3" max="3" width="50.1640625" bestFit="1" customWidth="1"/>
    <col min="4" max="4" width="2.83203125" customWidth="1"/>
    <col min="5" max="5" width="12.83203125" customWidth="1"/>
    <col min="6" max="6" width="2.83203125" customWidth="1"/>
    <col min="7" max="7" width="19.83203125" customWidth="1"/>
    <col min="8" max="8" width="2.83203125" customWidth="1"/>
    <col min="9" max="9" width="19" customWidth="1"/>
    <col min="10" max="10" width="7.83203125" customWidth="1"/>
    <col min="11" max="11" width="8.83203125" customWidth="1"/>
    <col min="12" max="12" width="3.83203125" customWidth="1"/>
    <col min="13" max="13" width="13.83203125" customWidth="1"/>
    <col min="14" max="14" width="3.83203125" customWidth="1"/>
    <col min="15" max="15" width="16.83203125" customWidth="1"/>
    <col min="16" max="17" width="12.6640625" bestFit="1" customWidth="1"/>
    <col min="18" max="18" width="13.33203125" bestFit="1" customWidth="1"/>
    <col min="19" max="19" width="10.6640625" bestFit="1" customWidth="1"/>
  </cols>
  <sheetData>
    <row r="1" spans="1:19" ht="12.75" x14ac:dyDescent="0.2">
      <c r="A1" s="1408" t="s">
        <v>477</v>
      </c>
      <c r="B1" s="1408"/>
      <c r="C1" s="1408"/>
      <c r="D1" s="1408"/>
      <c r="E1" s="1408"/>
      <c r="F1" s="1408"/>
      <c r="G1" s="1408"/>
      <c r="H1" s="1408"/>
      <c r="I1" s="1408"/>
      <c r="J1" s="91"/>
      <c r="K1" s="91"/>
      <c r="L1" s="91"/>
    </row>
    <row r="2" spans="1:19" ht="12.75" x14ac:dyDescent="0.2">
      <c r="A2" s="1391" t="str">
        <f>Input!C4</f>
        <v>CASE NO. 2017-xxxxx</v>
      </c>
      <c r="B2" s="1391"/>
      <c r="C2" s="1391"/>
      <c r="D2" s="1391"/>
      <c r="E2" s="1391"/>
      <c r="F2" s="1391"/>
      <c r="G2" s="1391"/>
      <c r="H2" s="1391"/>
      <c r="I2" s="1391"/>
      <c r="J2" s="91"/>
      <c r="K2" s="91"/>
      <c r="L2" s="91"/>
    </row>
    <row r="3" spans="1:19" ht="12.75" x14ac:dyDescent="0.2">
      <c r="A3" s="1408" t="s">
        <v>970</v>
      </c>
      <c r="B3" s="1408"/>
      <c r="C3" s="1408"/>
      <c r="D3" s="1408"/>
      <c r="E3" s="1408"/>
      <c r="F3" s="1408"/>
      <c r="G3" s="1408"/>
      <c r="H3" s="1408"/>
      <c r="I3" s="1408"/>
      <c r="J3" s="91"/>
      <c r="K3" s="91"/>
      <c r="L3" s="91"/>
    </row>
    <row r="4" spans="1:19" ht="12.75" x14ac:dyDescent="0.2">
      <c r="A4" s="1391" t="str">
        <f>Input!C9</f>
        <v>FOR THE HISTORIC PERIOD DECEMBER 31, 2017</v>
      </c>
      <c r="B4" s="1391"/>
      <c r="C4" s="1391"/>
      <c r="D4" s="1391"/>
      <c r="E4" s="1391"/>
      <c r="F4" s="1391"/>
      <c r="G4" s="1391"/>
      <c r="H4" s="1391"/>
      <c r="I4" s="1391"/>
      <c r="J4" s="91"/>
      <c r="K4" s="91"/>
      <c r="L4" s="91"/>
    </row>
    <row r="5" spans="1:19" ht="12.75" x14ac:dyDescent="0.2">
      <c r="A5" s="90"/>
      <c r="B5" s="90"/>
      <c r="C5" s="90"/>
      <c r="D5" s="90"/>
      <c r="E5" s="90"/>
      <c r="F5" s="90"/>
      <c r="G5" s="90"/>
      <c r="H5" s="90"/>
      <c r="I5" s="90"/>
      <c r="J5" s="91"/>
      <c r="K5" s="91"/>
      <c r="L5" s="91"/>
    </row>
    <row r="6" spans="1:19" ht="12.75" x14ac:dyDescent="0.2">
      <c r="A6" s="112" t="s">
        <v>839</v>
      </c>
      <c r="B6" s="90"/>
      <c r="C6" s="90"/>
      <c r="D6" s="90"/>
      <c r="E6" s="90"/>
      <c r="F6" s="90"/>
      <c r="G6" s="90"/>
      <c r="H6" s="91"/>
      <c r="I6" s="119" t="s">
        <v>342</v>
      </c>
      <c r="J6" s="91"/>
      <c r="K6" s="91"/>
      <c r="L6" s="91"/>
    </row>
    <row r="7" spans="1:19" ht="12.75" x14ac:dyDescent="0.2">
      <c r="A7" s="112" t="s">
        <v>490</v>
      </c>
      <c r="B7" s="90"/>
      <c r="C7" s="90"/>
      <c r="D7" s="90"/>
      <c r="E7" s="90"/>
      <c r="F7" s="90"/>
      <c r="G7" s="90"/>
      <c r="H7" s="91"/>
      <c r="I7" s="119" t="s">
        <v>491</v>
      </c>
      <c r="J7" s="91"/>
      <c r="K7" s="91"/>
      <c r="L7" s="91"/>
    </row>
    <row r="8" spans="1:19" ht="12.75" x14ac:dyDescent="0.2">
      <c r="A8" s="120" t="s">
        <v>343</v>
      </c>
      <c r="B8" s="121"/>
      <c r="C8" s="121"/>
      <c r="D8" s="121"/>
      <c r="E8" s="121"/>
      <c r="F8" s="121"/>
      <c r="G8" s="121"/>
      <c r="H8" s="346"/>
      <c r="I8" s="123" t="str">
        <f>Input!E27</f>
        <v>WITNESS:  C. Y. LAI</v>
      </c>
      <c r="J8" s="91"/>
      <c r="K8" s="91"/>
      <c r="L8" s="91"/>
    </row>
    <row r="9" spans="1:19" ht="12.75" x14ac:dyDescent="0.2">
      <c r="A9" s="113" t="s">
        <v>493</v>
      </c>
      <c r="B9" s="90"/>
      <c r="C9" s="90"/>
      <c r="D9" s="90"/>
      <c r="E9" s="113" t="s">
        <v>339</v>
      </c>
      <c r="F9" s="90"/>
      <c r="G9" s="113" t="s">
        <v>344</v>
      </c>
      <c r="H9" s="90"/>
      <c r="I9" s="113" t="s">
        <v>523</v>
      </c>
      <c r="J9" s="91"/>
      <c r="K9" s="91"/>
      <c r="L9" s="91"/>
    </row>
    <row r="10" spans="1:19" ht="12.75" x14ac:dyDescent="0.2">
      <c r="A10" s="124" t="s">
        <v>496</v>
      </c>
      <c r="B10" s="121"/>
      <c r="C10" s="120" t="s">
        <v>480</v>
      </c>
      <c r="D10" s="121"/>
      <c r="E10" s="124" t="s">
        <v>982</v>
      </c>
      <c r="F10" s="121"/>
      <c r="G10" s="124" t="s">
        <v>983</v>
      </c>
      <c r="H10" s="121"/>
      <c r="I10" s="124" t="s">
        <v>1248</v>
      </c>
      <c r="J10" s="91"/>
      <c r="K10" s="91"/>
      <c r="L10" s="91"/>
    </row>
    <row r="11" spans="1:19" ht="12.75" x14ac:dyDescent="0.2">
      <c r="A11" s="90"/>
      <c r="B11" s="90"/>
      <c r="C11" s="90"/>
      <c r="D11" s="90"/>
      <c r="E11" s="113" t="s">
        <v>532</v>
      </c>
      <c r="F11" s="90"/>
      <c r="G11" s="113" t="s">
        <v>533</v>
      </c>
      <c r="H11" s="90"/>
      <c r="I11" s="113" t="s">
        <v>534</v>
      </c>
      <c r="J11" s="91"/>
      <c r="K11" s="91"/>
      <c r="L11" s="91"/>
    </row>
    <row r="12" spans="1:19" ht="12.75" x14ac:dyDescent="0.2">
      <c r="A12" s="90"/>
      <c r="B12" s="90"/>
      <c r="C12" s="90"/>
      <c r="D12" s="90"/>
      <c r="E12" s="90"/>
      <c r="F12" s="90"/>
      <c r="G12" s="90"/>
      <c r="H12" s="90"/>
      <c r="I12" s="90"/>
      <c r="J12" s="91"/>
      <c r="K12" s="91"/>
      <c r="L12" s="91"/>
    </row>
    <row r="13" spans="1:19" ht="12.75" x14ac:dyDescent="0.2">
      <c r="A13" s="113">
        <v>1</v>
      </c>
      <c r="B13" s="90"/>
      <c r="C13" s="112" t="s">
        <v>325</v>
      </c>
      <c r="D13" s="90"/>
      <c r="E13" s="128"/>
      <c r="F13" s="90"/>
      <c r="G13" s="90"/>
      <c r="H13" s="90"/>
      <c r="I13" s="128"/>
      <c r="J13" s="91"/>
      <c r="K13" s="91"/>
      <c r="L13" s="350"/>
    </row>
    <row r="14" spans="1:19" ht="12.75" x14ac:dyDescent="0.2">
      <c r="A14" s="90"/>
      <c r="B14" s="90"/>
      <c r="C14" s="90"/>
      <c r="D14" s="90"/>
      <c r="E14" s="90"/>
      <c r="F14" s="128"/>
      <c r="G14" s="347"/>
      <c r="H14" s="128"/>
      <c r="I14" s="128"/>
      <c r="J14" s="350"/>
      <c r="K14" s="91"/>
      <c r="L14" s="350"/>
      <c r="O14" s="1278"/>
      <c r="P14" s="1278"/>
      <c r="Q14" s="1278"/>
      <c r="R14" s="1278"/>
      <c r="S14" s="1278"/>
    </row>
    <row r="15" spans="1:19" ht="12.75" x14ac:dyDescent="0.2">
      <c r="A15" s="113">
        <f>A13+1</f>
        <v>2</v>
      </c>
      <c r="B15" s="90"/>
      <c r="C15" s="112" t="s">
        <v>606</v>
      </c>
      <c r="D15" s="90"/>
      <c r="E15" s="1332">
        <f>('Oper Rev&amp;Exp by Accts C2.1p1-2'!J47+'Labor Adj D-2.2'!F20+'Sum Adj  Oper Inc D-1, Sht 1-2'!F93)*0+(293499.84)</f>
        <v>293499.84000000003</v>
      </c>
      <c r="F15" s="90"/>
      <c r="G15" s="973" t="s">
        <v>345</v>
      </c>
      <c r="H15" s="90"/>
      <c r="I15" s="128">
        <f>ROUND(E15*0.125,4)</f>
        <v>36687.480000000003</v>
      </c>
      <c r="J15" s="91"/>
      <c r="K15" s="91" t="s">
        <v>1802</v>
      </c>
      <c r="L15" s="350"/>
      <c r="O15" s="1278"/>
      <c r="P15" s="1278"/>
      <c r="Q15" s="1278"/>
      <c r="R15" s="1278"/>
      <c r="S15" s="1278"/>
    </row>
    <row r="16" spans="1:19" ht="12.75" x14ac:dyDescent="0.2">
      <c r="A16" s="90"/>
      <c r="B16" s="90"/>
      <c r="C16" s="90"/>
      <c r="D16" s="90"/>
      <c r="E16" s="131"/>
      <c r="F16" s="90"/>
      <c r="G16" s="694"/>
      <c r="H16" s="90"/>
      <c r="I16" s="90"/>
      <c r="J16" s="91"/>
      <c r="K16" s="91"/>
      <c r="L16" s="350"/>
      <c r="O16" s="1278"/>
      <c r="P16" s="1278"/>
      <c r="Q16" s="1278"/>
      <c r="R16" s="1278"/>
      <c r="S16" s="1278"/>
    </row>
    <row r="17" spans="1:19" ht="12.75" x14ac:dyDescent="0.2">
      <c r="A17" s="113">
        <f>A15+1</f>
        <v>3</v>
      </c>
      <c r="B17" s="90"/>
      <c r="C17" s="112" t="s">
        <v>565</v>
      </c>
      <c r="D17" s="90"/>
      <c r="E17" s="129" t="e">
        <f>'Attachment CYL - 1'!#REF!</f>
        <v>#REF!</v>
      </c>
      <c r="F17" s="128"/>
      <c r="G17" s="973" t="s">
        <v>345</v>
      </c>
      <c r="H17" s="128"/>
      <c r="I17" s="128" t="e">
        <f>ROUND(E17*0.125,4)</f>
        <v>#REF!</v>
      </c>
      <c r="J17" s="350"/>
      <c r="K17" s="91"/>
      <c r="L17" s="350"/>
      <c r="O17" s="1278"/>
      <c r="P17" s="1278"/>
      <c r="Q17" s="1278"/>
      <c r="R17" s="1278"/>
      <c r="S17" s="1278"/>
    </row>
    <row r="18" spans="1:19" ht="12.75" x14ac:dyDescent="0.2">
      <c r="A18" s="90"/>
      <c r="B18" s="90"/>
      <c r="C18" s="90"/>
      <c r="D18" s="90"/>
      <c r="E18" s="131"/>
      <c r="F18" s="128"/>
      <c r="G18" s="694"/>
      <c r="H18" s="90"/>
      <c r="I18" s="128"/>
      <c r="J18" s="350"/>
      <c r="K18" s="91"/>
      <c r="L18" s="350"/>
      <c r="O18" s="1278"/>
      <c r="P18" s="1278"/>
      <c r="Q18" s="1278"/>
      <c r="R18" s="1278"/>
      <c r="S18" s="1278"/>
    </row>
    <row r="19" spans="1:19" ht="12.75" x14ac:dyDescent="0.2">
      <c r="A19" s="113">
        <f>A17+1</f>
        <v>4</v>
      </c>
      <c r="B19" s="90"/>
      <c r="C19" s="112" t="s">
        <v>346</v>
      </c>
      <c r="D19" s="90"/>
      <c r="E19" s="129" t="e">
        <f>'Attachment CYL - 1'!#REF!</f>
        <v>#REF!</v>
      </c>
      <c r="F19" s="128"/>
      <c r="G19" s="973" t="s">
        <v>345</v>
      </c>
      <c r="H19" s="128"/>
      <c r="I19" s="128" t="e">
        <f>ROUND(E19*0.125,4)</f>
        <v>#REF!</v>
      </c>
      <c r="J19" s="91"/>
      <c r="K19" s="91"/>
      <c r="L19" s="350"/>
      <c r="O19" s="1278"/>
      <c r="P19" s="1278"/>
      <c r="Q19" s="1278"/>
      <c r="R19" s="1278"/>
      <c r="S19" s="1278"/>
    </row>
    <row r="20" spans="1:19" ht="12.75" x14ac:dyDescent="0.2">
      <c r="A20" s="90"/>
      <c r="B20" s="90"/>
      <c r="C20" s="90"/>
      <c r="D20" s="90"/>
      <c r="E20" s="131"/>
      <c r="F20" s="128"/>
      <c r="G20" s="986"/>
      <c r="H20" s="128"/>
      <c r="I20" s="90"/>
      <c r="J20" s="350"/>
      <c r="K20" s="91"/>
      <c r="L20" s="350"/>
      <c r="O20" s="1278"/>
      <c r="P20" s="1278"/>
      <c r="Q20" s="1278"/>
      <c r="R20" s="1278"/>
      <c r="S20" s="1278"/>
    </row>
    <row r="21" spans="1:19" ht="12.75" x14ac:dyDescent="0.2">
      <c r="A21" s="113">
        <f>A19+1</f>
        <v>5</v>
      </c>
      <c r="B21" s="90"/>
      <c r="C21" s="112" t="s">
        <v>347</v>
      </c>
      <c r="D21" s="90"/>
      <c r="E21" s="129" t="e">
        <f>'Attachment CYL - 1'!#REF!</f>
        <v>#REF!</v>
      </c>
      <c r="F21" s="128"/>
      <c r="G21" s="973" t="s">
        <v>345</v>
      </c>
      <c r="H21" s="128"/>
      <c r="I21" s="128" t="e">
        <f>ROUND(E21*0.125,4)</f>
        <v>#REF!</v>
      </c>
      <c r="J21" s="350"/>
      <c r="K21" s="91"/>
      <c r="L21" s="350"/>
      <c r="O21" s="1278"/>
      <c r="P21" s="1278"/>
      <c r="Q21" s="1278"/>
      <c r="R21" s="1278"/>
      <c r="S21" s="1278"/>
    </row>
    <row r="22" spans="1:19" ht="12.75" x14ac:dyDescent="0.2">
      <c r="A22" s="90"/>
      <c r="B22" s="90"/>
      <c r="C22" s="90"/>
      <c r="D22" s="90"/>
      <c r="E22" s="131"/>
      <c r="F22" s="128"/>
      <c r="G22" s="986"/>
      <c r="H22" s="128"/>
      <c r="I22" s="128"/>
      <c r="J22" s="350"/>
      <c r="K22" s="91"/>
      <c r="L22" s="350"/>
      <c r="O22" s="1278"/>
      <c r="P22" s="1278"/>
      <c r="Q22" s="1278"/>
      <c r="R22" s="1278"/>
      <c r="S22" s="1278"/>
    </row>
    <row r="23" spans="1:19" ht="12.75" x14ac:dyDescent="0.2">
      <c r="A23" s="113">
        <f>A21+1</f>
        <v>6</v>
      </c>
      <c r="B23" s="90"/>
      <c r="C23" s="112" t="s">
        <v>348</v>
      </c>
      <c r="D23" s="90"/>
      <c r="E23" s="129" t="e">
        <f>'Attachment CYL - 1'!#REF!</f>
        <v>#REF!</v>
      </c>
      <c r="F23" s="128"/>
      <c r="G23" s="973" t="s">
        <v>345</v>
      </c>
      <c r="H23" s="128"/>
      <c r="I23" s="128" t="e">
        <f>ROUND(E23*0.125,4)</f>
        <v>#REF!</v>
      </c>
      <c r="J23" s="350"/>
      <c r="K23" s="91"/>
      <c r="L23" s="350"/>
      <c r="O23" s="1278"/>
      <c r="P23" s="1278"/>
      <c r="Q23" s="1278"/>
      <c r="R23" s="1278"/>
      <c r="S23" s="1278"/>
    </row>
    <row r="24" spans="1:19" ht="12.75" x14ac:dyDescent="0.2">
      <c r="A24" s="90"/>
      <c r="B24" s="90"/>
      <c r="C24" s="90"/>
      <c r="D24" s="90"/>
      <c r="E24" s="129"/>
      <c r="F24" s="128"/>
      <c r="G24" s="986"/>
      <c r="H24" s="128"/>
      <c r="I24" s="90"/>
      <c r="J24" s="350"/>
      <c r="K24" s="91"/>
      <c r="L24" s="350"/>
      <c r="O24" s="1278"/>
      <c r="P24" s="1278"/>
      <c r="Q24" s="1278"/>
      <c r="R24" s="1278"/>
      <c r="S24" s="1278"/>
    </row>
    <row r="25" spans="1:19" ht="12.75" x14ac:dyDescent="0.2">
      <c r="A25" s="113">
        <f>A23+1</f>
        <v>7</v>
      </c>
      <c r="B25" s="90"/>
      <c r="C25" s="112" t="s">
        <v>349</v>
      </c>
      <c r="D25" s="90"/>
      <c r="E25" s="129" t="e">
        <f>'Attachment CYL - 1'!#REF!</f>
        <v>#REF!</v>
      </c>
      <c r="F25" s="128"/>
      <c r="G25" s="973" t="s">
        <v>345</v>
      </c>
      <c r="H25" s="128"/>
      <c r="I25" s="128" t="e">
        <f>ROUND(E25*0.125,4)</f>
        <v>#REF!</v>
      </c>
      <c r="J25" s="350"/>
      <c r="K25" s="91"/>
      <c r="L25" s="350"/>
      <c r="O25" s="1278"/>
      <c r="P25" s="1278"/>
      <c r="Q25" s="1278"/>
      <c r="R25" s="1278"/>
      <c r="S25" s="1278"/>
    </row>
    <row r="26" spans="1:19" ht="12.75" x14ac:dyDescent="0.2">
      <c r="A26" s="90"/>
      <c r="B26" s="90"/>
      <c r="C26" s="90"/>
      <c r="D26" s="90"/>
      <c r="E26" s="128"/>
      <c r="F26" s="128"/>
      <c r="G26" s="986"/>
      <c r="H26" s="128"/>
      <c r="I26" s="128"/>
      <c r="J26" s="350"/>
      <c r="K26" s="91"/>
      <c r="L26" s="350"/>
      <c r="O26" s="1278"/>
      <c r="P26" s="1278"/>
      <c r="Q26" s="1278"/>
      <c r="R26" s="1278"/>
      <c r="S26" s="1278"/>
    </row>
    <row r="27" spans="1:19" ht="12.75" x14ac:dyDescent="0.2">
      <c r="A27" s="113">
        <f>A25+1</f>
        <v>8</v>
      </c>
      <c r="B27" s="90"/>
      <c r="C27" s="112" t="s">
        <v>350</v>
      </c>
      <c r="D27" s="90"/>
      <c r="E27" s="130" t="e">
        <f>'Attachment CYL - 1'!#REF!</f>
        <v>#REF!</v>
      </c>
      <c r="F27" s="128"/>
      <c r="G27" s="973" t="s">
        <v>345</v>
      </c>
      <c r="H27" s="128"/>
      <c r="I27" s="357" t="e">
        <f>ROUND(E27*0.125,4)</f>
        <v>#REF!</v>
      </c>
      <c r="J27" s="350"/>
      <c r="K27" s="91"/>
      <c r="L27" s="350"/>
    </row>
    <row r="28" spans="1:19" ht="12.75" x14ac:dyDescent="0.2">
      <c r="A28" s="90"/>
      <c r="B28" s="90"/>
      <c r="C28" s="90"/>
      <c r="D28" s="90"/>
      <c r="E28" s="128"/>
      <c r="F28" s="128"/>
      <c r="G28" s="347"/>
      <c r="H28" s="128"/>
      <c r="I28" s="128"/>
      <c r="J28" s="350"/>
      <c r="K28" s="91"/>
      <c r="L28" s="350"/>
    </row>
    <row r="29" spans="1:19" ht="13.5" thickBot="1" x14ac:dyDescent="0.25">
      <c r="A29" s="113">
        <f>A27+1</f>
        <v>9</v>
      </c>
      <c r="B29" s="90"/>
      <c r="C29" s="112" t="s">
        <v>351</v>
      </c>
      <c r="D29" s="90"/>
      <c r="E29" s="349" t="e">
        <f>SUM(E15:E27)</f>
        <v>#REF!</v>
      </c>
      <c r="F29" s="128"/>
      <c r="G29" s="90"/>
      <c r="H29" s="128"/>
      <c r="I29" s="349" t="e">
        <f>SUM(I15:I27)</f>
        <v>#REF!</v>
      </c>
      <c r="J29" s="350"/>
      <c r="K29" s="91"/>
      <c r="L29" s="350"/>
    </row>
    <row r="30" spans="1:19" ht="13.5" thickTop="1" x14ac:dyDescent="0.2">
      <c r="A30" s="90"/>
      <c r="B30" s="90"/>
      <c r="C30" s="90"/>
      <c r="D30" s="90"/>
      <c r="E30" s="90"/>
      <c r="F30" s="128"/>
      <c r="G30" s="347"/>
      <c r="H30" s="128"/>
      <c r="I30" s="128"/>
      <c r="J30" s="350"/>
      <c r="K30" s="91"/>
      <c r="L30" s="350"/>
    </row>
    <row r="31" spans="1:19" ht="12.75" x14ac:dyDescent="0.2">
      <c r="A31" s="90"/>
      <c r="B31" s="90"/>
      <c r="C31" s="90"/>
      <c r="D31" s="90"/>
      <c r="E31" s="90"/>
      <c r="F31" s="128"/>
      <c r="G31" s="90"/>
      <c r="H31" s="128"/>
      <c r="I31" s="128"/>
      <c r="J31" s="350"/>
      <c r="K31" s="91"/>
      <c r="L31" s="91"/>
    </row>
    <row r="32" spans="1:19" ht="11.25" x14ac:dyDescent="0.2">
      <c r="A32" s="91"/>
      <c r="B32" s="91"/>
      <c r="C32" s="91"/>
      <c r="D32" s="91"/>
      <c r="E32" s="91"/>
      <c r="F32" s="350"/>
      <c r="G32" s="91"/>
      <c r="H32" s="350"/>
      <c r="I32" s="350"/>
      <c r="J32" s="350"/>
      <c r="K32" s="91"/>
      <c r="L32" s="350"/>
    </row>
    <row r="33" spans="1:12" ht="11.25" x14ac:dyDescent="0.2">
      <c r="A33" s="91"/>
      <c r="B33" s="91"/>
      <c r="C33" s="91"/>
      <c r="D33" s="91"/>
      <c r="E33" s="91"/>
      <c r="F33" s="350"/>
      <c r="G33" s="91"/>
      <c r="H33" s="350"/>
      <c r="I33" s="350"/>
      <c r="J33" s="350"/>
      <c r="K33" s="91"/>
      <c r="L33" s="91"/>
    </row>
    <row r="34" spans="1:12" ht="11.25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 ht="11.25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12" ht="11.25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1:12" ht="11.25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1:12" ht="11.25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1:12" ht="11.25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2" ht="11.25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11.25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2" ht="11.25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1:12" ht="11.25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1:12" ht="11.25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1:12" ht="11.25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1:12" ht="11.25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1:12" ht="11.25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1.25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1.25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1.25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1.25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1.25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2" ht="11.25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1.25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1.25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1.25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1.25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1.25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1.25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1.25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1.25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1.25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1.25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1.25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1.25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1.25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1.25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1.25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1:12" ht="11.25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2" ht="11.25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1:12" ht="11.25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2" ht="11.25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2" ht="11.25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1:12" ht="11.25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1:12" ht="11.25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1:12" ht="11.25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1:12" ht="11.25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1:12" ht="11.25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1:12" ht="11.25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1:12" ht="11.25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1:12" ht="11.25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1:12" ht="11.25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1:12" ht="11.25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1:12" ht="11.25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1:12" ht="11.25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1:12" ht="11.25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ht="11.25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ht="11.25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ht="11.25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1:12" ht="11.25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ht="11.25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1:12" ht="11.25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ht="11.25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1:12" ht="11.25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ht="11.25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1:12" ht="11.25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1:12" ht="11.25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1:12" ht="11.25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1:12" ht="11.25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1:12" ht="11.25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1:12" ht="11.25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1:12" ht="11.25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1:12" ht="11.25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2" ht="11.25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1:12" ht="11.25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ht="11.25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1:12" ht="11.25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1:12" ht="11.25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1:12" ht="11.25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1:12" ht="11.25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ht="11.25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1:12" ht="11.25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1:12" ht="11.25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1:12" ht="11.25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1:12" ht="11.25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1:12" ht="11.25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1:12" ht="11.25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1:12" ht="11.25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1:12" ht="11.25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1:12" ht="11.25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1:12" ht="11.25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1:12" ht="11.25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1:12" ht="11.25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</sheetData>
  <mergeCells count="4">
    <mergeCell ref="A1:I1"/>
    <mergeCell ref="A2:I2"/>
    <mergeCell ref="A3:I3"/>
    <mergeCell ref="A4:I4"/>
  </mergeCells>
  <phoneticPr fontId="0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1" transitionEvaluation="1" transitionEntry="1"/>
  <dimension ref="A1:P84"/>
  <sheetViews>
    <sheetView topLeftCell="A21" zoomScaleNormal="100" workbookViewId="0">
      <selection activeCell="E25" sqref="E25"/>
    </sheetView>
  </sheetViews>
  <sheetFormatPr defaultColWidth="9.83203125" defaultRowHeight="10.5" x14ac:dyDescent="0.15"/>
  <cols>
    <col min="1" max="1" width="5.83203125" customWidth="1"/>
    <col min="2" max="2" width="2.83203125" customWidth="1"/>
    <col min="3" max="3" width="7.5" customWidth="1"/>
    <col min="4" max="4" width="2.83203125" customWidth="1"/>
    <col min="5" max="5" width="53.5" bestFit="1" customWidth="1"/>
    <col min="6" max="6" width="4" customWidth="1"/>
    <col min="7" max="7" width="12.5" bestFit="1" customWidth="1"/>
    <col min="8" max="8" width="4.1640625" customWidth="1"/>
    <col min="9" max="9" width="15.1640625" bestFit="1" customWidth="1"/>
    <col min="10" max="10" width="4.1640625" customWidth="1"/>
    <col min="11" max="11" width="12.1640625" customWidth="1"/>
    <col min="12" max="12" width="4.1640625" customWidth="1"/>
    <col min="13" max="13" width="15.1640625" customWidth="1"/>
    <col min="14" max="14" width="8" customWidth="1"/>
    <col min="15" max="15" width="23.33203125" customWidth="1"/>
    <col min="16" max="16" width="12.83203125" customWidth="1"/>
  </cols>
  <sheetData>
    <row r="1" spans="1:16" ht="12.75" x14ac:dyDescent="0.2">
      <c r="A1" s="1408" t="s">
        <v>477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1408"/>
    </row>
    <row r="2" spans="1:16" ht="12.75" x14ac:dyDescent="0.2">
      <c r="A2" s="1391" t="str">
        <f>Input!C4</f>
        <v>CASE NO. 2017-xxxxx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</row>
    <row r="3" spans="1:16" ht="12.75" x14ac:dyDescent="0.2">
      <c r="A3" s="1408" t="s">
        <v>971</v>
      </c>
      <c r="B3" s="1408"/>
      <c r="C3" s="1408"/>
      <c r="D3" s="1408"/>
      <c r="E3" s="1408"/>
      <c r="F3" s="1408"/>
      <c r="G3" s="1408"/>
      <c r="H3" s="1408"/>
      <c r="I3" s="1408"/>
      <c r="J3" s="1408"/>
      <c r="K3" s="1408"/>
      <c r="L3" s="1408"/>
      <c r="M3" s="1408"/>
    </row>
    <row r="4" spans="1:16" ht="12.75" x14ac:dyDescent="0.2">
      <c r="A4" s="1391" t="str">
        <f>Input!C6</f>
        <v>TWELVE MONTHS ENDED DECEMBER 31, 2017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1391"/>
    </row>
    <row r="5" spans="1:16" ht="12.75" x14ac:dyDescent="0.2">
      <c r="A5" s="112" t="s">
        <v>839</v>
      </c>
      <c r="B5" s="90"/>
      <c r="C5" s="90"/>
      <c r="D5" s="90"/>
      <c r="E5" s="90"/>
      <c r="F5" s="90"/>
      <c r="G5" s="90"/>
      <c r="H5" s="90"/>
      <c r="I5" s="90"/>
      <c r="J5" s="90"/>
      <c r="K5" s="91"/>
      <c r="L5" s="90"/>
      <c r="M5" s="119" t="s">
        <v>352</v>
      </c>
    </row>
    <row r="6" spans="1:16" ht="12.75" x14ac:dyDescent="0.2">
      <c r="A6" s="112" t="s">
        <v>490</v>
      </c>
      <c r="B6" s="90"/>
      <c r="C6" s="90"/>
      <c r="D6" s="90"/>
      <c r="E6" s="90"/>
      <c r="F6" s="90"/>
      <c r="G6" s="90"/>
      <c r="H6" s="90"/>
      <c r="I6" s="90"/>
      <c r="J6" s="90"/>
      <c r="K6" s="91"/>
      <c r="L6" s="90"/>
      <c r="M6" s="119" t="s">
        <v>491</v>
      </c>
    </row>
    <row r="7" spans="1:16" ht="12.75" x14ac:dyDescent="0.2">
      <c r="A7" s="353" t="s">
        <v>353</v>
      </c>
      <c r="B7" s="122"/>
      <c r="C7" s="122"/>
      <c r="D7" s="122"/>
      <c r="E7" s="122"/>
      <c r="F7" s="121"/>
      <c r="G7" s="121"/>
      <c r="H7" s="121"/>
      <c r="I7" s="121"/>
      <c r="J7" s="121"/>
      <c r="K7" s="346"/>
      <c r="L7" s="122"/>
      <c r="M7" s="123" t="str">
        <f>Input!E31</f>
        <v>WITNESS:  P.  FISCHER</v>
      </c>
      <c r="O7" s="48"/>
    </row>
    <row r="8" spans="1:16" ht="12.75" x14ac:dyDescent="0.2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O8" s="48"/>
    </row>
    <row r="9" spans="1:16" ht="12.75" x14ac:dyDescent="0.2">
      <c r="A9" s="113" t="s">
        <v>1768</v>
      </c>
      <c r="B9" s="90"/>
      <c r="C9" s="113" t="s">
        <v>354</v>
      </c>
      <c r="D9" s="90"/>
      <c r="E9" s="90"/>
      <c r="F9" s="90"/>
      <c r="G9" s="113" t="s">
        <v>355</v>
      </c>
      <c r="H9" s="90"/>
      <c r="I9" s="113" t="s">
        <v>1580</v>
      </c>
      <c r="J9" s="90"/>
      <c r="K9" s="113" t="s">
        <v>60</v>
      </c>
      <c r="L9" s="90"/>
      <c r="M9" s="113" t="s">
        <v>60</v>
      </c>
      <c r="O9" s="48"/>
    </row>
    <row r="10" spans="1:16" ht="12.75" x14ac:dyDescent="0.2">
      <c r="A10" s="124" t="s">
        <v>1771</v>
      </c>
      <c r="B10" s="121"/>
      <c r="C10" s="124" t="s">
        <v>356</v>
      </c>
      <c r="D10" s="121"/>
      <c r="E10" s="121"/>
      <c r="F10" s="121"/>
      <c r="G10" s="124" t="s">
        <v>357</v>
      </c>
      <c r="H10" s="121"/>
      <c r="I10" s="124" t="s">
        <v>358</v>
      </c>
      <c r="J10" s="121"/>
      <c r="K10" s="124" t="s">
        <v>64</v>
      </c>
      <c r="L10" s="121"/>
      <c r="M10" s="124" t="s">
        <v>359</v>
      </c>
      <c r="O10" s="48"/>
    </row>
    <row r="11" spans="1:16" ht="12.75" x14ac:dyDescent="0.2">
      <c r="A11" s="354"/>
      <c r="B11" s="90"/>
      <c r="C11" s="92"/>
      <c r="D11" s="90"/>
      <c r="E11" s="90"/>
      <c r="F11" s="90"/>
      <c r="G11" s="90"/>
      <c r="H11" s="90"/>
      <c r="I11" s="90"/>
      <c r="J11" s="90"/>
      <c r="K11" s="90"/>
      <c r="L11" s="90"/>
      <c r="M11" s="90"/>
      <c r="O11" s="48"/>
    </row>
    <row r="12" spans="1:16" ht="13.5" thickBot="1" x14ac:dyDescent="0.25">
      <c r="A12" s="119">
        <v>1</v>
      </c>
      <c r="B12" s="90"/>
      <c r="C12" s="113">
        <v>15560</v>
      </c>
      <c r="D12" s="90"/>
      <c r="E12" s="112" t="s">
        <v>360</v>
      </c>
      <c r="F12" s="90"/>
      <c r="G12" s="90"/>
      <c r="H12" s="90"/>
      <c r="I12" s="132">
        <f>'WPB-6 Acct. 101, 252, 255, 283'!E29</f>
        <v>-130111</v>
      </c>
      <c r="J12" s="128"/>
      <c r="K12" s="347">
        <v>1</v>
      </c>
      <c r="L12" s="128"/>
      <c r="M12" s="349">
        <f>I12</f>
        <v>-130111</v>
      </c>
      <c r="O12" s="13"/>
      <c r="P12" s="13"/>
    </row>
    <row r="13" spans="1:16" ht="13.5" thickTop="1" x14ac:dyDescent="0.2">
      <c r="A13" s="354"/>
      <c r="B13" s="90"/>
      <c r="C13" s="92"/>
      <c r="D13" s="90"/>
      <c r="E13" s="90"/>
      <c r="F13" s="90"/>
      <c r="G13" s="90"/>
      <c r="H13" s="90"/>
      <c r="I13" s="129"/>
      <c r="J13" s="128"/>
      <c r="K13" s="128"/>
      <c r="L13" s="128"/>
      <c r="M13" s="128"/>
      <c r="O13" s="13"/>
      <c r="P13" s="13"/>
    </row>
    <row r="14" spans="1:16" ht="12.75" x14ac:dyDescent="0.2">
      <c r="A14" s="119">
        <f>1+A12</f>
        <v>2</v>
      </c>
      <c r="B14" s="90"/>
      <c r="C14" s="92"/>
      <c r="D14" s="90"/>
      <c r="E14" s="355" t="s">
        <v>361</v>
      </c>
      <c r="F14" s="90"/>
      <c r="G14" s="90"/>
      <c r="H14" s="90"/>
      <c r="I14" s="90"/>
      <c r="J14" s="90"/>
      <c r="K14" s="90"/>
      <c r="L14" s="90"/>
      <c r="M14" s="90"/>
    </row>
    <row r="15" spans="1:16" ht="12.75" x14ac:dyDescent="0.2">
      <c r="A15" s="119">
        <f t="shared" ref="A15:A21" si="0">A14+1</f>
        <v>3</v>
      </c>
      <c r="B15" s="90"/>
      <c r="C15" s="113" t="s">
        <v>362</v>
      </c>
      <c r="D15" s="90"/>
      <c r="E15" s="112" t="s">
        <v>363</v>
      </c>
      <c r="F15" s="90"/>
      <c r="G15" s="90"/>
      <c r="H15" s="90"/>
      <c r="I15" s="129">
        <f>'Acct. 190'!C29</f>
        <v>538571</v>
      </c>
      <c r="J15" s="128"/>
      <c r="K15" s="347"/>
      <c r="L15" s="128"/>
      <c r="M15" s="128">
        <f t="shared" ref="M15:M20" si="1">I15</f>
        <v>538571</v>
      </c>
      <c r="O15" s="13"/>
      <c r="P15" s="13"/>
    </row>
    <row r="16" spans="1:16" ht="12.75" x14ac:dyDescent="0.2">
      <c r="A16" s="119">
        <f t="shared" si="0"/>
        <v>4</v>
      </c>
      <c r="B16" s="90"/>
      <c r="C16" s="113" t="s">
        <v>364</v>
      </c>
      <c r="D16" s="90"/>
      <c r="E16" s="112" t="s">
        <v>365</v>
      </c>
      <c r="F16" s="90"/>
      <c r="G16" s="90"/>
      <c r="H16" s="90"/>
      <c r="I16" s="129">
        <f>'Acct. 190'!E29</f>
        <v>100517</v>
      </c>
      <c r="J16" s="128"/>
      <c r="K16" s="128"/>
      <c r="L16" s="128"/>
      <c r="M16" s="128">
        <f t="shared" si="1"/>
        <v>100517</v>
      </c>
      <c r="O16" s="13"/>
      <c r="P16" s="13"/>
    </row>
    <row r="17" spans="1:16" ht="12.75" x14ac:dyDescent="0.2">
      <c r="A17" s="119">
        <f t="shared" si="0"/>
        <v>5</v>
      </c>
      <c r="B17" s="90"/>
      <c r="C17" s="113">
        <v>1947</v>
      </c>
      <c r="D17" s="90"/>
      <c r="E17" s="112" t="s">
        <v>1345</v>
      </c>
      <c r="F17" s="90"/>
      <c r="G17" s="943" t="s">
        <v>367</v>
      </c>
      <c r="H17" s="131"/>
      <c r="I17" s="129">
        <f>'Acct. 190'!G32</f>
        <v>136524.76923076922</v>
      </c>
      <c r="J17" s="128"/>
      <c r="K17" s="128"/>
      <c r="L17" s="128"/>
      <c r="M17" s="128">
        <f t="shared" si="1"/>
        <v>136524.76923076922</v>
      </c>
      <c r="O17" s="13"/>
      <c r="P17" s="13"/>
    </row>
    <row r="18" spans="1:16" ht="12.75" x14ac:dyDescent="0.2">
      <c r="A18" s="119">
        <f t="shared" si="0"/>
        <v>6</v>
      </c>
      <c r="B18" s="90"/>
      <c r="C18" s="113">
        <v>3947</v>
      </c>
      <c r="D18" s="90"/>
      <c r="E18" s="112" t="s">
        <v>1346</v>
      </c>
      <c r="F18" s="90"/>
      <c r="G18" s="943" t="s">
        <v>367</v>
      </c>
      <c r="H18" s="131"/>
      <c r="I18" s="129">
        <f>'Acct. 190'!I32</f>
        <v>24897.923076923078</v>
      </c>
      <c r="J18" s="128"/>
      <c r="K18" s="128"/>
      <c r="L18" s="128"/>
      <c r="M18" s="128">
        <f t="shared" si="1"/>
        <v>24897.923076923078</v>
      </c>
      <c r="O18" s="13"/>
      <c r="P18" s="13"/>
    </row>
    <row r="19" spans="1:16" ht="12.75" x14ac:dyDescent="0.2">
      <c r="A19" s="119">
        <f t="shared" si="0"/>
        <v>7</v>
      </c>
      <c r="B19" s="90"/>
      <c r="C19" s="113">
        <v>1938</v>
      </c>
      <c r="D19" s="90"/>
      <c r="E19" s="112" t="s">
        <v>366</v>
      </c>
      <c r="F19" s="90"/>
      <c r="G19" s="943" t="s">
        <v>367</v>
      </c>
      <c r="H19" s="131"/>
      <c r="I19" s="129">
        <f>'Acct. 190'!K32</f>
        <v>2787338.769230769</v>
      </c>
      <c r="J19" s="128"/>
      <c r="K19" s="128"/>
      <c r="L19" s="128"/>
      <c r="M19" s="128">
        <f t="shared" si="1"/>
        <v>2787338.769230769</v>
      </c>
      <c r="O19" s="13"/>
      <c r="P19" s="13"/>
    </row>
    <row r="20" spans="1:16" ht="12.75" x14ac:dyDescent="0.2">
      <c r="A20" s="119">
        <f t="shared" si="0"/>
        <v>8</v>
      </c>
      <c r="B20" s="90"/>
      <c r="C20" s="113">
        <v>3938</v>
      </c>
      <c r="D20" s="90"/>
      <c r="E20" s="112" t="s">
        <v>368</v>
      </c>
      <c r="F20" s="90"/>
      <c r="G20" s="92" t="s">
        <v>367</v>
      </c>
      <c r="H20" s="90"/>
      <c r="I20" s="356">
        <f>'Acct. 190'!M32</f>
        <v>508328.76923076925</v>
      </c>
      <c r="J20" s="128"/>
      <c r="K20" s="128"/>
      <c r="L20" s="128"/>
      <c r="M20" s="357">
        <f t="shared" si="1"/>
        <v>508328.76923076925</v>
      </c>
      <c r="O20" s="13"/>
      <c r="P20" s="13"/>
    </row>
    <row r="21" spans="1:16" ht="13.5" thickBot="1" x14ac:dyDescent="0.25">
      <c r="A21" s="119">
        <f t="shared" si="0"/>
        <v>9</v>
      </c>
      <c r="B21" s="90"/>
      <c r="C21" s="92"/>
      <c r="D21" s="90"/>
      <c r="E21" s="112" t="s">
        <v>369</v>
      </c>
      <c r="F21" s="90"/>
      <c r="G21" s="90"/>
      <c r="H21" s="90"/>
      <c r="I21" s="349">
        <f>SUM(I15:I20)</f>
        <v>4096178.230769231</v>
      </c>
      <c r="J21" s="128"/>
      <c r="K21" s="128"/>
      <c r="L21" s="128"/>
      <c r="M21" s="349">
        <f>SUM(M15:M20)</f>
        <v>4096178.230769231</v>
      </c>
      <c r="O21" s="13"/>
      <c r="P21" s="13"/>
    </row>
    <row r="22" spans="1:16" ht="13.5" thickTop="1" x14ac:dyDescent="0.2">
      <c r="A22" s="354"/>
      <c r="B22" s="90"/>
      <c r="C22" s="92"/>
      <c r="D22" s="90"/>
      <c r="E22" s="90"/>
      <c r="F22" s="90"/>
      <c r="G22" s="90"/>
      <c r="H22" s="90"/>
      <c r="I22" s="128"/>
      <c r="J22" s="128"/>
      <c r="K22" s="128"/>
      <c r="L22" s="128"/>
      <c r="M22" s="128"/>
      <c r="O22" s="13"/>
      <c r="P22" s="13"/>
    </row>
    <row r="23" spans="1:16" ht="12.75" x14ac:dyDescent="0.2">
      <c r="A23" s="119">
        <f>1+A21</f>
        <v>10</v>
      </c>
      <c r="B23" s="90"/>
      <c r="C23" s="92"/>
      <c r="D23" s="90"/>
      <c r="E23" s="355" t="s">
        <v>370</v>
      </c>
      <c r="F23" s="90"/>
      <c r="G23" s="90"/>
      <c r="H23" s="90"/>
      <c r="I23" s="128"/>
      <c r="J23" s="128"/>
      <c r="K23" s="128"/>
      <c r="L23" s="128"/>
      <c r="M23" s="128"/>
      <c r="O23" s="13"/>
      <c r="P23" s="13"/>
    </row>
    <row r="24" spans="1:16" ht="12.75" x14ac:dyDescent="0.2">
      <c r="A24" s="119">
        <f t="shared" ref="A24:A37" si="2">A23+1</f>
        <v>11</v>
      </c>
      <c r="B24" s="90"/>
      <c r="C24" s="113" t="s">
        <v>371</v>
      </c>
      <c r="D24" s="90"/>
      <c r="E24" s="112" t="s">
        <v>372</v>
      </c>
      <c r="F24" s="90"/>
      <c r="G24" s="90"/>
      <c r="H24" s="90"/>
      <c r="I24" s="129">
        <f>'Acct. 282 pg 1'!C28</f>
        <v>-20475177</v>
      </c>
      <c r="J24" s="128"/>
      <c r="K24" s="128"/>
      <c r="L24" s="128"/>
      <c r="M24" s="128">
        <f t="shared" ref="M24:M29" si="3">I24</f>
        <v>-20475177</v>
      </c>
      <c r="O24" s="13"/>
      <c r="P24" s="13"/>
    </row>
    <row r="25" spans="1:16" ht="12.75" x14ac:dyDescent="0.2">
      <c r="A25" s="119">
        <f t="shared" si="2"/>
        <v>12</v>
      </c>
      <c r="B25" s="90"/>
      <c r="C25" s="113" t="s">
        <v>373</v>
      </c>
      <c r="D25" s="90"/>
      <c r="E25" s="112" t="s">
        <v>374</v>
      </c>
      <c r="F25" s="90"/>
      <c r="G25" s="90"/>
      <c r="H25" s="90"/>
      <c r="I25" s="129">
        <f>'Acct. 282 pg 1'!E28</f>
        <v>-4800810</v>
      </c>
      <c r="J25" s="90"/>
      <c r="K25" s="90"/>
      <c r="L25" s="90"/>
      <c r="M25" s="128">
        <f t="shared" si="3"/>
        <v>-4800810</v>
      </c>
      <c r="P25" s="13"/>
    </row>
    <row r="26" spans="1:16" ht="12.75" x14ac:dyDescent="0.2">
      <c r="A26" s="119">
        <f t="shared" si="2"/>
        <v>13</v>
      </c>
      <c r="B26" s="90"/>
      <c r="C26" s="113" t="s">
        <v>375</v>
      </c>
      <c r="D26" s="90"/>
      <c r="E26" s="112" t="s">
        <v>376</v>
      </c>
      <c r="F26" s="90"/>
      <c r="G26" s="90"/>
      <c r="H26" s="90"/>
      <c r="I26" s="129">
        <f>'Acct. 282 pg 1'!G28</f>
        <v>-3997686</v>
      </c>
      <c r="J26" s="128"/>
      <c r="K26" s="128"/>
      <c r="L26" s="128"/>
      <c r="M26" s="128">
        <f t="shared" si="3"/>
        <v>-3997686</v>
      </c>
      <c r="O26" s="13"/>
      <c r="P26" s="13"/>
    </row>
    <row r="27" spans="1:16" ht="12.75" x14ac:dyDescent="0.2">
      <c r="A27" s="119">
        <f t="shared" si="2"/>
        <v>14</v>
      </c>
      <c r="B27" s="90"/>
      <c r="C27" s="113" t="s">
        <v>377</v>
      </c>
      <c r="D27" s="90"/>
      <c r="E27" s="112" t="s">
        <v>378</v>
      </c>
      <c r="F27" s="90"/>
      <c r="G27" s="90"/>
      <c r="H27" s="90"/>
      <c r="I27" s="129">
        <f>'Acct. 282 pg 1'!I28</f>
        <v>-966488</v>
      </c>
      <c r="J27" s="128"/>
      <c r="K27" s="128"/>
      <c r="L27" s="128"/>
      <c r="M27" s="128">
        <f t="shared" si="3"/>
        <v>-966488</v>
      </c>
      <c r="O27" s="13"/>
      <c r="P27" s="13"/>
    </row>
    <row r="28" spans="1:16" ht="12.75" x14ac:dyDescent="0.2">
      <c r="A28" s="119">
        <f t="shared" si="2"/>
        <v>15</v>
      </c>
      <c r="B28" s="90"/>
      <c r="C28" s="113" t="s">
        <v>379</v>
      </c>
      <c r="D28" s="90"/>
      <c r="E28" s="112" t="s">
        <v>380</v>
      </c>
      <c r="F28" s="90"/>
      <c r="G28" s="90"/>
      <c r="H28" s="90"/>
      <c r="I28" s="129">
        <f>'Acct. 282 pg 1'!K28</f>
        <v>-348516</v>
      </c>
      <c r="J28" s="128"/>
      <c r="K28" s="128"/>
      <c r="L28" s="128"/>
      <c r="M28" s="128">
        <f t="shared" si="3"/>
        <v>-348516</v>
      </c>
      <c r="O28" s="13"/>
      <c r="P28" s="13"/>
    </row>
    <row r="29" spans="1:16" ht="12.75" x14ac:dyDescent="0.2">
      <c r="A29" s="119">
        <f t="shared" si="2"/>
        <v>16</v>
      </c>
      <c r="B29" s="90"/>
      <c r="C29" s="113" t="s">
        <v>381</v>
      </c>
      <c r="D29" s="90"/>
      <c r="E29" s="112" t="s">
        <v>382</v>
      </c>
      <c r="F29" s="90"/>
      <c r="G29" s="90"/>
      <c r="H29" s="90"/>
      <c r="I29" s="358">
        <f>'Acct. 282 pg 1'!M28</f>
        <v>-85319</v>
      </c>
      <c r="J29" s="359"/>
      <c r="K29" s="359"/>
      <c r="L29" s="359"/>
      <c r="M29" s="360">
        <f t="shared" si="3"/>
        <v>-85319</v>
      </c>
      <c r="P29" s="13"/>
    </row>
    <row r="30" spans="1:16" ht="12.75" x14ac:dyDescent="0.2">
      <c r="A30" s="119">
        <f t="shared" si="2"/>
        <v>17</v>
      </c>
      <c r="B30" s="90"/>
      <c r="C30" s="113">
        <v>2232</v>
      </c>
      <c r="D30" s="90"/>
      <c r="E30" s="112" t="s">
        <v>442</v>
      </c>
      <c r="F30" s="90"/>
      <c r="G30" s="90"/>
      <c r="H30" s="90"/>
      <c r="I30" s="358">
        <f>'Acct. 282 pg 1'!O28</f>
        <v>1106960</v>
      </c>
      <c r="J30" s="90"/>
      <c r="K30" s="90"/>
      <c r="L30" s="90"/>
      <c r="M30" s="128">
        <f t="shared" ref="M30:M36" si="4">I30</f>
        <v>1106960</v>
      </c>
      <c r="P30" s="13"/>
    </row>
    <row r="31" spans="1:16" ht="12.75" x14ac:dyDescent="0.2">
      <c r="A31" s="119">
        <f t="shared" si="2"/>
        <v>18</v>
      </c>
      <c r="B31" s="90"/>
      <c r="C31" s="113">
        <v>4232</v>
      </c>
      <c r="D31" s="90"/>
      <c r="E31" s="112" t="s">
        <v>443</v>
      </c>
      <c r="F31" s="90"/>
      <c r="G31" s="90"/>
      <c r="H31" s="90"/>
      <c r="I31" s="358">
        <f>'Acct. 282 pg 1'!Q28</f>
        <v>269845</v>
      </c>
      <c r="J31" s="359"/>
      <c r="K31" s="359"/>
      <c r="L31" s="359"/>
      <c r="M31" s="360">
        <f t="shared" si="4"/>
        <v>269845</v>
      </c>
      <c r="P31" s="13"/>
    </row>
    <row r="32" spans="1:16" ht="12.75" x14ac:dyDescent="0.2">
      <c r="A32" s="119">
        <f t="shared" si="2"/>
        <v>19</v>
      </c>
      <c r="B32" s="90"/>
      <c r="C32" s="113">
        <v>2234</v>
      </c>
      <c r="E32" s="112" t="s">
        <v>1361</v>
      </c>
      <c r="I32" s="358">
        <f>'Acct. 282 pg 2'!C28</f>
        <v>38603</v>
      </c>
      <c r="M32" s="360">
        <f t="shared" si="4"/>
        <v>38603</v>
      </c>
      <c r="P32" s="13"/>
    </row>
    <row r="33" spans="1:16" ht="12.75" x14ac:dyDescent="0.2">
      <c r="A33" s="119">
        <f t="shared" si="2"/>
        <v>20</v>
      </c>
      <c r="B33" s="90"/>
      <c r="C33" s="113">
        <v>4234</v>
      </c>
      <c r="E33" s="112" t="s">
        <v>1362</v>
      </c>
      <c r="I33" s="358">
        <f>'Acct. 282 pg 2'!E28</f>
        <v>11985</v>
      </c>
      <c r="M33" s="360">
        <f t="shared" si="4"/>
        <v>11985</v>
      </c>
      <c r="P33" s="13"/>
    </row>
    <row r="34" spans="1:16" ht="12.75" x14ac:dyDescent="0.2">
      <c r="A34" s="119">
        <f t="shared" si="2"/>
        <v>21</v>
      </c>
      <c r="B34" s="90"/>
      <c r="C34" s="113">
        <v>4227</v>
      </c>
      <c r="E34" s="112" t="s">
        <v>1365</v>
      </c>
      <c r="I34" s="358">
        <f>'Acct. 282 pg 2'!K28</f>
        <v>865346</v>
      </c>
      <c r="M34" s="360">
        <f t="shared" si="4"/>
        <v>865346</v>
      </c>
      <c r="P34" s="13"/>
    </row>
    <row r="35" spans="1:16" ht="12.75" x14ac:dyDescent="0.2">
      <c r="A35" s="119">
        <f t="shared" si="2"/>
        <v>22</v>
      </c>
      <c r="B35" s="90"/>
      <c r="C35" s="113">
        <v>2951</v>
      </c>
      <c r="D35" s="90"/>
      <c r="E35" s="112" t="s">
        <v>1363</v>
      </c>
      <c r="F35" s="90"/>
      <c r="G35" s="90"/>
      <c r="H35" s="90"/>
      <c r="I35" s="358">
        <f>'Acct. 282 pg 2'!G28</f>
        <v>-115928</v>
      </c>
      <c r="J35" s="359"/>
      <c r="K35" s="359"/>
      <c r="L35" s="359"/>
      <c r="M35" s="360">
        <f t="shared" si="4"/>
        <v>-115928</v>
      </c>
      <c r="P35" s="13"/>
    </row>
    <row r="36" spans="1:16" ht="12.75" x14ac:dyDescent="0.2">
      <c r="A36" s="119">
        <f t="shared" si="2"/>
        <v>23</v>
      </c>
      <c r="B36" s="90"/>
      <c r="C36" s="113">
        <v>2953</v>
      </c>
      <c r="D36" s="90"/>
      <c r="E36" s="112" t="s">
        <v>1364</v>
      </c>
      <c r="F36" s="90"/>
      <c r="G36" s="90"/>
      <c r="H36" s="90"/>
      <c r="I36" s="356">
        <f>'Acct. 282 pg 2'!I28</f>
        <v>-476747</v>
      </c>
      <c r="J36" s="359"/>
      <c r="K36" s="359"/>
      <c r="L36" s="359"/>
      <c r="M36" s="357">
        <f t="shared" si="4"/>
        <v>-476747</v>
      </c>
      <c r="P36" s="13"/>
    </row>
    <row r="37" spans="1:16" ht="13.5" thickBot="1" x14ac:dyDescent="0.25">
      <c r="A37" s="119">
        <f t="shared" si="2"/>
        <v>24</v>
      </c>
      <c r="B37" s="90"/>
      <c r="C37" s="92"/>
      <c r="D37" s="90"/>
      <c r="E37" s="112" t="s">
        <v>383</v>
      </c>
      <c r="F37" s="90"/>
      <c r="G37" s="90"/>
      <c r="H37" s="90"/>
      <c r="I37" s="349">
        <f>SUM(I24:I36)</f>
        <v>-28973932</v>
      </c>
      <c r="J37" s="128"/>
      <c r="K37" s="128"/>
      <c r="L37" s="128"/>
      <c r="M37" s="349">
        <f>SUM(M24:M36)</f>
        <v>-28973932</v>
      </c>
      <c r="O37" s="13"/>
      <c r="P37" s="13"/>
    </row>
    <row r="38" spans="1:16" ht="13.5" thickTop="1" x14ac:dyDescent="0.2">
      <c r="A38" s="354"/>
      <c r="B38" s="90"/>
      <c r="C38" s="92"/>
      <c r="D38" s="90"/>
      <c r="E38" s="90"/>
      <c r="F38" s="90"/>
      <c r="G38" s="90"/>
      <c r="H38" s="90"/>
      <c r="I38" s="128"/>
      <c r="J38" s="128"/>
      <c r="K38" s="128"/>
      <c r="L38" s="128"/>
      <c r="M38" s="128"/>
      <c r="O38" s="13"/>
      <c r="P38" s="13"/>
    </row>
    <row r="39" spans="1:16" ht="12.75" x14ac:dyDescent="0.2">
      <c r="A39" s="119">
        <f>A37+1</f>
        <v>25</v>
      </c>
      <c r="B39" s="90"/>
      <c r="C39" s="92"/>
      <c r="D39" s="90"/>
      <c r="E39" s="355" t="s">
        <v>384</v>
      </c>
      <c r="F39" s="90"/>
      <c r="G39" s="90"/>
      <c r="H39" s="90"/>
      <c r="I39" s="128"/>
      <c r="J39" s="128"/>
      <c r="K39" s="128"/>
      <c r="L39" s="128"/>
      <c r="M39" s="128"/>
      <c r="O39" s="13"/>
      <c r="P39" s="13"/>
    </row>
    <row r="40" spans="1:16" ht="12.75" x14ac:dyDescent="0.2">
      <c r="A40" s="119">
        <f>A39+1</f>
        <v>26</v>
      </c>
      <c r="B40" s="90"/>
      <c r="C40" s="113" t="s">
        <v>385</v>
      </c>
      <c r="D40" s="90"/>
      <c r="E40" s="112" t="s">
        <v>386</v>
      </c>
      <c r="F40" s="90"/>
      <c r="G40" s="90"/>
      <c r="H40" s="90"/>
      <c r="I40" s="129">
        <f>'WPB-6 Acct. 101, 252, 255, 283'!G29</f>
        <v>-77627</v>
      </c>
      <c r="J40" s="128"/>
      <c r="K40" s="128"/>
      <c r="L40" s="128"/>
      <c r="M40" s="128">
        <f>I40</f>
        <v>-77627</v>
      </c>
      <c r="O40" s="13"/>
      <c r="P40" s="13"/>
    </row>
    <row r="41" spans="1:16" ht="12.75" x14ac:dyDescent="0.2">
      <c r="A41" s="119">
        <f>A40+1</f>
        <v>27</v>
      </c>
      <c r="B41" s="90"/>
      <c r="C41" s="113" t="s">
        <v>387</v>
      </c>
      <c r="D41" s="90"/>
      <c r="E41" s="112" t="s">
        <v>388</v>
      </c>
      <c r="F41" s="90"/>
      <c r="G41" s="90"/>
      <c r="H41" s="90"/>
      <c r="I41" s="130">
        <f>'WPB-6 Acct. 101, 252, 255, 283'!I29</f>
        <v>-14157</v>
      </c>
      <c r="J41" s="128"/>
      <c r="K41" s="128"/>
      <c r="L41" s="128"/>
      <c r="M41" s="348">
        <f>I41</f>
        <v>-14157</v>
      </c>
      <c r="O41" s="13"/>
      <c r="P41" s="13"/>
    </row>
    <row r="42" spans="1:16" ht="13.5" thickBot="1" x14ac:dyDescent="0.25">
      <c r="A42" s="119">
        <f>A41+1</f>
        <v>28</v>
      </c>
      <c r="B42" s="90"/>
      <c r="C42" s="92"/>
      <c r="D42" s="90"/>
      <c r="E42" s="112" t="s">
        <v>389</v>
      </c>
      <c r="F42" s="90"/>
      <c r="G42" s="90"/>
      <c r="H42" s="90"/>
      <c r="I42" s="349">
        <f>SUM(I40:I41)</f>
        <v>-91784</v>
      </c>
      <c r="J42" s="128"/>
      <c r="K42" s="128"/>
      <c r="L42" s="128"/>
      <c r="M42" s="349">
        <f>SUM(M40:M41)</f>
        <v>-91784</v>
      </c>
      <c r="O42" s="13"/>
      <c r="P42" s="13"/>
    </row>
    <row r="43" spans="1:16" ht="13.5" thickTop="1" x14ac:dyDescent="0.2">
      <c r="A43" s="354"/>
      <c r="B43" s="90"/>
      <c r="C43" s="92"/>
      <c r="D43" s="90"/>
      <c r="E43" s="90"/>
      <c r="F43" s="90"/>
      <c r="G43" s="90"/>
      <c r="H43" s="90"/>
      <c r="I43" s="128"/>
      <c r="J43" s="128"/>
      <c r="K43" s="128"/>
      <c r="L43" s="128"/>
      <c r="M43" s="128"/>
      <c r="O43" s="13"/>
      <c r="P43" s="13"/>
    </row>
    <row r="44" spans="1:16" ht="13.5" thickBot="1" x14ac:dyDescent="0.25">
      <c r="A44" s="119">
        <f>A42+1</f>
        <v>29</v>
      </c>
      <c r="B44" s="90"/>
      <c r="C44" s="92"/>
      <c r="D44" s="90"/>
      <c r="E44" s="112" t="s">
        <v>390</v>
      </c>
      <c r="F44" s="90"/>
      <c r="G44" s="90"/>
      <c r="H44" s="90"/>
      <c r="I44" s="349">
        <f>I21+I37+I42</f>
        <v>-24969537.769230768</v>
      </c>
      <c r="J44" s="128"/>
      <c r="K44" s="128"/>
      <c r="L44" s="128"/>
      <c r="M44" s="349">
        <f>M21+M37+M42</f>
        <v>-24969537.769230768</v>
      </c>
      <c r="O44" s="13"/>
      <c r="P44" s="13"/>
    </row>
    <row r="45" spans="1:16" ht="13.5" thickTop="1" x14ac:dyDescent="0.2">
      <c r="A45" s="354"/>
      <c r="B45" s="90"/>
      <c r="C45" s="92"/>
      <c r="D45" s="90"/>
      <c r="E45" s="90"/>
      <c r="F45" s="90"/>
      <c r="G45" s="90"/>
      <c r="H45" s="90"/>
      <c r="I45" s="90"/>
      <c r="J45" s="90"/>
      <c r="K45" s="90"/>
      <c r="L45" s="128"/>
      <c r="M45" s="128"/>
    </row>
    <row r="46" spans="1:16" ht="12.75" x14ac:dyDescent="0.2">
      <c r="A46" s="92"/>
      <c r="B46" s="90"/>
      <c r="C46" s="90" t="s">
        <v>1184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</row>
    <row r="47" spans="1:16" ht="12.75" x14ac:dyDescent="0.2">
      <c r="A47" s="90"/>
      <c r="B47" s="90"/>
      <c r="D47" s="90"/>
      <c r="E47" s="90"/>
      <c r="F47" s="90"/>
      <c r="G47" s="90"/>
      <c r="H47" s="90"/>
      <c r="I47" s="90"/>
      <c r="J47" s="90"/>
      <c r="K47" s="90"/>
      <c r="L47" s="90"/>
      <c r="M47" s="90"/>
    </row>
    <row r="48" spans="1:16" ht="12.75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</row>
    <row r="49" spans="1:13" ht="11.25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  <row r="50" spans="1:13" ht="11.25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3" ht="11.25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</row>
    <row r="52" spans="1:13" ht="11.25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1:13" ht="11.25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</row>
    <row r="54" spans="1:13" ht="11.25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3" ht="11.25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</row>
    <row r="56" spans="1:13" ht="11.25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1:13" ht="11.25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</row>
    <row r="58" spans="1:13" ht="11.25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13" ht="11.25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</row>
    <row r="60" spans="1:13" ht="11.25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1:13" ht="11.25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ht="11.25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</row>
    <row r="63" spans="1:13" ht="11.25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ht="11.25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</row>
    <row r="65" spans="1:13" ht="11.25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11.25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13" ht="11.25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1:13" ht="11.25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1:13" ht="11.25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1:13" ht="11.25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1:13" ht="11.25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1:13" ht="11.25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1:13" ht="11.25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1:13" ht="11.25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1:13" ht="11.25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13" ht="11.25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1:13" ht="11.25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1:13" ht="11.25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1:13" ht="11.25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1:13" ht="11.25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1:13" ht="11.25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1:13" ht="11.25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1:13" ht="11.25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1:13" ht="11.25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</sheetData>
  <mergeCells count="4">
    <mergeCell ref="A1:M1"/>
    <mergeCell ref="A2:M2"/>
    <mergeCell ref="A3:M3"/>
    <mergeCell ref="A4:M4"/>
  </mergeCells>
  <phoneticPr fontId="0" type="noConversion"/>
  <printOptions horizontalCentered="1"/>
  <pageMargins left="0.25" right="0.25" top="0.75" bottom="0" header="0.5" footer="0.5"/>
  <pageSetup scale="91" orientation="landscape" r:id="rId1"/>
  <headerFooter alignWithMargins="0"/>
  <rowBreaks count="1" manualBreakCount="1">
    <brk id="47" max="1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" transitionEvaluation="1" transitionEntry="1"/>
  <dimension ref="A1:J88"/>
  <sheetViews>
    <sheetView topLeftCell="C1" zoomScaleNormal="100" workbookViewId="0">
      <selection activeCell="I9" sqref="I9"/>
    </sheetView>
  </sheetViews>
  <sheetFormatPr defaultColWidth="9.83203125" defaultRowHeight="10.5" x14ac:dyDescent="0.15"/>
  <cols>
    <col min="1" max="1" width="7.83203125" customWidth="1"/>
    <col min="2" max="2" width="6.83203125" customWidth="1"/>
    <col min="4" max="4" width="6.83203125" customWidth="1"/>
    <col min="5" max="5" width="19.1640625" bestFit="1" customWidth="1"/>
    <col min="6" max="6" width="6.83203125" customWidth="1"/>
    <col min="7" max="7" width="40.83203125" bestFit="1" customWidth="1"/>
    <col min="8" max="8" width="6.83203125" customWidth="1"/>
    <col min="9" max="9" width="39.33203125" bestFit="1" customWidth="1"/>
  </cols>
  <sheetData>
    <row r="1" spans="1:10" ht="12.75" x14ac:dyDescent="0.2">
      <c r="A1" s="1408" t="s">
        <v>477</v>
      </c>
      <c r="B1" s="1408"/>
      <c r="C1" s="1408"/>
      <c r="D1" s="1408"/>
      <c r="E1" s="1408"/>
      <c r="F1" s="1408"/>
      <c r="G1" s="1408"/>
      <c r="H1" s="1408"/>
      <c r="I1" s="1408"/>
      <c r="J1" s="80"/>
    </row>
    <row r="2" spans="1:10" ht="12.75" x14ac:dyDescent="0.2">
      <c r="A2" s="1391" t="str">
        <f>Input!C4</f>
        <v>CASE NO. 2017-xxxxx</v>
      </c>
      <c r="B2" s="1391"/>
      <c r="C2" s="1391"/>
      <c r="D2" s="1391"/>
      <c r="E2" s="1391"/>
      <c r="F2" s="1391"/>
      <c r="G2" s="1391"/>
      <c r="H2" s="1391"/>
      <c r="I2" s="1391"/>
      <c r="J2" s="80"/>
    </row>
    <row r="3" spans="1:10" ht="12.75" x14ac:dyDescent="0.2">
      <c r="A3" s="1408" t="s">
        <v>391</v>
      </c>
      <c r="B3" s="1408"/>
      <c r="C3" s="1408"/>
      <c r="D3" s="1408"/>
      <c r="E3" s="1408"/>
      <c r="F3" s="1408"/>
      <c r="G3" s="1408"/>
      <c r="H3" s="1408"/>
      <c r="I3" s="1408"/>
      <c r="J3" s="80"/>
    </row>
    <row r="4" spans="1:10" ht="12.75" x14ac:dyDescent="0.2">
      <c r="A4" s="1391" t="str">
        <f>Input!C9</f>
        <v>FOR THE HISTORIC PERIOD DECEMBER 31, 2017</v>
      </c>
      <c r="B4" s="1391"/>
      <c r="C4" s="1391"/>
      <c r="D4" s="1391"/>
      <c r="E4" s="1391"/>
      <c r="F4" s="1391"/>
      <c r="G4" s="1391"/>
      <c r="H4" s="1391"/>
      <c r="I4" s="1391"/>
      <c r="J4" s="80"/>
    </row>
    <row r="5" spans="1:10" ht="12.75" x14ac:dyDescent="0.2">
      <c r="A5" s="90"/>
      <c r="B5" s="90"/>
      <c r="C5" s="90"/>
      <c r="D5" s="90"/>
      <c r="E5" s="90"/>
      <c r="F5" s="90"/>
      <c r="G5" s="90"/>
      <c r="H5" s="90"/>
      <c r="I5" s="90"/>
      <c r="J5" s="80"/>
    </row>
    <row r="6" spans="1:10" ht="12.75" x14ac:dyDescent="0.2">
      <c r="A6" s="112" t="s">
        <v>839</v>
      </c>
      <c r="B6" s="90"/>
      <c r="C6" s="90"/>
      <c r="D6" s="90"/>
      <c r="E6" s="90"/>
      <c r="F6" s="90"/>
      <c r="G6" s="90"/>
      <c r="H6" s="90"/>
      <c r="I6" s="119" t="s">
        <v>392</v>
      </c>
      <c r="J6" s="80"/>
    </row>
    <row r="7" spans="1:10" ht="12.75" x14ac:dyDescent="0.2">
      <c r="A7" s="112" t="s">
        <v>490</v>
      </c>
      <c r="B7" s="90"/>
      <c r="C7" s="90"/>
      <c r="D7" s="90"/>
      <c r="E7" s="90"/>
      <c r="F7" s="90"/>
      <c r="G7" s="90"/>
      <c r="H7" s="90"/>
      <c r="I7" s="119" t="s">
        <v>491</v>
      </c>
      <c r="J7" s="80"/>
    </row>
    <row r="8" spans="1:10" ht="12.75" x14ac:dyDescent="0.2">
      <c r="A8" s="120" t="s">
        <v>840</v>
      </c>
      <c r="B8" s="121"/>
      <c r="C8" s="121"/>
      <c r="D8" s="121"/>
      <c r="E8" s="121"/>
      <c r="F8" s="121"/>
      <c r="G8" s="121"/>
      <c r="H8" s="121"/>
      <c r="I8" s="361" t="str">
        <f>Input!E27</f>
        <v>WITNESS:  C. Y. LAI</v>
      </c>
      <c r="J8" s="80"/>
    </row>
    <row r="9" spans="1:10" ht="12.75" x14ac:dyDescent="0.2">
      <c r="A9" s="113" t="s">
        <v>493</v>
      </c>
      <c r="B9" s="90"/>
      <c r="C9" s="113" t="s">
        <v>1143</v>
      </c>
      <c r="D9" s="90"/>
      <c r="E9" s="90"/>
      <c r="F9" s="90"/>
      <c r="G9" s="113" t="s">
        <v>523</v>
      </c>
      <c r="H9" s="90"/>
      <c r="I9" s="113" t="s">
        <v>1734</v>
      </c>
      <c r="J9" s="80"/>
    </row>
    <row r="10" spans="1:10" ht="12.75" x14ac:dyDescent="0.2">
      <c r="A10" s="124" t="s">
        <v>496</v>
      </c>
      <c r="B10" s="121"/>
      <c r="C10" s="124" t="s">
        <v>496</v>
      </c>
      <c r="D10" s="121"/>
      <c r="E10" s="124" t="s">
        <v>841</v>
      </c>
      <c r="F10" s="121"/>
      <c r="G10" s="124" t="s">
        <v>983</v>
      </c>
      <c r="H10" s="121"/>
      <c r="I10" s="124" t="s">
        <v>1736</v>
      </c>
      <c r="J10" s="80"/>
    </row>
    <row r="11" spans="1:10" ht="12.75" x14ac:dyDescent="0.2">
      <c r="A11" s="90"/>
      <c r="B11" s="90"/>
      <c r="C11" s="90"/>
      <c r="D11" s="90"/>
      <c r="E11" s="90"/>
      <c r="F11" s="90"/>
      <c r="G11" s="90"/>
      <c r="H11" s="90"/>
      <c r="I11" s="90"/>
      <c r="J11" s="80"/>
    </row>
    <row r="12" spans="1:10" ht="12.75" x14ac:dyDescent="0.2">
      <c r="A12" s="90"/>
      <c r="B12" s="90"/>
      <c r="C12" s="90"/>
      <c r="D12" s="90"/>
      <c r="E12" s="90"/>
      <c r="F12" s="90"/>
      <c r="G12" s="90"/>
      <c r="H12" s="90"/>
      <c r="I12" s="90"/>
      <c r="J12" s="80"/>
    </row>
    <row r="13" spans="1:10" ht="12.75" x14ac:dyDescent="0.2">
      <c r="A13" s="90"/>
      <c r="B13" s="90"/>
      <c r="C13" s="90"/>
      <c r="D13" s="90"/>
      <c r="E13" s="90"/>
      <c r="F13" s="128"/>
      <c r="G13" s="347"/>
      <c r="H13" s="128"/>
      <c r="I13" s="128"/>
      <c r="J13" s="80"/>
    </row>
    <row r="14" spans="1:10" ht="12.75" x14ac:dyDescent="0.2">
      <c r="A14" s="90"/>
      <c r="B14" s="90"/>
      <c r="C14" s="90"/>
      <c r="D14" s="90"/>
      <c r="E14" s="90"/>
      <c r="F14" s="128"/>
      <c r="G14" s="90"/>
      <c r="H14" s="128"/>
      <c r="I14" s="128"/>
      <c r="J14" s="80"/>
    </row>
    <row r="15" spans="1:10" ht="12.75" x14ac:dyDescent="0.2">
      <c r="A15" s="1391" t="s">
        <v>1737</v>
      </c>
      <c r="B15" s="1391"/>
      <c r="C15" s="1391"/>
      <c r="D15" s="1391"/>
      <c r="E15" s="1391"/>
      <c r="F15" s="1391"/>
      <c r="G15" s="1391"/>
      <c r="H15" s="1391"/>
      <c r="I15" s="1391"/>
      <c r="J15" s="80"/>
    </row>
    <row r="16" spans="1:10" ht="12.75" x14ac:dyDescent="0.2">
      <c r="A16" s="90"/>
      <c r="B16" s="90"/>
      <c r="C16" s="90"/>
      <c r="D16" s="90"/>
      <c r="E16" s="90"/>
      <c r="F16" s="128"/>
      <c r="G16" s="90"/>
      <c r="H16" s="128"/>
      <c r="I16" s="90"/>
      <c r="J16" s="80"/>
    </row>
    <row r="17" spans="1:10" ht="12.75" x14ac:dyDescent="0.2">
      <c r="A17" s="90"/>
      <c r="B17" s="90"/>
      <c r="C17" s="90"/>
      <c r="D17" s="90"/>
      <c r="E17" s="90"/>
      <c r="F17" s="128"/>
      <c r="G17" s="347"/>
      <c r="H17" s="128"/>
      <c r="I17" s="128"/>
      <c r="J17" s="80"/>
    </row>
    <row r="18" spans="1:10" ht="12.75" x14ac:dyDescent="0.2">
      <c r="A18" s="90"/>
      <c r="B18" s="90"/>
      <c r="C18" s="90"/>
      <c r="D18" s="90"/>
      <c r="E18" s="90"/>
      <c r="F18" s="128"/>
      <c r="G18" s="90"/>
      <c r="H18" s="128"/>
      <c r="I18" s="128"/>
      <c r="J18" s="80"/>
    </row>
    <row r="19" spans="1:10" ht="12.75" x14ac:dyDescent="0.2">
      <c r="A19" s="90"/>
      <c r="B19" s="90"/>
      <c r="C19" s="90"/>
      <c r="D19" s="90"/>
      <c r="E19" s="90"/>
      <c r="F19" s="128"/>
      <c r="G19" s="347"/>
      <c r="H19" s="128"/>
      <c r="I19" s="128"/>
      <c r="J19" s="80"/>
    </row>
    <row r="20" spans="1:10" ht="12.75" x14ac:dyDescent="0.2">
      <c r="A20" s="90"/>
      <c r="B20" s="90"/>
      <c r="C20" s="90"/>
      <c r="D20" s="90"/>
      <c r="E20" s="90"/>
      <c r="F20" s="128"/>
      <c r="G20" s="90"/>
      <c r="H20" s="128"/>
      <c r="I20" s="128"/>
      <c r="J20" s="80"/>
    </row>
    <row r="21" spans="1:10" ht="12.75" x14ac:dyDescent="0.2">
      <c r="A21" s="90"/>
      <c r="B21" s="90"/>
      <c r="C21" s="90"/>
      <c r="D21" s="90"/>
      <c r="E21" s="90"/>
      <c r="F21" s="128"/>
      <c r="G21" s="347"/>
      <c r="H21" s="128"/>
      <c r="I21" s="128"/>
      <c r="J21" s="80"/>
    </row>
    <row r="22" spans="1:10" ht="12.75" x14ac:dyDescent="0.2">
      <c r="A22" s="90"/>
      <c r="B22" s="90"/>
      <c r="C22" s="90"/>
      <c r="D22" s="90"/>
      <c r="E22" s="90"/>
      <c r="F22" s="90"/>
      <c r="G22" s="90"/>
      <c r="H22" s="90"/>
      <c r="I22" s="90"/>
      <c r="J22" s="80"/>
    </row>
    <row r="23" spans="1:10" ht="12.75" x14ac:dyDescent="0.2">
      <c r="A23" s="91"/>
      <c r="B23" s="91"/>
      <c r="C23" s="91"/>
      <c r="D23" s="91"/>
      <c r="E23" s="91"/>
      <c r="F23" s="91"/>
      <c r="G23" s="91"/>
      <c r="H23" s="91"/>
      <c r="I23" s="91"/>
      <c r="J23" s="80"/>
    </row>
    <row r="24" spans="1:10" ht="12.75" x14ac:dyDescent="0.2">
      <c r="A24" s="91"/>
      <c r="B24" s="91"/>
      <c r="C24" s="91"/>
      <c r="D24" s="91"/>
      <c r="E24" s="91"/>
      <c r="F24" s="91"/>
      <c r="G24" s="91"/>
      <c r="H24" s="91"/>
      <c r="I24" s="91"/>
      <c r="J24" s="80"/>
    </row>
    <row r="25" spans="1:10" ht="12.75" x14ac:dyDescent="0.2">
      <c r="A25" s="91"/>
      <c r="B25" s="91"/>
      <c r="C25" s="91"/>
      <c r="D25" s="91"/>
      <c r="E25" s="91"/>
      <c r="F25" s="91"/>
      <c r="G25" s="91"/>
      <c r="H25" s="91"/>
      <c r="I25" s="91"/>
      <c r="J25" s="80"/>
    </row>
    <row r="26" spans="1:10" ht="12.75" x14ac:dyDescent="0.2">
      <c r="A26" s="91"/>
      <c r="B26" s="91"/>
      <c r="C26" s="91"/>
      <c r="D26" s="91"/>
      <c r="E26" s="91"/>
      <c r="F26" s="91"/>
      <c r="G26" s="91"/>
      <c r="H26" s="91"/>
      <c r="I26" s="91"/>
      <c r="J26" s="80"/>
    </row>
    <row r="27" spans="1:10" ht="12.75" x14ac:dyDescent="0.2">
      <c r="J27" s="80"/>
    </row>
    <row r="28" spans="1:10" ht="12.75" x14ac:dyDescent="0.2">
      <c r="J28" s="80"/>
    </row>
    <row r="29" spans="1:10" ht="12.75" x14ac:dyDescent="0.2">
      <c r="J29" s="80"/>
    </row>
    <row r="30" spans="1:10" ht="12.75" x14ac:dyDescent="0.2">
      <c r="J30" s="80"/>
    </row>
    <row r="31" spans="1:10" ht="12.75" x14ac:dyDescent="0.2">
      <c r="J31" s="80"/>
    </row>
    <row r="32" spans="1:10" ht="12.75" x14ac:dyDescent="0.2">
      <c r="J32" s="80"/>
    </row>
    <row r="33" spans="1:10" ht="12.75" x14ac:dyDescent="0.2">
      <c r="J33" s="80"/>
    </row>
    <row r="34" spans="1:10" ht="12.75" x14ac:dyDescent="0.2">
      <c r="J34" s="80"/>
    </row>
    <row r="35" spans="1:10" ht="12.75" x14ac:dyDescent="0.2">
      <c r="J35" s="80"/>
    </row>
    <row r="36" spans="1:10" ht="12.75" x14ac:dyDescent="0.2">
      <c r="J36" s="80"/>
    </row>
    <row r="37" spans="1:10" ht="12.75" x14ac:dyDescent="0.2">
      <c r="J37" s="80"/>
    </row>
    <row r="38" spans="1:10" ht="12.75" x14ac:dyDescent="0.2">
      <c r="J38" s="80"/>
    </row>
    <row r="39" spans="1:10" ht="12.75" x14ac:dyDescent="0.2">
      <c r="J39" s="80"/>
    </row>
    <row r="40" spans="1:10" ht="12.75" x14ac:dyDescent="0.2">
      <c r="J40" s="80"/>
    </row>
    <row r="41" spans="1:10" ht="12.75" x14ac:dyDescent="0.2">
      <c r="J41" s="80"/>
    </row>
    <row r="42" spans="1:10" ht="12.75" x14ac:dyDescent="0.2">
      <c r="A42" s="80"/>
      <c r="B42" s="80"/>
      <c r="C42" s="80"/>
      <c r="D42" s="80"/>
      <c r="E42" s="80"/>
      <c r="F42" s="80"/>
      <c r="G42" s="80"/>
      <c r="H42" s="80"/>
      <c r="I42" s="80"/>
      <c r="J42" s="80"/>
    </row>
    <row r="43" spans="1:10" ht="12.75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</row>
    <row r="44" spans="1:10" ht="12.75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</row>
    <row r="45" spans="1:10" ht="12.75" x14ac:dyDescent="0.2">
      <c r="A45" s="80"/>
      <c r="B45" s="80"/>
      <c r="C45" s="80"/>
      <c r="D45" s="80"/>
      <c r="E45" s="80"/>
      <c r="F45" s="80"/>
      <c r="G45" s="80"/>
      <c r="H45" s="80"/>
      <c r="I45" s="80"/>
      <c r="J45" s="80"/>
    </row>
    <row r="46" spans="1:10" ht="12.75" x14ac:dyDescent="0.2">
      <c r="A46" s="80"/>
      <c r="B46" s="80"/>
      <c r="C46" s="80"/>
      <c r="D46" s="80"/>
      <c r="E46" s="80"/>
      <c r="F46" s="80"/>
      <c r="G46" s="80"/>
      <c r="H46" s="80"/>
      <c r="I46" s="80"/>
      <c r="J46" s="80"/>
    </row>
    <row r="47" spans="1:10" ht="12.75" x14ac:dyDescent="0.2">
      <c r="A47" s="80"/>
      <c r="B47" s="80"/>
      <c r="C47" s="80"/>
      <c r="D47" s="80"/>
      <c r="E47" s="80"/>
      <c r="F47" s="80"/>
      <c r="G47" s="80"/>
      <c r="H47" s="80"/>
      <c r="I47" s="80"/>
      <c r="J47" s="80"/>
    </row>
    <row r="48" spans="1:10" ht="12.75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</row>
    <row r="49" spans="10:10" ht="12.75" x14ac:dyDescent="0.2">
      <c r="J49" s="80"/>
    </row>
    <row r="50" spans="10:10" ht="12.75" x14ac:dyDescent="0.2">
      <c r="J50" s="80"/>
    </row>
    <row r="51" spans="10:10" ht="12.75" x14ac:dyDescent="0.2">
      <c r="J51" s="80"/>
    </row>
    <row r="52" spans="10:10" ht="12.75" x14ac:dyDescent="0.2">
      <c r="J52" s="80"/>
    </row>
    <row r="53" spans="10:10" ht="12.75" x14ac:dyDescent="0.2">
      <c r="J53" s="80"/>
    </row>
    <row r="54" spans="10:10" ht="12.75" x14ac:dyDescent="0.2">
      <c r="J54" s="80"/>
    </row>
    <row r="55" spans="10:10" ht="12.75" x14ac:dyDescent="0.2">
      <c r="J55" s="80"/>
    </row>
    <row r="56" spans="10:10" ht="12.75" x14ac:dyDescent="0.2">
      <c r="J56" s="80"/>
    </row>
    <row r="57" spans="10:10" ht="12.75" x14ac:dyDescent="0.2">
      <c r="J57" s="80"/>
    </row>
    <row r="58" spans="10:10" ht="12.75" x14ac:dyDescent="0.2">
      <c r="J58" s="80"/>
    </row>
    <row r="59" spans="10:10" ht="12.75" x14ac:dyDescent="0.2">
      <c r="J59" s="80"/>
    </row>
    <row r="60" spans="10:10" ht="12.75" x14ac:dyDescent="0.2">
      <c r="J60" s="80"/>
    </row>
    <row r="61" spans="10:10" ht="12.75" x14ac:dyDescent="0.2">
      <c r="J61" s="80"/>
    </row>
    <row r="62" spans="10:10" ht="12.75" x14ac:dyDescent="0.2">
      <c r="J62" s="80"/>
    </row>
    <row r="63" spans="10:10" ht="12.75" x14ac:dyDescent="0.2">
      <c r="J63" s="80"/>
    </row>
    <row r="64" spans="10:10" ht="12.75" x14ac:dyDescent="0.2">
      <c r="J64" s="80"/>
    </row>
    <row r="65" spans="1:10" ht="12.75" x14ac:dyDescent="0.2">
      <c r="J65" s="80"/>
    </row>
    <row r="66" spans="1:10" ht="12.75" x14ac:dyDescent="0.2">
      <c r="J66" s="80"/>
    </row>
    <row r="67" spans="1:10" ht="12.75" x14ac:dyDescent="0.2">
      <c r="A67" s="80"/>
      <c r="B67" s="80"/>
      <c r="C67" s="80"/>
      <c r="D67" s="80"/>
      <c r="E67" s="80"/>
      <c r="F67" s="80"/>
      <c r="G67" s="80"/>
      <c r="H67" s="80"/>
      <c r="I67" s="80"/>
      <c r="J67" s="80"/>
    </row>
    <row r="68" spans="1:10" ht="12.75" x14ac:dyDescent="0.2">
      <c r="A68" s="80"/>
      <c r="B68" s="80"/>
      <c r="C68" s="80"/>
      <c r="D68" s="80"/>
      <c r="E68" s="80"/>
      <c r="F68" s="80"/>
      <c r="G68" s="80"/>
      <c r="H68" s="80"/>
      <c r="I68" s="80"/>
      <c r="J68" s="80"/>
    </row>
    <row r="69" spans="1:10" ht="12.75" x14ac:dyDescent="0.2">
      <c r="A69" s="80"/>
      <c r="B69" s="80"/>
      <c r="C69" s="80"/>
      <c r="D69" s="80"/>
      <c r="E69" s="80"/>
      <c r="F69" s="80"/>
      <c r="G69" s="80"/>
      <c r="H69" s="80"/>
      <c r="I69" s="80"/>
      <c r="J69" s="80"/>
    </row>
    <row r="70" spans="1:10" ht="12.75" x14ac:dyDescent="0.2">
      <c r="A70" s="80"/>
      <c r="B70" s="80"/>
      <c r="C70" s="80"/>
      <c r="D70" s="80"/>
      <c r="E70" s="80"/>
      <c r="F70" s="80"/>
      <c r="G70" s="80"/>
      <c r="H70" s="80"/>
      <c r="I70" s="80"/>
      <c r="J70" s="80"/>
    </row>
    <row r="71" spans="1:10" ht="12.75" x14ac:dyDescent="0.2">
      <c r="A71" s="80"/>
      <c r="B71" s="80"/>
      <c r="C71" s="80"/>
      <c r="D71" s="80"/>
      <c r="E71" s="80"/>
      <c r="F71" s="80"/>
      <c r="G71" s="80"/>
      <c r="H71" s="80"/>
      <c r="I71" s="80"/>
      <c r="J71" s="80"/>
    </row>
    <row r="72" spans="1:10" ht="12.75" x14ac:dyDescent="0.2">
      <c r="A72" s="80"/>
      <c r="B72" s="80"/>
      <c r="C72" s="80"/>
      <c r="D72" s="80"/>
      <c r="E72" s="80"/>
      <c r="F72" s="80"/>
      <c r="G72" s="80"/>
      <c r="H72" s="80"/>
      <c r="I72" s="80"/>
      <c r="J72" s="80"/>
    </row>
    <row r="73" spans="1:10" ht="12.75" x14ac:dyDescent="0.2">
      <c r="A73" s="80"/>
      <c r="B73" s="80"/>
      <c r="C73" s="80"/>
      <c r="D73" s="80"/>
      <c r="E73" s="80"/>
      <c r="F73" s="80"/>
      <c r="G73" s="80"/>
      <c r="H73" s="80"/>
      <c r="I73" s="80"/>
      <c r="J73" s="80"/>
    </row>
    <row r="74" spans="1:10" ht="12.75" x14ac:dyDescent="0.2">
      <c r="A74" s="80"/>
      <c r="B74" s="80"/>
      <c r="C74" s="80"/>
      <c r="D74" s="80"/>
      <c r="E74" s="80"/>
      <c r="F74" s="80"/>
      <c r="G74" s="80"/>
      <c r="H74" s="80"/>
      <c r="I74" s="80"/>
      <c r="J74" s="80"/>
    </row>
    <row r="75" spans="1:10" ht="12.75" x14ac:dyDescent="0.2">
      <c r="A75" s="80"/>
      <c r="B75" s="80"/>
      <c r="C75" s="80"/>
      <c r="D75" s="80"/>
      <c r="E75" s="80"/>
      <c r="F75" s="80"/>
      <c r="G75" s="80"/>
      <c r="H75" s="80"/>
      <c r="I75" s="80"/>
      <c r="J75" s="80"/>
    </row>
    <row r="76" spans="1:10" ht="12.75" x14ac:dyDescent="0.2">
      <c r="A76" s="80"/>
      <c r="B76" s="80"/>
      <c r="C76" s="80"/>
      <c r="D76" s="80"/>
      <c r="E76" s="80"/>
      <c r="F76" s="80"/>
      <c r="G76" s="80"/>
      <c r="H76" s="80"/>
      <c r="I76" s="80"/>
      <c r="J76" s="80"/>
    </row>
    <row r="77" spans="1:10" ht="12.75" x14ac:dyDescent="0.2">
      <c r="A77" s="80"/>
      <c r="B77" s="80"/>
      <c r="C77" s="80"/>
      <c r="D77" s="80"/>
      <c r="E77" s="80"/>
      <c r="F77" s="80"/>
      <c r="G77" s="80"/>
      <c r="H77" s="80"/>
      <c r="I77" s="80"/>
      <c r="J77" s="80"/>
    </row>
    <row r="78" spans="1:10" ht="12.75" x14ac:dyDescent="0.2">
      <c r="A78" s="80"/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12.75" x14ac:dyDescent="0.2">
      <c r="A79" s="80"/>
      <c r="B79" s="80"/>
      <c r="C79" s="80"/>
      <c r="D79" s="80"/>
      <c r="E79" s="80"/>
      <c r="F79" s="80"/>
      <c r="G79" s="80"/>
      <c r="H79" s="80"/>
      <c r="I79" s="80"/>
      <c r="J79" s="80"/>
    </row>
    <row r="80" spans="1:10" ht="12.75" x14ac:dyDescent="0.2">
      <c r="A80" s="80"/>
      <c r="B80" s="80"/>
      <c r="C80" s="80"/>
      <c r="D80" s="80"/>
      <c r="E80" s="80"/>
      <c r="F80" s="80"/>
      <c r="G80" s="80"/>
      <c r="H80" s="80"/>
      <c r="I80" s="80"/>
      <c r="J80" s="80"/>
    </row>
    <row r="81" spans="1:10" ht="12.75" x14ac:dyDescent="0.2">
      <c r="A81" s="80"/>
      <c r="B81" s="80"/>
      <c r="C81" s="80"/>
      <c r="D81" s="80"/>
      <c r="E81" s="80"/>
      <c r="F81" s="80"/>
      <c r="G81" s="80"/>
      <c r="H81" s="80"/>
      <c r="I81" s="80"/>
      <c r="J81" s="80"/>
    </row>
    <row r="82" spans="1:10" ht="12.75" x14ac:dyDescent="0.2">
      <c r="A82" s="80"/>
      <c r="B82" s="80"/>
      <c r="C82" s="80"/>
      <c r="D82" s="80"/>
      <c r="E82" s="80"/>
      <c r="F82" s="80"/>
      <c r="G82" s="80"/>
      <c r="H82" s="80"/>
      <c r="I82" s="80"/>
      <c r="J82" s="80"/>
    </row>
    <row r="83" spans="1:10" ht="12.75" x14ac:dyDescent="0.2">
      <c r="A83" s="80"/>
      <c r="B83" s="80"/>
      <c r="C83" s="80"/>
      <c r="D83" s="80"/>
      <c r="E83" s="80"/>
      <c r="F83" s="80"/>
      <c r="G83" s="80"/>
      <c r="H83" s="80"/>
      <c r="I83" s="80"/>
      <c r="J83" s="80"/>
    </row>
    <row r="84" spans="1:10" ht="12.75" x14ac:dyDescent="0.2">
      <c r="A84" s="80"/>
      <c r="B84" s="80"/>
      <c r="C84" s="80"/>
      <c r="D84" s="80"/>
      <c r="E84" s="80"/>
      <c r="F84" s="80"/>
      <c r="G84" s="80"/>
      <c r="H84" s="80"/>
      <c r="I84" s="80"/>
      <c r="J84" s="80"/>
    </row>
    <row r="85" spans="1:10" ht="12.75" x14ac:dyDescent="0.2">
      <c r="A85" s="80"/>
      <c r="B85" s="80"/>
      <c r="C85" s="80"/>
      <c r="D85" s="80"/>
      <c r="E85" s="80"/>
      <c r="F85" s="80"/>
      <c r="G85" s="80"/>
      <c r="H85" s="80"/>
      <c r="I85" s="80"/>
      <c r="J85" s="80"/>
    </row>
    <row r="86" spans="1:10" ht="12.75" x14ac:dyDescent="0.2">
      <c r="A86" s="80"/>
      <c r="B86" s="80"/>
      <c r="C86" s="80"/>
      <c r="D86" s="80"/>
      <c r="E86" s="80"/>
      <c r="F86" s="80"/>
      <c r="G86" s="80"/>
      <c r="H86" s="80"/>
      <c r="I86" s="80"/>
      <c r="J86" s="80"/>
    </row>
    <row r="87" spans="1:10" ht="12.75" x14ac:dyDescent="0.2">
      <c r="A87" s="80"/>
      <c r="B87" s="80"/>
      <c r="C87" s="80"/>
      <c r="D87" s="80"/>
      <c r="E87" s="80"/>
      <c r="F87" s="80"/>
      <c r="G87" s="80"/>
      <c r="H87" s="80"/>
      <c r="I87" s="80"/>
      <c r="J87" s="80"/>
    </row>
    <row r="88" spans="1:10" ht="12.75" x14ac:dyDescent="0.2">
      <c r="A88" s="80"/>
      <c r="B88" s="80"/>
      <c r="C88" s="80"/>
      <c r="D88" s="80"/>
      <c r="E88" s="80"/>
      <c r="F88" s="80"/>
      <c r="G88" s="80"/>
      <c r="H88" s="80"/>
      <c r="I88" s="80"/>
      <c r="J88" s="80"/>
    </row>
  </sheetData>
  <mergeCells count="5">
    <mergeCell ref="A15:I15"/>
    <mergeCell ref="A1:I1"/>
    <mergeCell ref="A2:I2"/>
    <mergeCell ref="A3:I3"/>
    <mergeCell ref="A4:I4"/>
  </mergeCells>
  <phoneticPr fontId="0" type="noConversion"/>
  <printOptions horizontalCentered="1"/>
  <pageMargins left="0.25" right="0.25" top="1" bottom="0.75" header="0.5" footer="0.5"/>
  <pageSetup orientation="landscape" r:id="rId1"/>
  <headerFooter alignWithMargins="0"/>
  <rowBreaks count="2" manualBreakCount="2">
    <brk id="19" max="16383" man="1"/>
    <brk id="43" max="12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L57" sqref="L57"/>
    </sheetView>
  </sheetViews>
  <sheetFormatPr defaultRowHeight="10.5" x14ac:dyDescent="0.15"/>
  <cols>
    <col min="2" max="2" width="2.83203125" customWidth="1"/>
    <col min="3" max="3" width="30.83203125" bestFit="1" customWidth="1"/>
    <col min="4" max="4" width="2.83203125" customWidth="1"/>
    <col min="5" max="5" width="20.5" bestFit="1" customWidth="1"/>
    <col min="6" max="6" width="2.83203125" customWidth="1"/>
    <col min="7" max="7" width="16.5" customWidth="1"/>
    <col min="8" max="8" width="2.83203125" customWidth="1"/>
    <col min="9" max="9" width="13.83203125" bestFit="1" customWidth="1"/>
    <col min="10" max="10" width="2.83203125" customWidth="1"/>
    <col min="11" max="11" width="14.1640625" bestFit="1" customWidth="1"/>
    <col min="12" max="12" width="2.83203125" customWidth="1"/>
    <col min="13" max="13" width="14.33203125" customWidth="1"/>
  </cols>
  <sheetData>
    <row r="1" spans="1:13" ht="12.75" x14ac:dyDescent="0.2">
      <c r="A1" s="1408" t="s">
        <v>477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1408"/>
    </row>
    <row r="2" spans="1:13" ht="12.75" x14ac:dyDescent="0.2">
      <c r="A2" s="1391" t="str">
        <f>+Input!C4</f>
        <v>CASE NO. 2017-xxxxx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1391"/>
    </row>
    <row r="3" spans="1:13" ht="12.75" x14ac:dyDescent="0.2">
      <c r="A3" s="1408" t="s">
        <v>393</v>
      </c>
      <c r="B3" s="1408"/>
      <c r="C3" s="1408"/>
      <c r="D3" s="1408"/>
      <c r="E3" s="1408"/>
      <c r="F3" s="1408"/>
      <c r="G3" s="1408"/>
      <c r="H3" s="1408"/>
      <c r="I3" s="1408"/>
      <c r="J3" s="1408"/>
      <c r="K3" s="1408"/>
      <c r="L3" s="1408"/>
      <c r="M3" s="1408"/>
    </row>
    <row r="4" spans="1:13" ht="12.75" x14ac:dyDescent="0.2">
      <c r="A4" s="1391" t="str">
        <f>+Input!C9</f>
        <v>FOR THE HISTORIC PERIOD DECEMBER 31, 2017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1391"/>
    </row>
    <row r="5" spans="1:13" ht="12.75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ht="12.75" x14ac:dyDescent="0.2">
      <c r="A6" s="112" t="s">
        <v>394</v>
      </c>
      <c r="B6" s="90"/>
      <c r="C6" s="90"/>
      <c r="D6" s="90"/>
      <c r="E6" s="90"/>
      <c r="F6" s="90"/>
      <c r="G6" s="90"/>
      <c r="H6" s="90"/>
      <c r="I6" s="90"/>
      <c r="J6" s="91"/>
      <c r="K6" s="90"/>
      <c r="L6" s="90"/>
      <c r="M6" s="119" t="s">
        <v>395</v>
      </c>
    </row>
    <row r="7" spans="1:13" ht="12.75" x14ac:dyDescent="0.2">
      <c r="A7" s="112" t="s">
        <v>490</v>
      </c>
      <c r="B7" s="90"/>
      <c r="C7" s="90"/>
      <c r="D7" s="90"/>
      <c r="E7" s="90"/>
      <c r="F7" s="90"/>
      <c r="G7" s="90"/>
      <c r="H7" s="90"/>
      <c r="I7" s="90"/>
      <c r="J7" s="91"/>
      <c r="K7" s="90"/>
      <c r="L7" s="90"/>
      <c r="M7" s="119" t="s">
        <v>491</v>
      </c>
    </row>
    <row r="8" spans="1:13" ht="12.75" x14ac:dyDescent="0.2">
      <c r="A8" s="120" t="s">
        <v>848</v>
      </c>
      <c r="B8" s="121"/>
      <c r="C8" s="121"/>
      <c r="D8" s="121"/>
      <c r="E8" s="121"/>
      <c r="F8" s="121"/>
      <c r="G8" s="121"/>
      <c r="H8" s="121"/>
      <c r="I8" s="122"/>
      <c r="J8" s="346"/>
      <c r="K8" s="122"/>
      <c r="L8" s="121"/>
      <c r="M8" s="123" t="str">
        <f>+Input!E27</f>
        <v>WITNESS:  C. Y. LAI</v>
      </c>
    </row>
    <row r="9" spans="1:13" ht="12.75" x14ac:dyDescent="0.2">
      <c r="A9" s="90"/>
      <c r="B9" s="90"/>
      <c r="C9" s="90"/>
      <c r="D9" s="90"/>
      <c r="E9" s="90"/>
      <c r="F9" s="90"/>
      <c r="G9" s="113" t="s">
        <v>1235</v>
      </c>
      <c r="H9" s="90"/>
      <c r="I9" s="113" t="s">
        <v>834</v>
      </c>
      <c r="J9" s="90"/>
      <c r="K9" s="90"/>
      <c r="L9" s="90"/>
      <c r="M9" s="90"/>
    </row>
    <row r="10" spans="1:13" ht="12.75" x14ac:dyDescent="0.2">
      <c r="A10" s="90"/>
      <c r="B10" s="90"/>
      <c r="C10" s="90"/>
      <c r="D10" s="90"/>
      <c r="E10" s="90"/>
      <c r="F10" s="90"/>
      <c r="G10" s="113" t="s">
        <v>1739</v>
      </c>
      <c r="H10" s="90"/>
      <c r="I10" s="113" t="s">
        <v>1740</v>
      </c>
      <c r="J10" s="90"/>
      <c r="K10" s="113" t="s">
        <v>1740</v>
      </c>
      <c r="L10" s="90"/>
      <c r="M10" s="90"/>
    </row>
    <row r="11" spans="1:13" ht="12.75" x14ac:dyDescent="0.2">
      <c r="A11" s="113" t="s">
        <v>493</v>
      </c>
      <c r="B11" s="90"/>
      <c r="C11" s="113" t="s">
        <v>401</v>
      </c>
      <c r="D11" s="90"/>
      <c r="E11" s="113" t="s">
        <v>1740</v>
      </c>
      <c r="F11" s="90"/>
      <c r="G11" s="113" t="s">
        <v>982</v>
      </c>
      <c r="H11" s="90"/>
      <c r="I11" s="113" t="s">
        <v>1742</v>
      </c>
      <c r="J11" s="90"/>
      <c r="K11" s="113" t="s">
        <v>1743</v>
      </c>
      <c r="L11" s="90"/>
      <c r="M11" s="113" t="s">
        <v>526</v>
      </c>
    </row>
    <row r="12" spans="1:13" ht="12.75" x14ac:dyDescent="0.2">
      <c r="A12" s="113" t="s">
        <v>496</v>
      </c>
      <c r="B12" s="90"/>
      <c r="C12" s="113" t="s">
        <v>402</v>
      </c>
      <c r="D12" s="90"/>
      <c r="E12" s="113" t="s">
        <v>1148</v>
      </c>
      <c r="F12" s="90"/>
      <c r="G12" s="113" t="s">
        <v>1740</v>
      </c>
      <c r="H12" s="90"/>
      <c r="I12" s="113" t="s">
        <v>982</v>
      </c>
      <c r="J12" s="90"/>
      <c r="K12" s="113" t="s">
        <v>403</v>
      </c>
      <c r="L12" s="90"/>
      <c r="M12" s="113" t="s">
        <v>1735</v>
      </c>
    </row>
    <row r="13" spans="1:13" ht="12.75" x14ac:dyDescent="0.2">
      <c r="A13" s="124" t="s">
        <v>1746</v>
      </c>
      <c r="B13" s="121"/>
      <c r="C13" s="124" t="s">
        <v>1747</v>
      </c>
      <c r="D13" s="121"/>
      <c r="E13" s="124" t="s">
        <v>1748</v>
      </c>
      <c r="F13" s="121"/>
      <c r="G13" s="124" t="s">
        <v>1749</v>
      </c>
      <c r="H13" s="121"/>
      <c r="I13" s="124" t="s">
        <v>1750</v>
      </c>
      <c r="J13" s="121"/>
      <c r="K13" s="124" t="s">
        <v>1751</v>
      </c>
      <c r="L13" s="121"/>
      <c r="M13" s="124" t="s">
        <v>1752</v>
      </c>
    </row>
    <row r="14" spans="1:13" ht="12.75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12.75" x14ac:dyDescent="0.2">
      <c r="A15" s="90"/>
      <c r="B15" s="90"/>
      <c r="C15" s="90"/>
      <c r="D15" s="90"/>
      <c r="E15" s="90"/>
      <c r="F15" s="128"/>
      <c r="G15" s="347"/>
      <c r="H15" s="128"/>
      <c r="I15" s="128"/>
      <c r="J15" s="128"/>
      <c r="K15" s="90"/>
      <c r="L15" s="128"/>
      <c r="M15" s="90"/>
    </row>
    <row r="16" spans="1:13" ht="12.75" x14ac:dyDescent="0.2">
      <c r="A16" s="90"/>
      <c r="B16" s="90"/>
      <c r="C16" s="90"/>
      <c r="D16" s="90"/>
      <c r="E16" s="90"/>
      <c r="F16" s="128"/>
      <c r="G16" s="90"/>
      <c r="H16" s="128"/>
      <c r="I16" s="128"/>
      <c r="J16" s="128"/>
      <c r="K16" s="90"/>
      <c r="L16" s="90"/>
      <c r="M16" s="90"/>
    </row>
    <row r="17" spans="1:13" ht="12.75" x14ac:dyDescent="0.2">
      <c r="A17" s="1391" t="s">
        <v>1737</v>
      </c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</row>
    <row r="18" spans="1:13" ht="12.75" x14ac:dyDescent="0.2">
      <c r="A18" s="90"/>
      <c r="B18" s="90"/>
      <c r="C18" s="90"/>
      <c r="D18" s="90"/>
      <c r="E18" s="90"/>
      <c r="F18" s="128"/>
      <c r="G18" s="90"/>
      <c r="H18" s="128"/>
      <c r="I18" s="128"/>
      <c r="J18" s="90"/>
      <c r="K18" s="90"/>
      <c r="L18" s="128"/>
      <c r="M18" s="90"/>
    </row>
    <row r="19" spans="1:13" ht="12.75" x14ac:dyDescent="0.2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</row>
    <row r="20" spans="1:13" ht="11.25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  <row r="21" spans="1:13" ht="11.25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</sheetData>
  <mergeCells count="5">
    <mergeCell ref="A17:M17"/>
    <mergeCell ref="A1:M1"/>
    <mergeCell ref="A2:M2"/>
    <mergeCell ref="A3:M3"/>
    <mergeCell ref="A4:M4"/>
  </mergeCells>
  <phoneticPr fontId="0" type="noConversion"/>
  <printOptions horizontalCentered="1"/>
  <pageMargins left="0.25" right="0.25" top="1" bottom="0.5" header="0.5" footer="0.5"/>
  <pageSetup scale="9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L9" sqref="L9"/>
    </sheetView>
  </sheetViews>
  <sheetFormatPr defaultRowHeight="10.5" x14ac:dyDescent="0.15"/>
  <cols>
    <col min="2" max="2" width="2.83203125" customWidth="1"/>
    <col min="3" max="3" width="16.6640625" bestFit="1" customWidth="1"/>
    <col min="4" max="4" width="2.83203125" customWidth="1"/>
    <col min="5" max="5" width="16.5" bestFit="1" customWidth="1"/>
    <col min="6" max="6" width="2.83203125" customWidth="1"/>
    <col min="7" max="7" width="41.1640625" bestFit="1" customWidth="1"/>
    <col min="8" max="8" width="2.83203125" customWidth="1"/>
  </cols>
  <sheetData>
    <row r="1" spans="1:13" ht="12.75" x14ac:dyDescent="0.2">
      <c r="A1" s="1408" t="s">
        <v>477</v>
      </c>
      <c r="B1" s="1408"/>
      <c r="C1" s="1408"/>
      <c r="D1" s="1408"/>
      <c r="E1" s="1408"/>
      <c r="F1" s="1408"/>
      <c r="G1" s="1408"/>
      <c r="H1" s="1408"/>
      <c r="I1" s="1408"/>
      <c r="J1" s="1408"/>
      <c r="K1" s="1408"/>
      <c r="L1" s="1408"/>
      <c r="M1" s="91"/>
    </row>
    <row r="2" spans="1:13" ht="12.75" x14ac:dyDescent="0.2">
      <c r="A2" s="1391" t="str">
        <f>+Input!C4</f>
        <v>CASE NO. 2017-xxxxx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  <c r="M2" s="91"/>
    </row>
    <row r="3" spans="1:13" ht="12.75" x14ac:dyDescent="0.2">
      <c r="A3" s="1408" t="s">
        <v>977</v>
      </c>
      <c r="B3" s="1408"/>
      <c r="C3" s="1408"/>
      <c r="D3" s="1408"/>
      <c r="E3" s="1408"/>
      <c r="F3" s="1408"/>
      <c r="G3" s="1408"/>
      <c r="H3" s="1408"/>
      <c r="I3" s="1408"/>
      <c r="J3" s="1408"/>
      <c r="K3" s="1408"/>
      <c r="L3" s="1408"/>
      <c r="M3" s="91"/>
    </row>
    <row r="4" spans="1:13" ht="12.75" x14ac:dyDescent="0.2">
      <c r="A4" s="1391" t="str">
        <f>+Input!C9</f>
        <v>FOR THE HISTORIC PERIOD DECEMBER 31, 2017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  <c r="M4" s="91"/>
    </row>
    <row r="5" spans="1:13" ht="12.75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1"/>
    </row>
    <row r="6" spans="1:13" ht="12.75" x14ac:dyDescent="0.2">
      <c r="A6" s="112" t="s">
        <v>394</v>
      </c>
      <c r="B6" s="90"/>
      <c r="C6" s="90"/>
      <c r="D6" s="90"/>
      <c r="E6" s="90"/>
      <c r="F6" s="90"/>
      <c r="G6" s="90"/>
      <c r="H6" s="90"/>
      <c r="I6" s="90"/>
      <c r="J6" s="91"/>
      <c r="K6" s="90"/>
      <c r="L6" s="119" t="s">
        <v>404</v>
      </c>
      <c r="M6" s="91"/>
    </row>
    <row r="7" spans="1:13" ht="12.75" x14ac:dyDescent="0.2">
      <c r="A7" s="112" t="s">
        <v>490</v>
      </c>
      <c r="B7" s="90"/>
      <c r="C7" s="90"/>
      <c r="D7" s="90"/>
      <c r="E7" s="90"/>
      <c r="F7" s="90"/>
      <c r="G7" s="90"/>
      <c r="H7" s="90"/>
      <c r="I7" s="90"/>
      <c r="J7" s="91"/>
      <c r="K7" s="90"/>
      <c r="L7" s="119" t="s">
        <v>491</v>
      </c>
      <c r="M7" s="91"/>
    </row>
    <row r="8" spans="1:13" ht="12.75" x14ac:dyDescent="0.2">
      <c r="A8" s="120" t="s">
        <v>848</v>
      </c>
      <c r="B8" s="121"/>
      <c r="C8" s="121"/>
      <c r="D8" s="121"/>
      <c r="E8" s="121"/>
      <c r="F8" s="121"/>
      <c r="G8" s="121"/>
      <c r="H8" s="121"/>
      <c r="I8" s="122"/>
      <c r="J8" s="346"/>
      <c r="K8" s="122"/>
      <c r="L8" s="123" t="str">
        <f>+Input!E27</f>
        <v>WITNESS:  C. Y. LAI</v>
      </c>
      <c r="M8" s="91"/>
    </row>
    <row r="9" spans="1:13" ht="12.75" x14ac:dyDescent="0.2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1"/>
    </row>
    <row r="10" spans="1:13" ht="12.75" x14ac:dyDescent="0.2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1"/>
    </row>
    <row r="11" spans="1:13" ht="12.75" x14ac:dyDescent="0.2">
      <c r="A11" s="113" t="s">
        <v>493</v>
      </c>
      <c r="B11" s="90"/>
      <c r="C11" s="90"/>
      <c r="D11" s="90"/>
      <c r="E11" s="90"/>
      <c r="F11" s="90"/>
      <c r="G11" s="113" t="s">
        <v>1755</v>
      </c>
      <c r="H11" s="90"/>
      <c r="I11" s="90"/>
      <c r="J11" s="90"/>
      <c r="K11" s="90"/>
      <c r="L11" s="90"/>
      <c r="M11" s="91"/>
    </row>
    <row r="12" spans="1:13" ht="12.75" x14ac:dyDescent="0.2">
      <c r="A12" s="124" t="s">
        <v>496</v>
      </c>
      <c r="B12" s="121"/>
      <c r="C12" s="124" t="s">
        <v>1756</v>
      </c>
      <c r="D12" s="121"/>
      <c r="E12" s="124" t="s">
        <v>480</v>
      </c>
      <c r="F12" s="121"/>
      <c r="G12" s="124" t="s">
        <v>1757</v>
      </c>
      <c r="H12" s="121"/>
      <c r="I12" s="121"/>
      <c r="J12" s="124" t="s">
        <v>1758</v>
      </c>
      <c r="K12" s="121"/>
      <c r="L12" s="121"/>
      <c r="M12" s="91"/>
    </row>
    <row r="13" spans="1:13" ht="12.75" x14ac:dyDescent="0.2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</row>
    <row r="14" spans="1:13" ht="12.75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</row>
    <row r="15" spans="1:13" ht="12.75" x14ac:dyDescent="0.2">
      <c r="A15" s="90"/>
      <c r="B15" s="90"/>
      <c r="C15" s="90"/>
      <c r="D15" s="90"/>
      <c r="E15" s="90"/>
      <c r="F15" s="128"/>
      <c r="G15" s="347"/>
      <c r="H15" s="128"/>
      <c r="I15" s="128"/>
      <c r="J15" s="128"/>
      <c r="K15" s="90"/>
      <c r="L15" s="128"/>
      <c r="M15" s="91"/>
    </row>
    <row r="16" spans="1:13" ht="12.75" x14ac:dyDescent="0.2">
      <c r="A16" s="90"/>
      <c r="B16" s="90"/>
      <c r="C16" s="90"/>
      <c r="D16" s="90"/>
      <c r="E16" s="90"/>
      <c r="F16" s="128"/>
      <c r="G16" s="90"/>
      <c r="H16" s="128"/>
      <c r="I16" s="128"/>
      <c r="J16" s="128"/>
      <c r="K16" s="90"/>
      <c r="L16" s="90"/>
      <c r="M16" s="91"/>
    </row>
    <row r="17" spans="1:13" ht="12.75" x14ac:dyDescent="0.2">
      <c r="A17" s="1391" t="s">
        <v>1759</v>
      </c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91"/>
    </row>
    <row r="18" spans="1:13" ht="12.75" x14ac:dyDescent="0.2">
      <c r="A18" s="90"/>
      <c r="B18" s="90"/>
      <c r="C18" s="90"/>
      <c r="D18" s="90"/>
      <c r="E18" s="90"/>
      <c r="F18" s="128"/>
      <c r="G18" s="90"/>
      <c r="H18" s="128"/>
      <c r="I18" s="128"/>
      <c r="J18" s="90"/>
      <c r="K18" s="90"/>
      <c r="L18" s="128"/>
      <c r="M18" s="91"/>
    </row>
    <row r="19" spans="1:13" ht="11.25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</row>
    <row r="20" spans="1:13" ht="11.25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</row>
  </sheetData>
  <mergeCells count="5">
    <mergeCell ref="A17:L17"/>
    <mergeCell ref="A1:L1"/>
    <mergeCell ref="A2:L2"/>
    <mergeCell ref="A3:L3"/>
    <mergeCell ref="A4:L4"/>
  </mergeCells>
  <phoneticPr fontId="0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0" transitionEvaluation="1" transitionEntry="1"/>
  <dimension ref="A1:T199"/>
  <sheetViews>
    <sheetView topLeftCell="A40" zoomScaleNormal="125" zoomScaleSheetLayoutView="75" workbookViewId="0">
      <selection activeCell="C70" sqref="C70"/>
    </sheetView>
  </sheetViews>
  <sheetFormatPr defaultColWidth="8.33203125" defaultRowHeight="9" x14ac:dyDescent="0.15"/>
  <cols>
    <col min="1" max="1" width="4.1640625" style="76" customWidth="1"/>
    <col min="2" max="2" width="2.5" style="76" customWidth="1"/>
    <col min="3" max="3" width="47.6640625" style="76" bestFit="1" customWidth="1"/>
    <col min="4" max="4" width="15" style="76" bestFit="1" customWidth="1"/>
    <col min="5" max="5" width="11.33203125" style="76" customWidth="1"/>
    <col min="6" max="6" width="14.83203125" style="76" customWidth="1"/>
    <col min="7" max="7" width="12.83203125" style="76" customWidth="1"/>
    <col min="8" max="8" width="14.83203125" style="76" customWidth="1"/>
    <col min="9" max="9" width="11.83203125" style="76" customWidth="1"/>
    <col min="10" max="12" width="14.83203125" style="76" customWidth="1"/>
    <col min="13" max="13" width="11.83203125" style="76" customWidth="1"/>
    <col min="14" max="14" width="14.83203125" style="76" customWidth="1"/>
    <col min="15" max="15" width="8.33203125" style="75" customWidth="1"/>
    <col min="16" max="16384" width="8.33203125" style="76"/>
  </cols>
  <sheetData>
    <row r="1" spans="1:16" ht="12.75" x14ac:dyDescent="0.2">
      <c r="A1" s="1409" t="s">
        <v>993</v>
      </c>
      <c r="B1" s="1409"/>
      <c r="C1" s="1409"/>
      <c r="D1" s="1409"/>
      <c r="E1" s="1409"/>
      <c r="F1" s="1409"/>
      <c r="G1" s="1409"/>
      <c r="H1" s="1409"/>
      <c r="I1" s="1409"/>
      <c r="J1" s="1409"/>
      <c r="K1" s="1409"/>
      <c r="L1" s="1409"/>
      <c r="M1" s="1409"/>
      <c r="N1" s="1409"/>
      <c r="O1" s="363"/>
      <c r="P1" s="364"/>
    </row>
    <row r="2" spans="1:16" ht="12.75" x14ac:dyDescent="0.2">
      <c r="A2" s="1410" t="str">
        <f>Input!C4</f>
        <v>CASE NO. 2017-xxxxx</v>
      </c>
      <c r="B2" s="1410"/>
      <c r="C2" s="1410"/>
      <c r="D2" s="1410"/>
      <c r="E2" s="1410"/>
      <c r="F2" s="1410"/>
      <c r="G2" s="1410"/>
      <c r="H2" s="1410"/>
      <c r="I2" s="1410"/>
      <c r="J2" s="1410"/>
      <c r="K2" s="1410"/>
      <c r="L2" s="1410"/>
      <c r="M2" s="1410"/>
      <c r="N2" s="1410"/>
      <c r="O2" s="363"/>
      <c r="P2" s="364"/>
    </row>
    <row r="3" spans="1:16" ht="12.75" x14ac:dyDescent="0.2">
      <c r="A3" s="1409" t="s">
        <v>979</v>
      </c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363"/>
      <c r="P3" s="364"/>
    </row>
    <row r="4" spans="1:16" ht="12.75" x14ac:dyDescent="0.2">
      <c r="A4" s="1409" t="s">
        <v>1009</v>
      </c>
      <c r="B4" s="1409"/>
      <c r="C4" s="1409"/>
      <c r="D4" s="1409"/>
      <c r="E4" s="1409"/>
      <c r="F4" s="1409"/>
      <c r="G4" s="1409"/>
      <c r="H4" s="1409"/>
      <c r="I4" s="1409"/>
      <c r="J4" s="1409"/>
      <c r="K4" s="1409"/>
      <c r="L4" s="1409"/>
      <c r="M4" s="1409"/>
      <c r="N4" s="1409"/>
      <c r="O4" s="363"/>
      <c r="P4" s="364"/>
    </row>
    <row r="5" spans="1:16" ht="12.75" x14ac:dyDescent="0.2">
      <c r="A5" s="365" t="s">
        <v>839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4"/>
      <c r="M5" s="366"/>
      <c r="N5" s="367" t="s">
        <v>405</v>
      </c>
      <c r="O5" s="363"/>
      <c r="P5" s="364"/>
    </row>
    <row r="6" spans="1:16" ht="12.75" x14ac:dyDescent="0.2">
      <c r="A6" s="365" t="s">
        <v>490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4"/>
      <c r="M6" s="366"/>
      <c r="N6" s="367" t="s">
        <v>997</v>
      </c>
      <c r="O6" s="363"/>
      <c r="P6" s="364"/>
    </row>
    <row r="7" spans="1:16" ht="12.75" x14ac:dyDescent="0.2">
      <c r="A7" s="368" t="s">
        <v>840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4"/>
      <c r="M7" s="366"/>
      <c r="N7" s="370" t="str">
        <f>Input!E27</f>
        <v>WITNESS:  C. Y. LAI</v>
      </c>
      <c r="O7" s="363"/>
      <c r="P7" s="364"/>
    </row>
    <row r="8" spans="1:16" s="77" customFormat="1" ht="12.75" x14ac:dyDescent="0.2">
      <c r="A8" s="371"/>
      <c r="B8" s="371"/>
      <c r="C8" s="371"/>
      <c r="D8" s="372" t="s">
        <v>874</v>
      </c>
      <c r="E8" s="371"/>
      <c r="F8" s="1411" t="s">
        <v>408</v>
      </c>
      <c r="G8" s="1411"/>
      <c r="H8" s="1411"/>
      <c r="I8" s="1411"/>
      <c r="J8" s="1411"/>
      <c r="K8" s="1411"/>
      <c r="L8" s="1411"/>
      <c r="M8" s="1411"/>
      <c r="N8" s="1411"/>
      <c r="O8" s="363"/>
      <c r="P8" s="373"/>
    </row>
    <row r="9" spans="1:16" s="77" customFormat="1" ht="12.75" x14ac:dyDescent="0.2">
      <c r="A9" s="362" t="s">
        <v>493</v>
      </c>
      <c r="B9" s="371"/>
      <c r="C9" s="371"/>
      <c r="D9" s="374" t="s">
        <v>876</v>
      </c>
      <c r="E9" s="371" t="s">
        <v>536</v>
      </c>
      <c r="F9" s="362"/>
      <c r="G9" s="371" t="s">
        <v>536</v>
      </c>
      <c r="H9" s="362"/>
      <c r="I9" s="371" t="s">
        <v>536</v>
      </c>
      <c r="J9" s="375"/>
      <c r="K9" s="371" t="s">
        <v>536</v>
      </c>
      <c r="L9" s="371"/>
      <c r="M9" s="371" t="s">
        <v>536</v>
      </c>
      <c r="N9" s="371"/>
      <c r="O9" s="363"/>
      <c r="P9" s="373"/>
    </row>
    <row r="10" spans="1:16" s="77" customFormat="1" ht="12.75" x14ac:dyDescent="0.2">
      <c r="A10" s="376" t="s">
        <v>409</v>
      </c>
      <c r="B10" s="377"/>
      <c r="C10" s="376" t="s">
        <v>480</v>
      </c>
      <c r="D10" s="989" t="s">
        <v>1010</v>
      </c>
      <c r="E10" s="379" t="s">
        <v>410</v>
      </c>
      <c r="F10" s="376">
        <v>2007</v>
      </c>
      <c r="G10" s="379" t="s">
        <v>410</v>
      </c>
      <c r="H10" s="379">
        <v>2006</v>
      </c>
      <c r="I10" s="379" t="s">
        <v>410</v>
      </c>
      <c r="J10" s="379">
        <v>2005</v>
      </c>
      <c r="K10" s="379" t="s">
        <v>410</v>
      </c>
      <c r="L10" s="379">
        <v>2004</v>
      </c>
      <c r="M10" s="379" t="s">
        <v>410</v>
      </c>
      <c r="N10" s="376">
        <v>2003</v>
      </c>
      <c r="O10" s="363"/>
      <c r="P10" s="373"/>
    </row>
    <row r="11" spans="1:16" s="77" customFormat="1" ht="12.75" x14ac:dyDescent="0.2">
      <c r="A11" s="371"/>
      <c r="B11" s="371"/>
      <c r="C11" s="362"/>
      <c r="D11" s="380" t="s">
        <v>1458</v>
      </c>
      <c r="E11" s="380"/>
      <c r="F11" s="380" t="s">
        <v>1458</v>
      </c>
      <c r="G11" s="371"/>
      <c r="H11" s="380" t="s">
        <v>1458</v>
      </c>
      <c r="I11" s="371"/>
      <c r="J11" s="380" t="s">
        <v>1458</v>
      </c>
      <c r="K11" s="371"/>
      <c r="L11" s="380" t="s">
        <v>1458</v>
      </c>
      <c r="M11" s="371"/>
      <c r="N11" s="380" t="s">
        <v>1458</v>
      </c>
      <c r="O11" s="381"/>
      <c r="P11" s="373"/>
    </row>
    <row r="12" spans="1:16" ht="12.75" x14ac:dyDescent="0.2">
      <c r="A12" s="367">
        <v>1</v>
      </c>
      <c r="B12" s="366"/>
      <c r="C12" s="382" t="s">
        <v>411</v>
      </c>
      <c r="D12" s="366"/>
      <c r="E12" s="366"/>
      <c r="F12" s="366"/>
      <c r="G12" s="366"/>
      <c r="H12" s="366"/>
      <c r="I12" s="366"/>
      <c r="J12" s="366"/>
      <c r="K12" s="366"/>
      <c r="L12" s="383"/>
      <c r="M12" s="366"/>
      <c r="N12" s="383"/>
      <c r="O12" s="363"/>
      <c r="P12" s="364"/>
    </row>
    <row r="13" spans="1:16" ht="12.75" x14ac:dyDescent="0.2">
      <c r="A13" s="384"/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3"/>
      <c r="P13" s="364"/>
    </row>
    <row r="14" spans="1:16" ht="12.75" x14ac:dyDescent="0.2">
      <c r="A14" s="367">
        <f>A12+1</f>
        <v>2</v>
      </c>
      <c r="B14" s="366"/>
      <c r="C14" s="382" t="s">
        <v>412</v>
      </c>
      <c r="D14" s="366"/>
      <c r="E14" s="366"/>
      <c r="F14" s="366"/>
      <c r="G14" s="366"/>
      <c r="H14" s="366"/>
      <c r="I14" s="366"/>
      <c r="J14" s="366"/>
      <c r="K14" s="366"/>
      <c r="L14" s="383"/>
      <c r="M14" s="366"/>
      <c r="N14" s="383"/>
      <c r="O14" s="363"/>
      <c r="P14" s="364"/>
    </row>
    <row r="15" spans="1:16" ht="12.75" x14ac:dyDescent="0.2">
      <c r="A15" s="384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3"/>
      <c r="P15" s="364"/>
    </row>
    <row r="16" spans="1:16" ht="12.75" x14ac:dyDescent="0.2">
      <c r="A16" s="367">
        <f>A14+1</f>
        <v>3</v>
      </c>
      <c r="B16" s="366"/>
      <c r="C16" s="385" t="s">
        <v>413</v>
      </c>
      <c r="D16" s="729">
        <v>274605441</v>
      </c>
      <c r="E16" s="387">
        <f>(D16-F16)/F16</f>
        <v>4.471777514219398E-2</v>
      </c>
      <c r="F16" s="729">
        <v>262851315</v>
      </c>
      <c r="G16" s="387">
        <f>(F16-H16)/H16</f>
        <v>2.8008912082833647E-2</v>
      </c>
      <c r="H16" s="729">
        <v>255689724</v>
      </c>
      <c r="I16" s="387">
        <f>(H16-J16)/J16</f>
        <v>2.4810427100837792E-2</v>
      </c>
      <c r="J16" s="729">
        <v>249499534</v>
      </c>
      <c r="K16" s="387">
        <f>(J16-L16)/L16</f>
        <v>3.6238667068470516E-2</v>
      </c>
      <c r="L16" s="729">
        <v>240774198</v>
      </c>
      <c r="M16" s="387">
        <f>(L16-N16)/N16</f>
        <v>9.2320128111087248E-3</v>
      </c>
      <c r="N16" s="729">
        <v>238571701</v>
      </c>
      <c r="O16" s="363"/>
      <c r="P16" s="364"/>
    </row>
    <row r="17" spans="1:16" ht="12.75" x14ac:dyDescent="0.2">
      <c r="A17" s="367">
        <f>A16+1</f>
        <v>4</v>
      </c>
      <c r="B17" s="366"/>
      <c r="C17" s="385" t="s">
        <v>414</v>
      </c>
      <c r="D17" s="730">
        <v>118596483</v>
      </c>
      <c r="E17" s="387">
        <f>(D17-F17)/F17</f>
        <v>2.7094828952462114E-2</v>
      </c>
      <c r="F17" s="730">
        <v>115467900</v>
      </c>
      <c r="G17" s="387">
        <f>(F17-H17)/H17</f>
        <v>2.3236967063027334E-2</v>
      </c>
      <c r="H17" s="730">
        <v>112845708</v>
      </c>
      <c r="I17" s="387">
        <f>(H17-J17)/J17</f>
        <v>2.5165411302285765E-2</v>
      </c>
      <c r="J17" s="730">
        <v>110075610</v>
      </c>
      <c r="K17" s="387">
        <f>(J17-L17)/L17</f>
        <v>2.807963903924629E-2</v>
      </c>
      <c r="L17" s="730">
        <v>107069147</v>
      </c>
      <c r="M17" s="387">
        <f>(L17-N17)/N17</f>
        <v>-6.2512648771714642E-3</v>
      </c>
      <c r="N17" s="730">
        <v>107742675</v>
      </c>
      <c r="O17" s="363"/>
      <c r="P17" s="364"/>
    </row>
    <row r="18" spans="1:16" ht="12.75" x14ac:dyDescent="0.2">
      <c r="A18" s="367">
        <f>A17+1</f>
        <v>5</v>
      </c>
      <c r="B18" s="366"/>
      <c r="C18" s="385" t="s">
        <v>415</v>
      </c>
      <c r="D18" s="386">
        <f>(D16-D17)</f>
        <v>156008958</v>
      </c>
      <c r="E18" s="387">
        <f>(D18-F18)/F18</f>
        <v>5.8524515801184278E-2</v>
      </c>
      <c r="F18" s="386">
        <f>(F16-F17)</f>
        <v>147383415</v>
      </c>
      <c r="G18" s="387">
        <f>(F18-H18)/H18</f>
        <v>3.1778713082387715E-2</v>
      </c>
      <c r="H18" s="386">
        <f>(H16-H17)</f>
        <v>142844016</v>
      </c>
      <c r="I18" s="387">
        <f>(H18-J18)/J18</f>
        <v>2.4530165999344562E-2</v>
      </c>
      <c r="J18" s="386">
        <f>(J16-J17)</f>
        <v>139423924</v>
      </c>
      <c r="K18" s="387">
        <f>(J18-L18)/L18</f>
        <v>4.2772303344022509E-2</v>
      </c>
      <c r="L18" s="386">
        <f>(L16-L17)</f>
        <v>133705051</v>
      </c>
      <c r="M18" s="387">
        <f>(L18-N18)/N18</f>
        <v>2.1983080421312622E-2</v>
      </c>
      <c r="N18" s="386">
        <f>(N16-N17)</f>
        <v>130829026</v>
      </c>
      <c r="O18" s="363"/>
      <c r="P18" s="364"/>
    </row>
    <row r="19" spans="1:16" ht="12.75" x14ac:dyDescent="0.2">
      <c r="A19" s="367"/>
      <c r="B19" s="366"/>
      <c r="C19" s="389"/>
      <c r="D19" s="386"/>
      <c r="E19" s="366"/>
      <c r="F19" s="386"/>
      <c r="G19" s="366"/>
      <c r="H19" s="386"/>
      <c r="I19" s="366"/>
      <c r="J19" s="386"/>
      <c r="K19" s="366"/>
      <c r="L19" s="386"/>
      <c r="M19" s="366"/>
      <c r="N19" s="386"/>
      <c r="O19" s="363"/>
      <c r="P19" s="364"/>
    </row>
    <row r="20" spans="1:16" ht="12.75" x14ac:dyDescent="0.2">
      <c r="A20" s="367">
        <f>A18+1</f>
        <v>6</v>
      </c>
      <c r="B20" s="366"/>
      <c r="C20" s="382" t="s">
        <v>416</v>
      </c>
      <c r="D20" s="386"/>
      <c r="E20" s="366"/>
      <c r="F20" s="386"/>
      <c r="G20" s="366"/>
      <c r="H20" s="386"/>
      <c r="I20" s="366"/>
      <c r="J20" s="386"/>
      <c r="K20" s="366"/>
      <c r="L20" s="386"/>
      <c r="M20" s="366"/>
      <c r="N20" s="386"/>
      <c r="O20" s="363"/>
      <c r="P20" s="364"/>
    </row>
    <row r="21" spans="1:16" ht="12.75" x14ac:dyDescent="0.2">
      <c r="A21" s="384"/>
      <c r="B21" s="366"/>
      <c r="C21" s="366"/>
      <c r="D21" s="386"/>
      <c r="E21" s="366"/>
      <c r="F21" s="386"/>
      <c r="G21" s="366"/>
      <c r="H21" s="386"/>
      <c r="I21" s="366"/>
      <c r="J21" s="386"/>
      <c r="K21" s="366"/>
      <c r="L21" s="386"/>
      <c r="M21" s="366"/>
      <c r="N21" s="386"/>
      <c r="O21" s="363"/>
      <c r="P21" s="364"/>
    </row>
    <row r="22" spans="1:16" ht="12.75" x14ac:dyDescent="0.2">
      <c r="A22" s="367">
        <f>A20+1</f>
        <v>7</v>
      </c>
      <c r="B22" s="366"/>
      <c r="C22" s="382" t="s">
        <v>417</v>
      </c>
      <c r="D22" s="386"/>
      <c r="E22" s="366"/>
      <c r="F22" s="386"/>
      <c r="G22" s="366"/>
      <c r="H22" s="386"/>
      <c r="I22" s="366"/>
      <c r="J22" s="386"/>
      <c r="K22" s="366"/>
      <c r="L22" s="386"/>
      <c r="M22" s="366"/>
      <c r="N22" s="386"/>
      <c r="O22" s="363"/>
      <c r="P22" s="364"/>
    </row>
    <row r="23" spans="1:16" ht="12.75" x14ac:dyDescent="0.2">
      <c r="A23" s="384"/>
      <c r="B23" s="366"/>
      <c r="C23" s="366"/>
      <c r="D23" s="386"/>
      <c r="E23" s="366"/>
      <c r="F23" s="386"/>
      <c r="G23" s="366"/>
      <c r="H23" s="386"/>
      <c r="I23" s="366"/>
      <c r="J23" s="386"/>
      <c r="K23" s="366"/>
      <c r="L23" s="386"/>
      <c r="M23" s="366"/>
      <c r="N23" s="386"/>
      <c r="O23" s="363"/>
      <c r="P23" s="364"/>
    </row>
    <row r="24" spans="1:16" ht="12.75" x14ac:dyDescent="0.2">
      <c r="A24" s="367">
        <f>A22+1</f>
        <v>8</v>
      </c>
      <c r="B24" s="366"/>
      <c r="C24" s="385" t="s">
        <v>420</v>
      </c>
      <c r="D24" s="729">
        <v>4335531</v>
      </c>
      <c r="E24" s="387">
        <f t="shared" ref="E24:E33" si="0">(D24-F24)/F24</f>
        <v>0.88092695999170501</v>
      </c>
      <c r="F24" s="729">
        <v>2304997</v>
      </c>
      <c r="G24" s="387">
        <f t="shared" ref="G24:G33" si="1">(F24-H24)/H24</f>
        <v>-7.3730355925099453E-2</v>
      </c>
      <c r="H24" s="729">
        <v>2488473</v>
      </c>
      <c r="I24" s="387">
        <f t="shared" ref="I24:I33" si="2">(H24-J24)/J24</f>
        <v>0.25532858336259184</v>
      </c>
      <c r="J24" s="729">
        <v>1982328</v>
      </c>
      <c r="K24" s="387">
        <f>(J24-L24)/L24</f>
        <v>3.742502248846868</v>
      </c>
      <c r="L24" s="729">
        <v>417992</v>
      </c>
      <c r="M24" s="387">
        <f>(L24-N24)/N24</f>
        <v>-0.47017188054555598</v>
      </c>
      <c r="N24" s="729">
        <v>788920</v>
      </c>
      <c r="O24" s="363"/>
      <c r="P24" s="364"/>
    </row>
    <row r="25" spans="1:16" ht="12.75" x14ac:dyDescent="0.2">
      <c r="A25" s="367">
        <f t="shared" ref="A25:A33" si="3">A24+1</f>
        <v>9</v>
      </c>
      <c r="B25" s="366"/>
      <c r="C25" s="385" t="s">
        <v>421</v>
      </c>
      <c r="D25" s="729">
        <v>35444572</v>
      </c>
      <c r="E25" s="387">
        <f t="shared" si="0"/>
        <v>0.29646075656064796</v>
      </c>
      <c r="F25" s="729">
        <v>27339487</v>
      </c>
      <c r="G25" s="387">
        <f t="shared" si="1"/>
        <v>0.19583734942183198</v>
      </c>
      <c r="H25" s="729">
        <v>22862212</v>
      </c>
      <c r="I25" s="387">
        <f t="shared" si="2"/>
        <v>-0.38847808929180283</v>
      </c>
      <c r="J25" s="729">
        <v>37385761</v>
      </c>
      <c r="K25" s="387">
        <f>(J25-L25)/L25</f>
        <v>0.40226338745130907</v>
      </c>
      <c r="L25" s="729">
        <v>26661012</v>
      </c>
      <c r="M25" s="387">
        <f>(L25-N25)/N25</f>
        <v>5.9471614749097158E-2</v>
      </c>
      <c r="N25" s="729">
        <v>25164442</v>
      </c>
      <c r="O25" s="363"/>
      <c r="P25" s="364"/>
    </row>
    <row r="26" spans="1:16" ht="12.75" x14ac:dyDescent="0.2">
      <c r="A26" s="367">
        <f t="shared" si="3"/>
        <v>10</v>
      </c>
      <c r="B26" s="366"/>
      <c r="C26" s="385" t="s">
        <v>422</v>
      </c>
      <c r="D26" s="729">
        <v>637098</v>
      </c>
      <c r="E26" s="387">
        <f t="shared" si="0"/>
        <v>-0.82323509916594784</v>
      </c>
      <c r="F26" s="729">
        <v>3604211</v>
      </c>
      <c r="G26" s="387">
        <f t="shared" si="1"/>
        <v>-0.81824253951745207</v>
      </c>
      <c r="H26" s="729">
        <v>19829783</v>
      </c>
      <c r="I26" s="387">
        <f t="shared" si="2"/>
        <v>3.6576327645384676</v>
      </c>
      <c r="J26" s="729">
        <v>4257481</v>
      </c>
      <c r="K26" s="387">
        <f>(J26-L26)/L26</f>
        <v>-0.52139747838578654</v>
      </c>
      <c r="L26" s="729">
        <v>8895651</v>
      </c>
      <c r="M26" s="387">
        <f>(L26-N26)/N26</f>
        <v>16.927659780288877</v>
      </c>
      <c r="N26" s="729">
        <v>496197</v>
      </c>
      <c r="O26" s="363"/>
      <c r="P26" s="364"/>
    </row>
    <row r="27" spans="1:16" ht="12.75" x14ac:dyDescent="0.2">
      <c r="A27" s="367">
        <f t="shared" si="3"/>
        <v>11</v>
      </c>
      <c r="B27" s="366"/>
      <c r="C27" s="366" t="s">
        <v>423</v>
      </c>
      <c r="D27" s="729">
        <v>2802716</v>
      </c>
      <c r="E27" s="387">
        <f t="shared" si="0"/>
        <v>-9.8661394228790181E-2</v>
      </c>
      <c r="F27" s="729">
        <v>3109504</v>
      </c>
      <c r="G27" s="387">
        <f t="shared" si="1"/>
        <v>8.6915746398536664E-2</v>
      </c>
      <c r="H27" s="729">
        <v>2860851</v>
      </c>
      <c r="I27" s="387">
        <f t="shared" si="2"/>
        <v>-0.46831011568063197</v>
      </c>
      <c r="J27" s="729">
        <v>5380676</v>
      </c>
      <c r="K27" s="387">
        <f>(J27-L27)/L27</f>
        <v>2.4231833641465959</v>
      </c>
      <c r="L27" s="729">
        <v>1571834</v>
      </c>
      <c r="M27" s="387">
        <f>(L27-N27)/N27</f>
        <v>-0.48034645905659695</v>
      </c>
      <c r="N27" s="729">
        <v>3024773</v>
      </c>
      <c r="O27" s="363"/>
      <c r="P27" s="364"/>
    </row>
    <row r="28" spans="1:16" ht="12.75" x14ac:dyDescent="0.2">
      <c r="A28" s="367">
        <f t="shared" si="3"/>
        <v>12</v>
      </c>
      <c r="B28" s="366"/>
      <c r="C28" s="385" t="s">
        <v>424</v>
      </c>
      <c r="D28" s="729">
        <v>61163287</v>
      </c>
      <c r="E28" s="387">
        <f t="shared" si="0"/>
        <v>0.23218734317073397</v>
      </c>
      <c r="F28" s="729">
        <v>49637977</v>
      </c>
      <c r="G28" s="387">
        <f t="shared" si="1"/>
        <v>1.8916868164457503E-2</v>
      </c>
      <c r="H28" s="729">
        <v>48716415</v>
      </c>
      <c r="I28" s="387">
        <f t="shared" si="2"/>
        <v>-6.9579597220932266E-2</v>
      </c>
      <c r="J28" s="729">
        <v>52359573</v>
      </c>
      <c r="K28" s="387">
        <f>(J28-L28)/L28</f>
        <v>4.3636898184433557</v>
      </c>
      <c r="L28" s="729">
        <v>9761857</v>
      </c>
      <c r="M28" s="387">
        <f>(L28-N28)/N28</f>
        <v>0.10304141968775855</v>
      </c>
      <c r="N28" s="729">
        <v>8849946</v>
      </c>
      <c r="O28" s="363"/>
      <c r="P28" s="364"/>
    </row>
    <row r="29" spans="1:16" ht="12.75" x14ac:dyDescent="0.2">
      <c r="A29" s="367">
        <f t="shared" si="3"/>
        <v>13</v>
      </c>
      <c r="B29" s="366"/>
      <c r="C29" s="366" t="s">
        <v>425</v>
      </c>
      <c r="D29" s="729">
        <v>49757</v>
      </c>
      <c r="E29" s="387">
        <f t="shared" si="0"/>
        <v>-0.21949803921568628</v>
      </c>
      <c r="F29" s="729">
        <v>63750</v>
      </c>
      <c r="G29" s="387">
        <f t="shared" si="1"/>
        <v>0.57364666386907259</v>
      </c>
      <c r="H29" s="729">
        <v>40511</v>
      </c>
      <c r="I29" s="387">
        <f t="shared" si="2"/>
        <v>-4.5002357378595002E-2</v>
      </c>
      <c r="J29" s="729">
        <v>42420</v>
      </c>
      <c r="K29" s="889">
        <v>0</v>
      </c>
      <c r="L29" s="729">
        <v>32148</v>
      </c>
      <c r="M29" s="889">
        <v>0.02</v>
      </c>
      <c r="N29" s="729">
        <v>173414</v>
      </c>
      <c r="O29" s="363"/>
      <c r="P29" s="364"/>
    </row>
    <row r="30" spans="1:16" ht="12.75" x14ac:dyDescent="0.2">
      <c r="A30" s="367">
        <f t="shared" si="3"/>
        <v>14</v>
      </c>
      <c r="B30" s="366"/>
      <c r="C30" s="385" t="s">
        <v>426</v>
      </c>
      <c r="D30" s="731">
        <v>506500</v>
      </c>
      <c r="E30" s="387">
        <f t="shared" si="0"/>
        <v>-7.7638609155506674E-2</v>
      </c>
      <c r="F30" s="731">
        <v>549134</v>
      </c>
      <c r="G30" s="390">
        <f t="shared" si="1"/>
        <v>-1.970466213948573E-2</v>
      </c>
      <c r="H30" s="731">
        <v>560172</v>
      </c>
      <c r="I30" s="390">
        <f t="shared" si="2"/>
        <v>0.10248810268885136</v>
      </c>
      <c r="J30" s="731">
        <v>508098</v>
      </c>
      <c r="K30" s="390">
        <f>(J30-L30)/L30</f>
        <v>-4.9059641247701244E-3</v>
      </c>
      <c r="L30" s="731">
        <v>510603</v>
      </c>
      <c r="M30" s="390">
        <f>(L30-N30)/N30</f>
        <v>9.363059234762941E-2</v>
      </c>
      <c r="N30" s="731">
        <v>466888</v>
      </c>
      <c r="O30" s="363"/>
      <c r="P30" s="364"/>
    </row>
    <row r="31" spans="1:16" ht="12.75" x14ac:dyDescent="0.2">
      <c r="A31" s="367">
        <f t="shared" si="3"/>
        <v>15</v>
      </c>
      <c r="B31" s="366"/>
      <c r="C31" s="385" t="s">
        <v>427</v>
      </c>
      <c r="D31" s="731">
        <v>3434276</v>
      </c>
      <c r="E31" s="387">
        <f t="shared" si="0"/>
        <v>0.92526383356831921</v>
      </c>
      <c r="F31" s="731">
        <v>1783795</v>
      </c>
      <c r="G31" s="387">
        <f t="shared" si="1"/>
        <v>-0.20062783022144348</v>
      </c>
      <c r="H31" s="731">
        <v>2231495</v>
      </c>
      <c r="I31" s="387">
        <f t="shared" si="2"/>
        <v>0.88209053790883796</v>
      </c>
      <c r="J31" s="731">
        <v>1185647</v>
      </c>
      <c r="K31" s="387">
        <f>(J31-L31)/L31</f>
        <v>0.36515851952493078</v>
      </c>
      <c r="L31" s="731">
        <v>868505</v>
      </c>
      <c r="M31" s="387">
        <f>(L31-N31)/N31</f>
        <v>-4.333971103187638E-2</v>
      </c>
      <c r="N31" s="731">
        <v>907851</v>
      </c>
      <c r="O31" s="363"/>
      <c r="P31" s="364"/>
    </row>
    <row r="32" spans="1:16" ht="12.75" x14ac:dyDescent="0.2">
      <c r="A32" s="367">
        <f t="shared" si="3"/>
        <v>16</v>
      </c>
      <c r="B32" s="366"/>
      <c r="C32" s="385" t="s">
        <v>428</v>
      </c>
      <c r="D32" s="732">
        <v>2402433</v>
      </c>
      <c r="E32" s="387">
        <f t="shared" si="0"/>
        <v>0.14238699682452732</v>
      </c>
      <c r="F32" s="732">
        <v>2102994</v>
      </c>
      <c r="G32" s="387">
        <f t="shared" si="1"/>
        <v>5.9850433950795656</v>
      </c>
      <c r="H32" s="732">
        <v>301071</v>
      </c>
      <c r="I32" s="387">
        <f t="shared" si="2"/>
        <v>-0.77368919143408876</v>
      </c>
      <c r="J32" s="732">
        <v>1330343</v>
      </c>
      <c r="K32" s="387">
        <f>(J32-L32)/L32</f>
        <v>2.5139968936880588</v>
      </c>
      <c r="L32" s="732">
        <v>378584</v>
      </c>
      <c r="M32" s="387">
        <f>(L32-N32)/N32</f>
        <v>0.92602842868916679</v>
      </c>
      <c r="N32" s="732">
        <v>196562</v>
      </c>
      <c r="O32" s="363"/>
      <c r="P32" s="364"/>
    </row>
    <row r="33" spans="1:16" ht="12.75" x14ac:dyDescent="0.2">
      <c r="A33" s="367">
        <f t="shared" si="3"/>
        <v>17</v>
      </c>
      <c r="B33" s="366"/>
      <c r="C33" s="385" t="s">
        <v>429</v>
      </c>
      <c r="D33" s="386">
        <f>SUM(D24:D32)</f>
        <v>110776170</v>
      </c>
      <c r="E33" s="387">
        <f t="shared" si="0"/>
        <v>0.2241022237384612</v>
      </c>
      <c r="F33" s="386">
        <f>SUM(F24:F32)</f>
        <v>90495849</v>
      </c>
      <c r="G33" s="387">
        <f t="shared" si="1"/>
        <v>-9.4053874712595437E-2</v>
      </c>
      <c r="H33" s="386">
        <f>SUM(H24:H32)</f>
        <v>99890983</v>
      </c>
      <c r="I33" s="387">
        <f t="shared" si="2"/>
        <v>-4.34859983537473E-2</v>
      </c>
      <c r="J33" s="386">
        <f>SUM(J24:J32)</f>
        <v>104432327</v>
      </c>
      <c r="K33" s="387">
        <f>(J33-L33)/L33</f>
        <v>1.127009885864215</v>
      </c>
      <c r="L33" s="386">
        <f>SUM(L24:L32)</f>
        <v>49098186</v>
      </c>
      <c r="M33" s="387">
        <f>(L33-N33)/N33</f>
        <v>0.22534115094931384</v>
      </c>
      <c r="N33" s="386">
        <f>SUM(N24:N32)</f>
        <v>40068993</v>
      </c>
      <c r="O33" s="363"/>
      <c r="P33" s="364"/>
    </row>
    <row r="34" spans="1:16" ht="12.75" x14ac:dyDescent="0.2">
      <c r="A34" s="367"/>
      <c r="B34" s="366"/>
      <c r="C34" s="385"/>
      <c r="D34" s="386"/>
      <c r="E34" s="387"/>
      <c r="F34" s="386"/>
      <c r="G34" s="387"/>
      <c r="H34" s="386"/>
      <c r="I34" s="387"/>
      <c r="J34" s="386"/>
      <c r="K34" s="387"/>
      <c r="L34" s="386"/>
      <c r="M34" s="387"/>
      <c r="N34" s="386"/>
      <c r="O34" s="363"/>
      <c r="P34" s="364"/>
    </row>
    <row r="35" spans="1:16" ht="12.75" x14ac:dyDescent="0.2">
      <c r="A35" s="367">
        <f>1+A33</f>
        <v>18</v>
      </c>
      <c r="B35" s="366"/>
      <c r="C35" s="385" t="s">
        <v>1423</v>
      </c>
      <c r="D35" s="733">
        <v>283280</v>
      </c>
      <c r="E35" s="889">
        <v>0</v>
      </c>
      <c r="F35" s="729">
        <v>236128</v>
      </c>
      <c r="G35" s="889">
        <v>0</v>
      </c>
      <c r="H35" s="729">
        <v>189482</v>
      </c>
      <c r="I35" s="889">
        <v>0</v>
      </c>
      <c r="J35" s="729">
        <v>0</v>
      </c>
      <c r="K35" s="889">
        <v>0</v>
      </c>
      <c r="L35" s="729">
        <v>0</v>
      </c>
      <c r="M35" s="889">
        <v>0</v>
      </c>
      <c r="N35" s="729">
        <v>0</v>
      </c>
      <c r="O35" s="363"/>
      <c r="P35" s="364"/>
    </row>
    <row r="36" spans="1:16" ht="12.75" x14ac:dyDescent="0.2">
      <c r="A36" s="384"/>
      <c r="B36" s="366"/>
      <c r="C36" s="366"/>
      <c r="D36" s="729"/>
      <c r="E36" s="366"/>
      <c r="F36" s="729"/>
      <c r="G36" s="366"/>
      <c r="H36" s="729"/>
      <c r="I36" s="366"/>
      <c r="J36" s="729"/>
      <c r="K36" s="366"/>
      <c r="L36" s="729"/>
      <c r="M36" s="366"/>
      <c r="N36" s="729"/>
      <c r="O36" s="363"/>
      <c r="P36" s="364"/>
    </row>
    <row r="37" spans="1:16" ht="12.75" x14ac:dyDescent="0.2">
      <c r="A37" s="367">
        <f>1+A35</f>
        <v>19</v>
      </c>
      <c r="B37" s="366"/>
      <c r="C37" s="366" t="s">
        <v>430</v>
      </c>
      <c r="D37" s="734">
        <v>14172117</v>
      </c>
      <c r="E37" s="387">
        <f>(D37-F37)/F37</f>
        <v>2.2446593032831643</v>
      </c>
      <c r="F37" s="734">
        <v>4367829</v>
      </c>
      <c r="G37" s="387">
        <f>(F37-H37)/H37</f>
        <v>1.5873465035689955</v>
      </c>
      <c r="H37" s="734">
        <v>1688150</v>
      </c>
      <c r="I37" s="387">
        <f>(H37-J37)/J37</f>
        <v>-0.16069268520171168</v>
      </c>
      <c r="J37" s="734">
        <v>2011361</v>
      </c>
      <c r="K37" s="387">
        <f>(J37-L37)/L37</f>
        <v>-0.19336674251642053</v>
      </c>
      <c r="L37" s="734">
        <v>2493526</v>
      </c>
      <c r="M37" s="387">
        <f>(L37-N37)/N37</f>
        <v>-0.15601437146826921</v>
      </c>
      <c r="N37" s="734">
        <v>2954465</v>
      </c>
      <c r="O37" s="363"/>
      <c r="P37" s="364"/>
    </row>
    <row r="38" spans="1:16" ht="12.75" x14ac:dyDescent="0.2">
      <c r="A38" s="384"/>
      <c r="B38" s="366"/>
      <c r="C38" s="366"/>
      <c r="D38" s="729"/>
      <c r="E38" s="366"/>
      <c r="F38" s="729"/>
      <c r="G38" s="366"/>
      <c r="H38" s="729"/>
      <c r="I38" s="366"/>
      <c r="J38" s="729"/>
      <c r="K38" s="387"/>
      <c r="L38" s="729"/>
      <c r="M38" s="366"/>
      <c r="N38" s="729"/>
      <c r="O38" s="363"/>
      <c r="P38" s="364"/>
    </row>
    <row r="39" spans="1:16" ht="12.75" x14ac:dyDescent="0.2">
      <c r="A39" s="367">
        <f>A37+1</f>
        <v>20</v>
      </c>
      <c r="B39" s="366"/>
      <c r="C39" s="385" t="s">
        <v>431</v>
      </c>
      <c r="D39" s="729"/>
      <c r="E39" s="366"/>
      <c r="F39" s="729"/>
      <c r="G39" s="366"/>
      <c r="H39" s="729"/>
      <c r="I39" s="366"/>
      <c r="J39" s="729"/>
      <c r="K39" s="387"/>
      <c r="L39" s="729"/>
      <c r="M39" s="366"/>
      <c r="N39" s="729"/>
      <c r="O39" s="363"/>
      <c r="P39" s="364"/>
    </row>
    <row r="40" spans="1:16" ht="12.75" x14ac:dyDescent="0.2">
      <c r="A40" s="367">
        <f>A39+1</f>
        <v>21</v>
      </c>
      <c r="B40" s="366"/>
      <c r="C40" s="366" t="s">
        <v>432</v>
      </c>
      <c r="D40" s="729">
        <v>16007770</v>
      </c>
      <c r="E40" s="366"/>
      <c r="F40" s="729">
        <v>13137607</v>
      </c>
      <c r="G40" s="366"/>
      <c r="H40" s="729">
        <v>-44690</v>
      </c>
      <c r="I40" s="366"/>
      <c r="J40" s="729">
        <v>25558765</v>
      </c>
      <c r="K40" s="387">
        <f>(J40-L40)/L40</f>
        <v>0.47028768005638444</v>
      </c>
      <c r="L40" s="729">
        <v>17383513</v>
      </c>
      <c r="M40" s="391">
        <f>(L40-N40)/N40</f>
        <v>-0.3650910764089591</v>
      </c>
      <c r="N40" s="729">
        <v>27379538</v>
      </c>
      <c r="O40" s="363"/>
      <c r="P40" s="364"/>
    </row>
    <row r="41" spans="1:16" ht="12.75" x14ac:dyDescent="0.2">
      <c r="A41" s="384"/>
      <c r="B41" s="366"/>
      <c r="C41" s="366"/>
      <c r="D41" s="386"/>
      <c r="E41" s="366"/>
      <c r="F41" s="386"/>
      <c r="G41" s="366"/>
      <c r="H41" s="386"/>
      <c r="I41" s="366"/>
      <c r="J41" s="386"/>
      <c r="K41" s="366"/>
      <c r="L41" s="386"/>
      <c r="M41" s="366"/>
      <c r="N41" s="386"/>
      <c r="O41" s="363"/>
      <c r="P41" s="364"/>
    </row>
    <row r="42" spans="1:16" ht="12.75" customHeight="1" thickBot="1" x14ac:dyDescent="0.25">
      <c r="A42" s="367">
        <f>A40+1</f>
        <v>22</v>
      </c>
      <c r="B42" s="366"/>
      <c r="C42" s="382" t="s">
        <v>433</v>
      </c>
      <c r="D42" s="392">
        <f>(D18+D33+D37+D40)+D35</f>
        <v>297248295</v>
      </c>
      <c r="E42" s="387">
        <f>(D42-F42)/F42</f>
        <v>0.16284849448965871</v>
      </c>
      <c r="F42" s="392">
        <f>(F18+F33+F37+F40)+F35</f>
        <v>255620828</v>
      </c>
      <c r="G42" s="387">
        <f>(F42-H42)/H42</f>
        <v>4.5193523545263029E-2</v>
      </c>
      <c r="H42" s="392">
        <f>(H18+H33+H37+H40)+H35</f>
        <v>244567941</v>
      </c>
      <c r="I42" s="387">
        <f>(H42-J42)/J42</f>
        <v>-9.8952932639999103E-2</v>
      </c>
      <c r="J42" s="392">
        <f>(J18+J33+J37+J40)+J35</f>
        <v>271426377</v>
      </c>
      <c r="K42" s="387">
        <f>(J42-L42)/L42</f>
        <v>0.33918495848111041</v>
      </c>
      <c r="L42" s="392">
        <f>(L18+L33+L37+L40)+L35</f>
        <v>202680276</v>
      </c>
      <c r="M42" s="387">
        <f>(L42-N42)/N42</f>
        <v>7.1969360820714704E-3</v>
      </c>
      <c r="N42" s="392">
        <f>(N18+N33+N37+N40)+N35</f>
        <v>201232022</v>
      </c>
      <c r="O42" s="363"/>
      <c r="P42" s="364"/>
    </row>
    <row r="43" spans="1:16" ht="13.5" thickTop="1" x14ac:dyDescent="0.2">
      <c r="A43" s="367"/>
      <c r="B43" s="366"/>
      <c r="C43" s="382"/>
      <c r="D43" s="393"/>
      <c r="E43" s="387"/>
      <c r="F43" s="393"/>
      <c r="G43" s="387"/>
      <c r="H43" s="393"/>
      <c r="I43" s="387"/>
      <c r="J43" s="393"/>
      <c r="K43" s="387"/>
      <c r="L43" s="393"/>
      <c r="M43" s="387"/>
      <c r="N43" s="393"/>
      <c r="O43" s="363"/>
      <c r="P43" s="364"/>
    </row>
    <row r="44" spans="1:16" ht="12.75" x14ac:dyDescent="0.2">
      <c r="A44" s="1409" t="s">
        <v>993</v>
      </c>
      <c r="B44" s="1409"/>
      <c r="C44" s="1409"/>
      <c r="D44" s="1409"/>
      <c r="E44" s="1409"/>
      <c r="F44" s="1409"/>
      <c r="G44" s="1409"/>
      <c r="H44" s="1409"/>
      <c r="I44" s="1409"/>
      <c r="J44" s="1409"/>
      <c r="K44" s="1409"/>
      <c r="L44" s="1409"/>
      <c r="M44" s="1409"/>
      <c r="N44" s="1409"/>
      <c r="O44" s="363"/>
      <c r="P44" s="364"/>
    </row>
    <row r="45" spans="1:16" ht="12.75" x14ac:dyDescent="0.2">
      <c r="A45" s="1410" t="str">
        <f>Input!C4</f>
        <v>CASE NO. 2017-xxxxx</v>
      </c>
      <c r="B45" s="1410"/>
      <c r="C45" s="1410"/>
      <c r="D45" s="1410"/>
      <c r="E45" s="1410"/>
      <c r="F45" s="1410"/>
      <c r="G45" s="1410"/>
      <c r="H45" s="1410"/>
      <c r="I45" s="1410"/>
      <c r="J45" s="1410"/>
      <c r="K45" s="1410"/>
      <c r="L45" s="1410"/>
      <c r="M45" s="1410"/>
      <c r="N45" s="1410"/>
      <c r="O45" s="363"/>
      <c r="P45" s="364"/>
    </row>
    <row r="46" spans="1:16" ht="12.75" x14ac:dyDescent="0.2">
      <c r="A46" s="1409" t="s">
        <v>979</v>
      </c>
      <c r="B46" s="1409"/>
      <c r="C46" s="1409"/>
      <c r="D46" s="1409"/>
      <c r="E46" s="1409"/>
      <c r="F46" s="1409"/>
      <c r="G46" s="1409"/>
      <c r="H46" s="1409"/>
      <c r="I46" s="1409"/>
      <c r="J46" s="1409"/>
      <c r="K46" s="1409"/>
      <c r="L46" s="1409"/>
      <c r="M46" s="1409"/>
      <c r="N46" s="1409"/>
      <c r="O46" s="363"/>
      <c r="P46" s="364"/>
    </row>
    <row r="47" spans="1:16" ht="12.75" x14ac:dyDescent="0.2">
      <c r="A47" s="1410" t="str">
        <f>A4</f>
        <v>DECEMBER 31, 2008 - DECEMBER 31, 2003 - 2007</v>
      </c>
      <c r="B47" s="1410"/>
      <c r="C47" s="1410"/>
      <c r="D47" s="1410"/>
      <c r="E47" s="1410"/>
      <c r="F47" s="1410"/>
      <c r="G47" s="1410"/>
      <c r="H47" s="1410"/>
      <c r="I47" s="1410"/>
      <c r="J47" s="1410"/>
      <c r="K47" s="1410"/>
      <c r="L47" s="1410"/>
      <c r="M47" s="1410"/>
      <c r="N47" s="1410"/>
      <c r="O47" s="363"/>
      <c r="P47" s="364"/>
    </row>
    <row r="48" spans="1:16" ht="12.75" x14ac:dyDescent="0.2">
      <c r="A48" s="365" t="s">
        <v>839</v>
      </c>
      <c r="B48" s="366"/>
      <c r="C48" s="366"/>
      <c r="D48" s="366"/>
      <c r="E48" s="366"/>
      <c r="F48" s="366"/>
      <c r="G48" s="366"/>
      <c r="H48" s="366"/>
      <c r="I48" s="366"/>
      <c r="J48" s="366"/>
      <c r="K48" s="366"/>
      <c r="L48" s="367"/>
      <c r="M48" s="366"/>
      <c r="N48" s="367" t="s">
        <v>405</v>
      </c>
      <c r="O48" s="363"/>
      <c r="P48" s="364"/>
    </row>
    <row r="49" spans="1:16" ht="12.75" x14ac:dyDescent="0.2">
      <c r="A49" s="365" t="s">
        <v>490</v>
      </c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7"/>
      <c r="M49" s="366"/>
      <c r="N49" s="367" t="s">
        <v>1182</v>
      </c>
      <c r="O49" s="363"/>
      <c r="P49" s="364"/>
    </row>
    <row r="50" spans="1:16" ht="12.75" x14ac:dyDescent="0.2">
      <c r="A50" s="368" t="s">
        <v>840</v>
      </c>
      <c r="B50" s="369"/>
      <c r="C50" s="369"/>
      <c r="D50" s="369"/>
      <c r="E50" s="369"/>
      <c r="F50" s="369"/>
      <c r="G50" s="369"/>
      <c r="H50" s="369"/>
      <c r="I50" s="369"/>
      <c r="J50" s="369"/>
      <c r="K50" s="369"/>
      <c r="L50" s="370"/>
      <c r="M50" s="366"/>
      <c r="N50" s="370" t="str">
        <f>Input!E27</f>
        <v>WITNESS:  C. Y. LAI</v>
      </c>
      <c r="O50" s="363"/>
      <c r="P50" s="364"/>
    </row>
    <row r="51" spans="1:16" s="77" customFormat="1" ht="12.75" x14ac:dyDescent="0.2">
      <c r="A51" s="371"/>
      <c r="B51" s="371"/>
      <c r="C51" s="371"/>
      <c r="D51" s="372" t="s">
        <v>874</v>
      </c>
      <c r="E51" s="371"/>
      <c r="F51" s="1411" t="s">
        <v>408</v>
      </c>
      <c r="G51" s="1411"/>
      <c r="H51" s="1411"/>
      <c r="I51" s="1411"/>
      <c r="J51" s="1411"/>
      <c r="K51" s="1411"/>
      <c r="L51" s="1411"/>
      <c r="M51" s="1411"/>
      <c r="N51" s="1411"/>
      <c r="O51" s="363"/>
      <c r="P51" s="373"/>
    </row>
    <row r="52" spans="1:16" s="77" customFormat="1" ht="12.75" x14ac:dyDescent="0.2">
      <c r="A52" s="362" t="s">
        <v>493</v>
      </c>
      <c r="B52" s="371"/>
      <c r="C52" s="371"/>
      <c r="D52" s="374" t="s">
        <v>876</v>
      </c>
      <c r="E52" s="371" t="s">
        <v>536</v>
      </c>
      <c r="F52" s="362"/>
      <c r="G52" s="371" t="s">
        <v>536</v>
      </c>
      <c r="H52" s="362"/>
      <c r="I52" s="371" t="s">
        <v>536</v>
      </c>
      <c r="J52" s="375"/>
      <c r="K52" s="371" t="s">
        <v>536</v>
      </c>
      <c r="L52" s="371"/>
      <c r="M52" s="371" t="s">
        <v>536</v>
      </c>
      <c r="N52" s="371"/>
      <c r="O52" s="363"/>
      <c r="P52" s="373"/>
    </row>
    <row r="53" spans="1:16" s="77" customFormat="1" ht="12.75" x14ac:dyDescent="0.2">
      <c r="A53" s="376" t="s">
        <v>409</v>
      </c>
      <c r="B53" s="377"/>
      <c r="C53" s="376" t="s">
        <v>480</v>
      </c>
      <c r="D53" s="378" t="str">
        <f>D10</f>
        <v>DEC. 31, 2008</v>
      </c>
      <c r="E53" s="379" t="s">
        <v>410</v>
      </c>
      <c r="F53" s="376">
        <v>2007</v>
      </c>
      <c r="G53" s="379" t="s">
        <v>410</v>
      </c>
      <c r="H53" s="379">
        <v>2006</v>
      </c>
      <c r="I53" s="379" t="s">
        <v>410</v>
      </c>
      <c r="J53" s="379">
        <v>2005</v>
      </c>
      <c r="K53" s="379" t="s">
        <v>410</v>
      </c>
      <c r="L53" s="379">
        <v>2004</v>
      </c>
      <c r="M53" s="379" t="s">
        <v>410</v>
      </c>
      <c r="N53" s="376">
        <v>2003</v>
      </c>
      <c r="O53" s="363"/>
      <c r="P53" s="373"/>
    </row>
    <row r="54" spans="1:16" s="77" customFormat="1" ht="12.75" x14ac:dyDescent="0.2">
      <c r="A54" s="371"/>
      <c r="B54" s="371"/>
      <c r="C54" s="371"/>
      <c r="D54" s="380" t="s">
        <v>1458</v>
      </c>
      <c r="E54" s="371"/>
      <c r="F54" s="380" t="s">
        <v>1458</v>
      </c>
      <c r="G54" s="371"/>
      <c r="H54" s="380" t="s">
        <v>1458</v>
      </c>
      <c r="I54" s="371"/>
      <c r="J54" s="380" t="s">
        <v>1458</v>
      </c>
      <c r="K54" s="371"/>
      <c r="L54" s="380" t="s">
        <v>1458</v>
      </c>
      <c r="M54" s="371"/>
      <c r="N54" s="380" t="s">
        <v>1458</v>
      </c>
      <c r="O54" s="381"/>
      <c r="P54" s="373"/>
    </row>
    <row r="55" spans="1:16" ht="12.75" x14ac:dyDescent="0.2">
      <c r="A55" s="367">
        <v>1</v>
      </c>
      <c r="B55" s="366"/>
      <c r="C55" s="382" t="s">
        <v>434</v>
      </c>
      <c r="D55" s="366"/>
      <c r="E55" s="366"/>
      <c r="F55" s="383"/>
      <c r="G55" s="366"/>
      <c r="H55" s="366"/>
      <c r="I55" s="366"/>
      <c r="J55" s="386"/>
      <c r="K55" s="366"/>
      <c r="L55" s="383"/>
      <c r="M55" s="366"/>
      <c r="N55" s="383"/>
      <c r="O55" s="363"/>
      <c r="P55" s="364"/>
    </row>
    <row r="56" spans="1:16" ht="12.75" x14ac:dyDescent="0.2">
      <c r="A56" s="384"/>
      <c r="B56" s="366"/>
      <c r="C56" s="366"/>
      <c r="D56" s="366"/>
      <c r="E56" s="366"/>
      <c r="F56" s="366"/>
      <c r="G56" s="366"/>
      <c r="H56" s="366"/>
      <c r="I56" s="366"/>
      <c r="J56" s="386"/>
      <c r="K56" s="366"/>
      <c r="L56" s="366"/>
      <c r="M56" s="366"/>
      <c r="N56" s="366"/>
      <c r="O56" s="363"/>
      <c r="P56" s="364"/>
    </row>
    <row r="57" spans="1:16" ht="12.75" x14ac:dyDescent="0.2">
      <c r="A57" s="367">
        <f>A55+1</f>
        <v>2</v>
      </c>
      <c r="B57" s="366"/>
      <c r="C57" s="382" t="s">
        <v>435</v>
      </c>
      <c r="D57" s="366"/>
      <c r="E57" s="366"/>
      <c r="F57" s="383"/>
      <c r="G57" s="366"/>
      <c r="H57" s="366"/>
      <c r="I57" s="366"/>
      <c r="J57" s="386"/>
      <c r="K57" s="366"/>
      <c r="L57" s="383"/>
      <c r="M57" s="366"/>
      <c r="N57" s="383"/>
      <c r="O57" s="363"/>
      <c r="P57" s="364"/>
    </row>
    <row r="58" spans="1:16" ht="12.75" x14ac:dyDescent="0.2">
      <c r="A58" s="384"/>
      <c r="B58" s="366"/>
      <c r="C58" s="366"/>
      <c r="D58" s="366"/>
      <c r="E58" s="366"/>
      <c r="F58" s="366"/>
      <c r="G58" s="366"/>
      <c r="H58" s="366"/>
      <c r="I58" s="366"/>
      <c r="J58" s="386"/>
      <c r="K58" s="366"/>
      <c r="L58" s="366"/>
      <c r="M58" s="366"/>
      <c r="N58" s="366"/>
      <c r="O58" s="363"/>
      <c r="P58" s="364"/>
    </row>
    <row r="59" spans="1:16" ht="12.75" x14ac:dyDescent="0.2">
      <c r="A59" s="367">
        <f>A57+1</f>
        <v>3</v>
      </c>
      <c r="B59" s="366"/>
      <c r="C59" s="385" t="s">
        <v>634</v>
      </c>
      <c r="D59" s="729">
        <v>23806202</v>
      </c>
      <c r="E59" s="387">
        <f>(D59-F59)/F59</f>
        <v>0</v>
      </c>
      <c r="F59" s="729">
        <v>23806202</v>
      </c>
      <c r="G59" s="387">
        <f>(F59-H59)/H59</f>
        <v>0</v>
      </c>
      <c r="H59" s="729">
        <v>23806202</v>
      </c>
      <c r="I59" s="387">
        <f>(H59-J59)/J59</f>
        <v>0</v>
      </c>
      <c r="J59" s="729">
        <v>23806202</v>
      </c>
      <c r="K59" s="387">
        <f>(J59-L59)/L59</f>
        <v>0</v>
      </c>
      <c r="L59" s="729">
        <v>23806202</v>
      </c>
      <c r="M59" s="387">
        <f>(L59-N59)/N59</f>
        <v>0</v>
      </c>
      <c r="N59" s="729">
        <v>23806202</v>
      </c>
      <c r="O59" s="363"/>
      <c r="P59" s="364"/>
    </row>
    <row r="60" spans="1:16" ht="12.75" x14ac:dyDescent="0.2">
      <c r="A60" s="367">
        <f>A59+1</f>
        <v>4</v>
      </c>
      <c r="B60" s="366"/>
      <c r="C60" s="385" t="s">
        <v>436</v>
      </c>
      <c r="D60" s="729">
        <v>5267487</v>
      </c>
      <c r="E60" s="889">
        <v>0</v>
      </c>
      <c r="F60" s="729">
        <v>5182740</v>
      </c>
      <c r="G60" s="387">
        <f>(F60-H60)/H60</f>
        <v>7.2168437567621577E-2</v>
      </c>
      <c r="H60" s="729">
        <v>4833886</v>
      </c>
      <c r="I60" s="387">
        <f>(H60-J60)/J60</f>
        <v>1.7747629691139785E-2</v>
      </c>
      <c r="J60" s="729">
        <v>4749592</v>
      </c>
      <c r="K60" s="387">
        <f>(J60-L60)/L60</f>
        <v>1.3922457942085751E-2</v>
      </c>
      <c r="L60" s="729">
        <v>4684374</v>
      </c>
      <c r="M60" s="387">
        <f>(L60-N60)/N60</f>
        <v>0.12842737870434406</v>
      </c>
      <c r="N60" s="729">
        <v>4151241</v>
      </c>
      <c r="O60" s="363"/>
      <c r="P60" s="364"/>
    </row>
    <row r="61" spans="1:16" ht="12.75" x14ac:dyDescent="0.2">
      <c r="A61" s="367">
        <f>A60+1</f>
        <v>5</v>
      </c>
      <c r="B61" s="366"/>
      <c r="C61" s="385" t="s">
        <v>437</v>
      </c>
      <c r="D61" s="732">
        <f>66345621+2</f>
        <v>66345623</v>
      </c>
      <c r="E61" s="387">
        <f>(D61-F61)/F61</f>
        <v>-8.9681532441335268E-2</v>
      </c>
      <c r="F61" s="732">
        <f>72881770+2</f>
        <v>72881772</v>
      </c>
      <c r="G61" s="387">
        <f>(F61-H61)/H61</f>
        <v>0.23210608486526171</v>
      </c>
      <c r="H61" s="732">
        <f>-2277861+61430050</f>
        <v>59152189</v>
      </c>
      <c r="I61" s="387">
        <f>(H61-J61)/J61</f>
        <v>0.11656299405848135</v>
      </c>
      <c r="J61" s="732">
        <f>52977027+1</f>
        <v>52977028</v>
      </c>
      <c r="K61" s="387">
        <f>(J61-L61)/L61</f>
        <v>7.9889831196697583E-2</v>
      </c>
      <c r="L61" s="732">
        <f>49057807+1</f>
        <v>49057808</v>
      </c>
      <c r="M61" s="387">
        <f>(L61-N61)/N61</f>
        <v>-1.4862465763635788E-2</v>
      </c>
      <c r="N61" s="732">
        <f>49797927+1</f>
        <v>49797928</v>
      </c>
      <c r="O61" s="363"/>
      <c r="P61" s="364"/>
    </row>
    <row r="62" spans="1:16" ht="12.75" x14ac:dyDescent="0.2">
      <c r="A62" s="367">
        <f>A61+1</f>
        <v>6</v>
      </c>
      <c r="B62" s="366"/>
      <c r="C62" s="385" t="s">
        <v>438</v>
      </c>
      <c r="D62" s="386">
        <f>SUM(D59:D61)</f>
        <v>95419312</v>
      </c>
      <c r="E62" s="387">
        <f>(D62-F62)/F62</f>
        <v>-6.3329309736653072E-2</v>
      </c>
      <c r="F62" s="386">
        <f>SUM(F59:F61)</f>
        <v>101870714</v>
      </c>
      <c r="G62" s="387">
        <f>(F62-H62)/H62</f>
        <v>0.16036076840790905</v>
      </c>
      <c r="H62" s="386">
        <f>SUM(H59:H61)</f>
        <v>87792277</v>
      </c>
      <c r="I62" s="387">
        <f>(H62-J62)/J62</f>
        <v>7.6772210828174203E-2</v>
      </c>
      <c r="J62" s="386">
        <f>SUM(J59:J61)</f>
        <v>81532822</v>
      </c>
      <c r="K62" s="387">
        <f>(J62-L62)/L62</f>
        <v>5.1380026178237316E-2</v>
      </c>
      <c r="L62" s="386">
        <f>SUM(L59:L61)</f>
        <v>77548384</v>
      </c>
      <c r="M62" s="387">
        <f>(L62-N62)/N62</f>
        <v>-2.662028324705698E-3</v>
      </c>
      <c r="N62" s="386">
        <f>SUM(N59:N61)</f>
        <v>77755371</v>
      </c>
      <c r="O62" s="363"/>
      <c r="P62" s="364"/>
    </row>
    <row r="63" spans="1:16" ht="12.75" x14ac:dyDescent="0.2">
      <c r="A63" s="367"/>
      <c r="B63" s="366"/>
      <c r="C63" s="389"/>
      <c r="D63" s="386"/>
      <c r="E63" s="366"/>
      <c r="F63" s="386"/>
      <c r="G63" s="387"/>
      <c r="H63" s="386"/>
      <c r="I63" s="387"/>
      <c r="J63" s="386"/>
      <c r="K63" s="387"/>
      <c r="L63" s="386"/>
      <c r="M63" s="387"/>
      <c r="N63" s="386"/>
      <c r="O63" s="363"/>
      <c r="P63" s="364"/>
    </row>
    <row r="64" spans="1:16" ht="12.75" x14ac:dyDescent="0.2">
      <c r="A64" s="367">
        <f>A62+1</f>
        <v>7</v>
      </c>
      <c r="B64" s="366"/>
      <c r="C64" s="382" t="s">
        <v>140</v>
      </c>
      <c r="D64" s="386"/>
      <c r="E64" s="366"/>
      <c r="F64" s="386"/>
      <c r="G64" s="387"/>
      <c r="H64" s="386"/>
      <c r="I64" s="387"/>
      <c r="J64" s="386"/>
      <c r="K64" s="387"/>
      <c r="L64" s="386"/>
      <c r="M64" s="387"/>
      <c r="N64" s="386"/>
      <c r="O64" s="363"/>
      <c r="P64" s="364"/>
    </row>
    <row r="65" spans="1:16" ht="12.75" x14ac:dyDescent="0.2">
      <c r="A65" s="384"/>
      <c r="B65" s="366"/>
      <c r="C65" s="366"/>
      <c r="D65" s="386"/>
      <c r="E65" s="895"/>
      <c r="F65" s="386"/>
      <c r="G65" s="387"/>
      <c r="H65" s="386"/>
      <c r="I65" s="387"/>
      <c r="J65" s="386"/>
      <c r="K65" s="387"/>
      <c r="L65" s="386"/>
      <c r="M65" s="387"/>
      <c r="N65" s="386"/>
      <c r="O65" s="363"/>
      <c r="P65" s="364"/>
    </row>
    <row r="66" spans="1:16" ht="12.75" x14ac:dyDescent="0.2">
      <c r="A66" s="367">
        <f>A64+1</f>
        <v>8</v>
      </c>
      <c r="B66" s="366"/>
      <c r="C66" s="385" t="s">
        <v>439</v>
      </c>
      <c r="D66" s="730">
        <v>72055011</v>
      </c>
      <c r="E66" s="889">
        <v>0</v>
      </c>
      <c r="F66" s="730">
        <v>58055011</v>
      </c>
      <c r="G66" s="387">
        <f>(F66-H66)/H66</f>
        <v>0</v>
      </c>
      <c r="H66" s="730">
        <v>58055011</v>
      </c>
      <c r="I66" s="387">
        <f>(H66-J66)/J66</f>
        <v>1.0550437642291974</v>
      </c>
      <c r="J66" s="730">
        <v>28250012</v>
      </c>
      <c r="K66" s="387">
        <f>(J66-L66)/L66</f>
        <v>-0.22068958211655212</v>
      </c>
      <c r="L66" s="730">
        <v>36250012</v>
      </c>
      <c r="M66" s="387">
        <f>(L66-N66)/N66</f>
        <v>-0.13803346764075272</v>
      </c>
      <c r="N66" s="730">
        <v>42055011</v>
      </c>
      <c r="O66" s="363"/>
      <c r="P66" s="364"/>
    </row>
    <row r="67" spans="1:16" ht="12.75" x14ac:dyDescent="0.2">
      <c r="A67" s="367"/>
      <c r="B67" s="366"/>
      <c r="C67" s="389"/>
      <c r="D67" s="386"/>
      <c r="E67" s="366"/>
      <c r="F67" s="386"/>
      <c r="G67" s="366"/>
      <c r="H67" s="386"/>
      <c r="I67" s="366"/>
      <c r="J67" s="386"/>
      <c r="K67" s="366"/>
      <c r="L67" s="386"/>
      <c r="M67" s="366"/>
      <c r="N67" s="386"/>
      <c r="O67" s="363"/>
      <c r="P67" s="364"/>
    </row>
    <row r="68" spans="1:16" ht="12.75" x14ac:dyDescent="0.2">
      <c r="A68" s="367">
        <f>A66+1</f>
        <v>9</v>
      </c>
      <c r="B68" s="366"/>
      <c r="C68" s="385" t="s">
        <v>440</v>
      </c>
      <c r="D68" s="386">
        <f>(D62+D66)</f>
        <v>167474323</v>
      </c>
      <c r="E68" s="387">
        <f>(D68-F68)/F68</f>
        <v>4.7200648926243732E-2</v>
      </c>
      <c r="F68" s="386">
        <f>(F62+F66)</f>
        <v>159925725</v>
      </c>
      <c r="G68" s="387">
        <f>(F68-H68)/H68</f>
        <v>9.6528616973666312E-2</v>
      </c>
      <c r="H68" s="386">
        <f>(H62+H66)</f>
        <v>145847288</v>
      </c>
      <c r="I68" s="387">
        <f>(H68-J68)/J68</f>
        <v>0.32850722363388796</v>
      </c>
      <c r="J68" s="386">
        <f>(J62+J66)</f>
        <v>109782834</v>
      </c>
      <c r="K68" s="387">
        <f>(J68-L68)/L68</f>
        <v>-3.528663092931468E-2</v>
      </c>
      <c r="L68" s="386">
        <f>(L62+L66)</f>
        <v>113798396</v>
      </c>
      <c r="M68" s="387">
        <f>(L68-N68)/N68</f>
        <v>-5.0179173955058422E-2</v>
      </c>
      <c r="N68" s="386">
        <f>(N62+N66)</f>
        <v>119810382</v>
      </c>
      <c r="O68" s="363"/>
      <c r="P68" s="364"/>
    </row>
    <row r="69" spans="1:16" ht="12.75" x14ac:dyDescent="0.2">
      <c r="A69" s="384"/>
      <c r="B69" s="366"/>
      <c r="C69" s="366"/>
      <c r="D69" s="386"/>
      <c r="E69" s="366"/>
      <c r="F69" s="386"/>
      <c r="G69" s="366"/>
      <c r="H69" s="386"/>
      <c r="I69" s="366"/>
      <c r="J69" s="386"/>
      <c r="K69" s="366"/>
      <c r="L69" s="386"/>
      <c r="M69" s="366"/>
      <c r="N69" s="386"/>
      <c r="O69" s="363"/>
      <c r="P69" s="364"/>
    </row>
    <row r="70" spans="1:16" ht="12.75" x14ac:dyDescent="0.2">
      <c r="A70" s="367">
        <f>A68+1</f>
        <v>10</v>
      </c>
      <c r="B70" s="366"/>
      <c r="C70" s="382" t="s">
        <v>441</v>
      </c>
      <c r="D70" s="386"/>
      <c r="E70" s="366"/>
      <c r="F70" s="386"/>
      <c r="G70" s="366"/>
      <c r="H70" s="386"/>
      <c r="I70" s="366"/>
      <c r="J70" s="386"/>
      <c r="K70" s="366"/>
      <c r="L70" s="386"/>
      <c r="M70" s="366"/>
      <c r="N70" s="386"/>
      <c r="O70" s="363"/>
      <c r="P70" s="364"/>
    </row>
    <row r="71" spans="1:16" ht="12.75" x14ac:dyDescent="0.2">
      <c r="A71" s="367"/>
      <c r="B71" s="366"/>
      <c r="C71" s="389"/>
      <c r="D71" s="386"/>
      <c r="E71" s="366"/>
      <c r="F71" s="386"/>
      <c r="G71" s="366"/>
      <c r="H71" s="386"/>
      <c r="I71" s="366"/>
      <c r="J71" s="386"/>
      <c r="K71" s="366"/>
      <c r="L71" s="386"/>
      <c r="M71" s="366"/>
      <c r="N71" s="386"/>
      <c r="O71" s="363"/>
      <c r="P71" s="364"/>
    </row>
    <row r="72" spans="1:16" ht="12.75" x14ac:dyDescent="0.2">
      <c r="A72" s="367">
        <f>A70+1</f>
        <v>11</v>
      </c>
      <c r="B72" s="366"/>
      <c r="C72" s="385" t="s">
        <v>444</v>
      </c>
      <c r="D72" s="386"/>
      <c r="E72" s="387"/>
      <c r="F72" s="386"/>
      <c r="G72" s="387"/>
      <c r="H72" s="386"/>
      <c r="I72" s="387"/>
      <c r="J72" s="386"/>
      <c r="K72" s="387"/>
      <c r="L72" s="386"/>
      <c r="M72" s="387"/>
      <c r="N72" s="386"/>
      <c r="O72" s="363"/>
      <c r="P72" s="364"/>
    </row>
    <row r="73" spans="1:16" ht="12.75" x14ac:dyDescent="0.2">
      <c r="A73" s="367">
        <f t="shared" ref="A73:A80" si="4">A72+1</f>
        <v>12</v>
      </c>
      <c r="B73" s="366"/>
      <c r="C73" s="385" t="s">
        <v>445</v>
      </c>
      <c r="D73" s="729">
        <v>14374511</v>
      </c>
      <c r="E73" s="387">
        <f t="shared" ref="E73:E80" si="5">(D73-F73)/F73</f>
        <v>0.24918873837378511</v>
      </c>
      <c r="F73" s="729">
        <v>11507077</v>
      </c>
      <c r="G73" s="387">
        <f t="shared" ref="G73:G80" si="6">(F73-H73)/H73</f>
        <v>-8.3893884302152652E-2</v>
      </c>
      <c r="H73" s="729">
        <v>12560856</v>
      </c>
      <c r="I73" s="387">
        <f t="shared" ref="I73:I80" si="7">(H73-J73)/J73</f>
        <v>-0.4089210325257624</v>
      </c>
      <c r="J73" s="729">
        <v>21250724</v>
      </c>
      <c r="K73" s="387">
        <f t="shared" ref="K73:K80" si="8">(J73-L73)/L73</f>
        <v>9.5219296147928012E-2</v>
      </c>
      <c r="L73" s="729">
        <v>19403168</v>
      </c>
      <c r="M73" s="387">
        <f t="shared" ref="M73:M80" si="9">(L73-N73)/N73</f>
        <v>0.44225421125217623</v>
      </c>
      <c r="N73" s="729">
        <v>13453362</v>
      </c>
      <c r="O73" s="363"/>
      <c r="P73" s="364"/>
    </row>
    <row r="74" spans="1:16" ht="12.75" x14ac:dyDescent="0.2">
      <c r="A74" s="367">
        <f t="shared" si="4"/>
        <v>13</v>
      </c>
      <c r="B74" s="366"/>
      <c r="C74" s="385" t="s">
        <v>446</v>
      </c>
      <c r="D74" s="729">
        <v>19456688</v>
      </c>
      <c r="E74" s="387">
        <f t="shared" si="5"/>
        <v>5.2218237075846261</v>
      </c>
      <c r="F74" s="729">
        <v>3127168</v>
      </c>
      <c r="G74" s="387">
        <f t="shared" si="6"/>
        <v>-0.17283226643157004</v>
      </c>
      <c r="H74" s="729">
        <v>3780573</v>
      </c>
      <c r="I74" s="387">
        <f t="shared" si="7"/>
        <v>-0.91576590320402451</v>
      </c>
      <c r="J74" s="729">
        <v>44881742</v>
      </c>
      <c r="K74" s="387">
        <f t="shared" si="8"/>
        <v>3.3291310175889199</v>
      </c>
      <c r="L74" s="729">
        <v>10367379</v>
      </c>
      <c r="M74" s="387">
        <f t="shared" si="9"/>
        <v>0.12315477627210747</v>
      </c>
      <c r="N74" s="729">
        <v>9230588</v>
      </c>
      <c r="O74" s="363"/>
      <c r="P74" s="364"/>
    </row>
    <row r="75" spans="1:16" ht="12.75" x14ac:dyDescent="0.2">
      <c r="A75" s="367">
        <f t="shared" si="4"/>
        <v>14</v>
      </c>
      <c r="B75" s="366"/>
      <c r="C75" s="385" t="s">
        <v>458</v>
      </c>
      <c r="D75" s="729">
        <v>7108554</v>
      </c>
      <c r="E75" s="387">
        <f t="shared" si="5"/>
        <v>2.5428389444677859</v>
      </c>
      <c r="F75" s="729">
        <v>2006457</v>
      </c>
      <c r="G75" s="387">
        <f t="shared" si="6"/>
        <v>-0.63155468890448108</v>
      </c>
      <c r="H75" s="729">
        <v>5445739</v>
      </c>
      <c r="I75" s="387">
        <f t="shared" si="7"/>
        <v>0.36068195270966336</v>
      </c>
      <c r="J75" s="729">
        <v>4002213</v>
      </c>
      <c r="K75" s="387">
        <f t="shared" si="8"/>
        <v>-4.3548312195612633</v>
      </c>
      <c r="L75" s="729">
        <v>-1192970</v>
      </c>
      <c r="M75" s="387">
        <f t="shared" si="9"/>
        <v>-1.295780277083419</v>
      </c>
      <c r="N75" s="729">
        <v>4033298</v>
      </c>
      <c r="O75" s="363"/>
      <c r="P75" s="364"/>
    </row>
    <row r="76" spans="1:16" ht="12.75" x14ac:dyDescent="0.2">
      <c r="A76" s="367">
        <f t="shared" si="4"/>
        <v>15</v>
      </c>
      <c r="B76" s="366"/>
      <c r="C76" s="385" t="s">
        <v>459</v>
      </c>
      <c r="D76" s="729">
        <v>31778</v>
      </c>
      <c r="E76" s="387">
        <f t="shared" si="5"/>
        <v>-0.18873656531617777</v>
      </c>
      <c r="F76" s="729">
        <v>39171</v>
      </c>
      <c r="G76" s="387">
        <f t="shared" si="6"/>
        <v>0.51274426508071369</v>
      </c>
      <c r="H76" s="729">
        <v>25894</v>
      </c>
      <c r="I76" s="387">
        <f t="shared" si="7"/>
        <v>0.4519457216552652</v>
      </c>
      <c r="J76" s="729">
        <v>17834</v>
      </c>
      <c r="K76" s="387">
        <f t="shared" si="8"/>
        <v>-0.21380708869687887</v>
      </c>
      <c r="L76" s="729">
        <v>22684</v>
      </c>
      <c r="M76" s="387">
        <f t="shared" si="9"/>
        <v>0.49877766765774695</v>
      </c>
      <c r="N76" s="729">
        <v>15135</v>
      </c>
      <c r="O76" s="363"/>
      <c r="P76" s="364"/>
    </row>
    <row r="77" spans="1:16" ht="12.75" x14ac:dyDescent="0.2">
      <c r="A77" s="367">
        <f t="shared" si="4"/>
        <v>16</v>
      </c>
      <c r="B77" s="366"/>
      <c r="C77" s="385" t="s">
        <v>460</v>
      </c>
      <c r="D77" s="729">
        <v>2160176</v>
      </c>
      <c r="E77" s="387">
        <f t="shared" si="5"/>
        <v>11.106302610489033</v>
      </c>
      <c r="F77" s="729">
        <v>178434</v>
      </c>
      <c r="G77" s="387">
        <f t="shared" si="6"/>
        <v>-318.4982206405694</v>
      </c>
      <c r="H77" s="729">
        <v>-562</v>
      </c>
      <c r="I77" s="387">
        <f t="shared" si="7"/>
        <v>-1.0029456007295865</v>
      </c>
      <c r="J77" s="729">
        <v>190793</v>
      </c>
      <c r="K77" s="387">
        <f t="shared" si="8"/>
        <v>5.5879285936259109</v>
      </c>
      <c r="L77" s="729">
        <v>28961</v>
      </c>
      <c r="M77" s="387">
        <f t="shared" si="9"/>
        <v>-1.557940162213189</v>
      </c>
      <c r="N77" s="729">
        <v>-51907</v>
      </c>
      <c r="O77" s="363"/>
      <c r="P77" s="364"/>
    </row>
    <row r="78" spans="1:16" ht="12.75" x14ac:dyDescent="0.2">
      <c r="A78" s="367">
        <f t="shared" si="4"/>
        <v>17</v>
      </c>
      <c r="B78" s="366"/>
      <c r="C78" s="385" t="s">
        <v>461</v>
      </c>
      <c r="D78" s="729">
        <v>3763829</v>
      </c>
      <c r="E78" s="387">
        <f t="shared" si="5"/>
        <v>4.0393283625053726</v>
      </c>
      <c r="F78" s="729">
        <v>746891</v>
      </c>
      <c r="G78" s="387">
        <f t="shared" si="6"/>
        <v>-3.1620250159932146</v>
      </c>
      <c r="H78" s="729">
        <v>-345459</v>
      </c>
      <c r="I78" s="387">
        <f t="shared" si="7"/>
        <v>-1.0557917678399402</v>
      </c>
      <c r="J78" s="729">
        <v>6191935</v>
      </c>
      <c r="K78" s="387">
        <f t="shared" si="8"/>
        <v>0.22722295279839302</v>
      </c>
      <c r="L78" s="729">
        <v>5045485</v>
      </c>
      <c r="M78" s="387">
        <f t="shared" si="9"/>
        <v>-0.52845172169606103</v>
      </c>
      <c r="N78" s="729">
        <v>10699827</v>
      </c>
      <c r="O78" s="363"/>
      <c r="P78" s="364"/>
    </row>
    <row r="79" spans="1:16" ht="12.75" x14ac:dyDescent="0.2">
      <c r="A79" s="367">
        <f t="shared" si="4"/>
        <v>18</v>
      </c>
      <c r="B79" s="366"/>
      <c r="C79" s="385" t="s">
        <v>462</v>
      </c>
      <c r="D79" s="734">
        <v>31061581</v>
      </c>
      <c r="E79" s="387">
        <f t="shared" si="5"/>
        <v>-0.16577673056663544</v>
      </c>
      <c r="F79" s="734">
        <v>37234134</v>
      </c>
      <c r="G79" s="387">
        <f t="shared" si="6"/>
        <v>-6.8416008675604281E-2</v>
      </c>
      <c r="H79" s="734">
        <v>39968628</v>
      </c>
      <c r="I79" s="387">
        <f t="shared" si="7"/>
        <v>-0.25754322595371726</v>
      </c>
      <c r="J79" s="734">
        <v>53832936</v>
      </c>
      <c r="K79" s="387">
        <f t="shared" si="8"/>
        <v>1.0627560941768655</v>
      </c>
      <c r="L79" s="734">
        <v>26097577</v>
      </c>
      <c r="M79" s="387">
        <f t="shared" si="9"/>
        <v>0.28434006891985436</v>
      </c>
      <c r="N79" s="734">
        <v>20319834</v>
      </c>
      <c r="O79" s="363"/>
      <c r="P79" s="364"/>
    </row>
    <row r="80" spans="1:16" ht="12.75" x14ac:dyDescent="0.2">
      <c r="A80" s="367">
        <f t="shared" si="4"/>
        <v>19</v>
      </c>
      <c r="B80" s="366"/>
      <c r="C80" s="385" t="s">
        <v>463</v>
      </c>
      <c r="D80" s="386">
        <f>SUM(D72:D79)</f>
        <v>77957117</v>
      </c>
      <c r="E80" s="387">
        <f t="shared" si="5"/>
        <v>0.42155482492018687</v>
      </c>
      <c r="F80" s="386">
        <f>SUM(F72:F79)</f>
        <v>54839332</v>
      </c>
      <c r="G80" s="387">
        <f t="shared" si="6"/>
        <v>-0.10736982452327491</v>
      </c>
      <c r="H80" s="386">
        <f>SUM(H72:H79)</f>
        <v>61435669</v>
      </c>
      <c r="I80" s="387">
        <f t="shared" si="7"/>
        <v>-0.52875256512944868</v>
      </c>
      <c r="J80" s="386">
        <f>SUM(J72:J79)</f>
        <v>130368177</v>
      </c>
      <c r="K80" s="387">
        <f t="shared" si="8"/>
        <v>1.1810807330032762</v>
      </c>
      <c r="L80" s="386">
        <f>SUM(L72:L79)</f>
        <v>59772284</v>
      </c>
      <c r="M80" s="387">
        <f t="shared" si="9"/>
        <v>3.5912341074684107E-2</v>
      </c>
      <c r="N80" s="386">
        <f>SUM(N72:N79)</f>
        <v>57700137</v>
      </c>
      <c r="O80" s="363"/>
      <c r="P80" s="364"/>
    </row>
    <row r="81" spans="1:20" ht="12.75" x14ac:dyDescent="0.2">
      <c r="A81" s="367"/>
      <c r="B81" s="366"/>
      <c r="C81" s="366"/>
      <c r="D81" s="386"/>
      <c r="E81" s="366"/>
      <c r="F81" s="386"/>
      <c r="G81" s="366"/>
      <c r="H81" s="386"/>
      <c r="I81" s="366"/>
      <c r="J81" s="386"/>
      <c r="K81" s="366"/>
      <c r="L81" s="386"/>
      <c r="M81" s="366"/>
      <c r="N81" s="386"/>
      <c r="O81" s="363"/>
      <c r="P81" s="364"/>
    </row>
    <row r="82" spans="1:20" ht="12.75" x14ac:dyDescent="0.2">
      <c r="A82" s="367">
        <f>A80+1</f>
        <v>20</v>
      </c>
      <c r="B82" s="366"/>
      <c r="C82" s="385" t="s">
        <v>464</v>
      </c>
      <c r="D82" s="386"/>
      <c r="E82" s="387"/>
      <c r="F82" s="386"/>
      <c r="G82" s="387"/>
      <c r="H82" s="386"/>
      <c r="I82" s="387"/>
      <c r="J82" s="386"/>
      <c r="K82" s="387"/>
      <c r="L82" s="386"/>
      <c r="M82" s="387"/>
      <c r="N82" s="386"/>
      <c r="O82" s="363"/>
      <c r="P82" s="364"/>
    </row>
    <row r="83" spans="1:20" ht="12.75" x14ac:dyDescent="0.2">
      <c r="A83" s="367">
        <f t="shared" ref="A83:A88" si="10">A82+1</f>
        <v>21</v>
      </c>
      <c r="B83" s="366"/>
      <c r="C83" s="366" t="s">
        <v>465</v>
      </c>
      <c r="D83" s="729">
        <v>28065388</v>
      </c>
      <c r="E83" s="387">
        <f>(D83-F83)/F83</f>
        <v>0.1284955233545283</v>
      </c>
      <c r="F83" s="729">
        <v>24869738</v>
      </c>
      <c r="G83" s="387">
        <f>(F83-H83)/H83</f>
        <v>0.20072749306267193</v>
      </c>
      <c r="H83" s="729">
        <v>20712225</v>
      </c>
      <c r="I83" s="387">
        <f>(H83-J83)/J83</f>
        <v>0.1163730838215571</v>
      </c>
      <c r="J83" s="729">
        <v>18553139</v>
      </c>
      <c r="K83" s="387">
        <f>(J83-L83)/L83</f>
        <v>3.7946846532095804E-2</v>
      </c>
      <c r="L83" s="729">
        <v>17874845</v>
      </c>
      <c r="M83" s="387">
        <f>(L83-N83)/N83</f>
        <v>6.4165858191272657E-2</v>
      </c>
      <c r="N83" s="729">
        <v>16797048</v>
      </c>
      <c r="O83" s="363"/>
      <c r="P83" s="364"/>
    </row>
    <row r="84" spans="1:20" s="79" customFormat="1" ht="12.75" x14ac:dyDescent="0.2">
      <c r="A84" s="367">
        <f t="shared" si="10"/>
        <v>22</v>
      </c>
      <c r="B84" s="394"/>
      <c r="C84" s="395" t="s">
        <v>466</v>
      </c>
      <c r="D84" s="731">
        <v>767514</v>
      </c>
      <c r="E84" s="387">
        <f>(D84-F84)/F84</f>
        <v>-0.10147788095472234</v>
      </c>
      <c r="F84" s="731">
        <v>854196</v>
      </c>
      <c r="G84" s="387">
        <f>(F84-H84)/H84</f>
        <v>-9.2609116867224145E-2</v>
      </c>
      <c r="H84" s="731">
        <v>941376</v>
      </c>
      <c r="I84" s="387">
        <f>(H84-J84)/J84</f>
        <v>-8.5226527357904772E-2</v>
      </c>
      <c r="J84" s="731">
        <v>1029081</v>
      </c>
      <c r="K84" s="387">
        <f>(J84-L84)/L84</f>
        <v>-7.9187243138963775E-2</v>
      </c>
      <c r="L84" s="731">
        <v>1117579</v>
      </c>
      <c r="M84" s="387">
        <f>(L84-N84)/N84</f>
        <v>-7.4008617118236808E-2</v>
      </c>
      <c r="N84" s="731">
        <v>1206900</v>
      </c>
      <c r="O84" s="363"/>
      <c r="P84" s="396"/>
    </row>
    <row r="85" spans="1:20" ht="12.75" x14ac:dyDescent="0.2">
      <c r="A85" s="367">
        <f t="shared" si="10"/>
        <v>23</v>
      </c>
      <c r="B85" s="366"/>
      <c r="C85" s="385" t="s">
        <v>467</v>
      </c>
      <c r="D85" s="731">
        <v>3839921</v>
      </c>
      <c r="E85" s="387">
        <f>(D85-F85)/F85</f>
        <v>-0.23598501067255395</v>
      </c>
      <c r="F85" s="731">
        <v>5025976</v>
      </c>
      <c r="G85" s="387">
        <f>(F85-H85)/H85</f>
        <v>0.45725744347229053</v>
      </c>
      <c r="H85" s="731">
        <v>3448928</v>
      </c>
      <c r="I85" s="387">
        <f>(H85-J85)/J85</f>
        <v>-1.7982765223506836E-2</v>
      </c>
      <c r="J85" s="731">
        <v>3512085</v>
      </c>
      <c r="K85" s="387">
        <f>(J85-L85)/L85</f>
        <v>0.27201617652491561</v>
      </c>
      <c r="L85" s="731">
        <v>2761038</v>
      </c>
      <c r="M85" s="387">
        <f>(L85-N85)/N85</f>
        <v>0.2793677109827179</v>
      </c>
      <c r="N85" s="731">
        <v>2158127</v>
      </c>
      <c r="O85" s="363"/>
      <c r="P85" s="364"/>
    </row>
    <row r="86" spans="1:20" ht="12.75" x14ac:dyDescent="0.2">
      <c r="A86" s="367">
        <f t="shared" si="10"/>
        <v>24</v>
      </c>
      <c r="B86" s="366"/>
      <c r="C86" s="385" t="s">
        <v>1601</v>
      </c>
      <c r="D86" s="732">
        <v>19144032</v>
      </c>
      <c r="E86" s="387">
        <f>(D86-F86)/F86</f>
        <v>0.89434942752527469</v>
      </c>
      <c r="F86" s="732">
        <v>10105861</v>
      </c>
      <c r="G86" s="387">
        <f>(F86-H86)/H86</f>
        <v>-0.17045776077153579</v>
      </c>
      <c r="H86" s="732">
        <v>12182455</v>
      </c>
      <c r="I86" s="387">
        <f>(H86-J86)/J86</f>
        <v>0.48910453057372388</v>
      </c>
      <c r="J86" s="732">
        <v>8181061</v>
      </c>
      <c r="K86" s="387">
        <f>(J86-L86)/L86</f>
        <v>0.11214137752248668</v>
      </c>
      <c r="L86" s="732">
        <v>7356134</v>
      </c>
      <c r="M86" s="387">
        <f>(L86-N86)/N86</f>
        <v>1.0666618344295768</v>
      </c>
      <c r="N86" s="732">
        <v>3559428</v>
      </c>
      <c r="O86" s="363"/>
      <c r="P86" s="364"/>
    </row>
    <row r="87" spans="1:20" ht="12.75" x14ac:dyDescent="0.2">
      <c r="A87" s="367">
        <f t="shared" si="10"/>
        <v>25</v>
      </c>
      <c r="B87" s="366"/>
      <c r="C87" s="385" t="s">
        <v>468</v>
      </c>
      <c r="D87" s="388"/>
      <c r="E87" s="387"/>
      <c r="F87" s="388"/>
      <c r="G87" s="387"/>
      <c r="H87" s="388"/>
      <c r="I87" s="387"/>
      <c r="J87" s="388"/>
      <c r="K87" s="387"/>
      <c r="L87" s="388"/>
      <c r="M87" s="387"/>
      <c r="N87" s="388"/>
      <c r="O87" s="363"/>
      <c r="P87" s="364"/>
    </row>
    <row r="88" spans="1:20" ht="12.75" x14ac:dyDescent="0.2">
      <c r="A88" s="367">
        <f t="shared" si="10"/>
        <v>26</v>
      </c>
      <c r="B88" s="366"/>
      <c r="C88" s="385" t="s">
        <v>469</v>
      </c>
      <c r="D88" s="388">
        <f>SUM(D83:D86)</f>
        <v>51816855</v>
      </c>
      <c r="E88" s="387">
        <f>(D88-F88)/F88</f>
        <v>0.26828728798191082</v>
      </c>
      <c r="F88" s="388">
        <f>SUM(F83:F86)</f>
        <v>40855771</v>
      </c>
      <c r="G88" s="387">
        <f>(F88-H88)/H88</f>
        <v>9.5770109489654059E-2</v>
      </c>
      <c r="H88" s="388">
        <f>SUM(H83:H86)</f>
        <v>37284984</v>
      </c>
      <c r="I88" s="387">
        <f>(H88-J88)/J88</f>
        <v>0.19215180407481083</v>
      </c>
      <c r="J88" s="388">
        <f>SUM(J83:J86)</f>
        <v>31275366</v>
      </c>
      <c r="K88" s="387">
        <f>(J88-L88)/L88</f>
        <v>7.4400551625656369E-2</v>
      </c>
      <c r="L88" s="388">
        <f>SUM(L83:L86)</f>
        <v>29109596</v>
      </c>
      <c r="M88" s="387">
        <f>(L88-N88)/N88</f>
        <v>0.22713961252792456</v>
      </c>
      <c r="N88" s="388">
        <f>SUM(N83:N86)</f>
        <v>23721503</v>
      </c>
      <c r="O88" s="363"/>
      <c r="P88" s="364"/>
    </row>
    <row r="89" spans="1:20" ht="12.75" x14ac:dyDescent="0.2">
      <c r="A89" s="384"/>
      <c r="B89" s="366"/>
      <c r="C89" s="366"/>
      <c r="D89" s="386"/>
      <c r="E89" s="366"/>
      <c r="F89" s="386"/>
      <c r="G89" s="366"/>
      <c r="H89" s="386"/>
      <c r="I89" s="366"/>
      <c r="J89" s="386"/>
      <c r="K89" s="366"/>
      <c r="L89" s="386"/>
      <c r="M89" s="366"/>
      <c r="N89" s="386"/>
      <c r="O89" s="363"/>
      <c r="P89" s="364"/>
    </row>
    <row r="90" spans="1:20" ht="12.75" x14ac:dyDescent="0.2">
      <c r="A90" s="367">
        <f>A88+1</f>
        <v>27</v>
      </c>
      <c r="B90" s="366"/>
      <c r="C90" s="382" t="s">
        <v>470</v>
      </c>
      <c r="D90" s="386"/>
      <c r="E90" s="366"/>
      <c r="F90" s="386"/>
      <c r="G90" s="366"/>
      <c r="H90" s="386"/>
      <c r="I90" s="366"/>
      <c r="J90" s="386"/>
      <c r="K90" s="366"/>
      <c r="L90" s="386"/>
      <c r="M90" s="366"/>
      <c r="N90" s="386"/>
      <c r="O90" s="363"/>
      <c r="P90" s="364"/>
    </row>
    <row r="91" spans="1:20" ht="13.5" thickBot="1" x14ac:dyDescent="0.25">
      <c r="A91" s="367">
        <f>A90+1</f>
        <v>28</v>
      </c>
      <c r="B91" s="366"/>
      <c r="C91" s="397" t="s">
        <v>472</v>
      </c>
      <c r="D91" s="392">
        <f>(D68+D80+D88)</f>
        <v>297248295</v>
      </c>
      <c r="E91" s="387">
        <f>(D91-F91)/F91</f>
        <v>0.16284849448965871</v>
      </c>
      <c r="F91" s="392">
        <f>(F68+F80+F88)</f>
        <v>255620828</v>
      </c>
      <c r="G91" s="387">
        <f>(F91-H91)/H91</f>
        <v>4.5193523545263029E-2</v>
      </c>
      <c r="H91" s="392">
        <f>(H68+H80+H88)</f>
        <v>244567941</v>
      </c>
      <c r="I91" s="387">
        <f>(H91-J91)/J91</f>
        <v>-9.8952932639999103E-2</v>
      </c>
      <c r="J91" s="392">
        <f>(J68+J80+J88)</f>
        <v>271426377</v>
      </c>
      <c r="K91" s="387">
        <f>(J91-L91)/L91</f>
        <v>0.33918495848111041</v>
      </c>
      <c r="L91" s="392">
        <f>(L68+L80+L88)</f>
        <v>202680276</v>
      </c>
      <c r="M91" s="387">
        <f>(L91-N91)/N91</f>
        <v>7.1969360820714704E-3</v>
      </c>
      <c r="N91" s="392">
        <f>(N68+N80+N88)</f>
        <v>201232022</v>
      </c>
      <c r="O91" s="363"/>
      <c r="P91" s="364"/>
    </row>
    <row r="92" spans="1:20" ht="13.5" thickTop="1" x14ac:dyDescent="0.2">
      <c r="A92" s="366"/>
      <c r="B92" s="366"/>
      <c r="C92" s="366"/>
      <c r="D92" s="366"/>
      <c r="E92" s="366"/>
      <c r="F92" s="366"/>
      <c r="G92" s="366"/>
      <c r="H92" s="366"/>
      <c r="I92" s="366"/>
      <c r="J92" s="386"/>
      <c r="K92" s="366"/>
      <c r="L92" s="366"/>
      <c r="M92" s="366"/>
      <c r="N92" s="366"/>
      <c r="O92" s="363"/>
      <c r="P92" s="364"/>
    </row>
    <row r="93" spans="1:20" ht="12.75" x14ac:dyDescent="0.2">
      <c r="A93" s="366"/>
      <c r="B93" s="366"/>
      <c r="C93" s="366"/>
      <c r="D93" s="383"/>
      <c r="E93" s="366"/>
      <c r="F93" s="383"/>
      <c r="G93" s="366"/>
      <c r="H93" s="383"/>
      <c r="I93" s="366"/>
      <c r="J93" s="383"/>
      <c r="K93" s="366"/>
      <c r="L93" s="383"/>
      <c r="M93" s="366"/>
      <c r="N93" s="383"/>
      <c r="O93" s="363"/>
      <c r="P93" s="398"/>
      <c r="R93" s="78"/>
      <c r="T93" s="78"/>
    </row>
    <row r="94" spans="1:20" ht="12.75" x14ac:dyDescent="0.2">
      <c r="A94" s="366"/>
      <c r="B94" s="366"/>
      <c r="C94" s="366"/>
      <c r="D94" s="366"/>
      <c r="E94" s="366"/>
      <c r="F94" s="383"/>
      <c r="G94" s="366"/>
      <c r="H94" s="383"/>
      <c r="I94" s="366"/>
      <c r="J94" s="383"/>
      <c r="K94" s="366"/>
      <c r="L94" s="383"/>
      <c r="M94" s="366"/>
      <c r="N94" s="383"/>
      <c r="O94" s="363"/>
      <c r="P94" s="364"/>
    </row>
    <row r="95" spans="1:20" ht="12.75" x14ac:dyDescent="0.2">
      <c r="A95" s="366"/>
      <c r="B95" s="366"/>
      <c r="C95" s="366"/>
      <c r="D95" s="366"/>
      <c r="E95" s="366"/>
      <c r="F95" s="383"/>
      <c r="G95" s="366"/>
      <c r="H95" s="383"/>
      <c r="I95" s="366"/>
      <c r="J95" s="383"/>
      <c r="K95" s="366"/>
      <c r="L95" s="383"/>
      <c r="M95" s="366"/>
      <c r="N95" s="383"/>
      <c r="O95" s="363"/>
      <c r="P95" s="364"/>
    </row>
    <row r="96" spans="1:20" ht="12.75" x14ac:dyDescent="0.2">
      <c r="A96" s="366"/>
      <c r="B96" s="366"/>
      <c r="C96" s="366"/>
      <c r="D96" s="366"/>
      <c r="E96" s="366"/>
      <c r="F96" s="399"/>
      <c r="G96" s="366"/>
      <c r="H96" s="399"/>
      <c r="I96" s="366"/>
      <c r="J96" s="399"/>
      <c r="K96" s="366"/>
      <c r="L96" s="399"/>
      <c r="M96" s="366"/>
      <c r="N96" s="399"/>
      <c r="O96" s="363"/>
      <c r="P96" s="364"/>
    </row>
    <row r="97" spans="1:16" ht="12.75" x14ac:dyDescent="0.2">
      <c r="A97" s="366"/>
      <c r="B97" s="366"/>
      <c r="C97" s="366"/>
      <c r="D97" s="366"/>
      <c r="E97" s="366"/>
      <c r="F97" s="399"/>
      <c r="G97" s="366"/>
      <c r="H97" s="399"/>
      <c r="I97" s="366"/>
      <c r="J97" s="399"/>
      <c r="K97" s="366"/>
      <c r="L97" s="399"/>
      <c r="M97" s="366"/>
      <c r="N97" s="399"/>
      <c r="O97" s="363"/>
      <c r="P97" s="364"/>
    </row>
    <row r="98" spans="1:16" ht="12.75" x14ac:dyDescent="0.2">
      <c r="A98" s="366"/>
      <c r="B98" s="366"/>
      <c r="C98" s="366"/>
      <c r="D98" s="366"/>
      <c r="E98" s="366"/>
      <c r="F98" s="399"/>
      <c r="G98" s="366"/>
      <c r="H98" s="399"/>
      <c r="I98" s="366"/>
      <c r="J98" s="399"/>
      <c r="K98" s="366"/>
      <c r="L98" s="399"/>
      <c r="M98" s="366"/>
      <c r="N98" s="399"/>
      <c r="O98" s="363"/>
      <c r="P98" s="364"/>
    </row>
    <row r="99" spans="1:16" ht="12.75" x14ac:dyDescent="0.2">
      <c r="A99" s="366"/>
      <c r="B99" s="366"/>
      <c r="C99" s="366"/>
      <c r="D99" s="366"/>
      <c r="E99" s="366"/>
      <c r="F99" s="399">
        <f>F91-F42</f>
        <v>0</v>
      </c>
      <c r="G99" s="366"/>
      <c r="H99" s="399">
        <v>0</v>
      </c>
      <c r="I99" s="366"/>
      <c r="J99" s="399">
        <v>0</v>
      </c>
      <c r="K99" s="366"/>
      <c r="L99" s="399">
        <v>0</v>
      </c>
      <c r="M99" s="366"/>
      <c r="N99" s="399">
        <v>0</v>
      </c>
      <c r="O99" s="363"/>
      <c r="P99" s="364"/>
    </row>
    <row r="100" spans="1:16" ht="12.75" x14ac:dyDescent="0.2">
      <c r="A100" s="366"/>
      <c r="B100" s="366"/>
      <c r="C100" s="366"/>
      <c r="D100" s="366"/>
      <c r="E100" s="366"/>
      <c r="F100" s="366"/>
      <c r="G100" s="366"/>
      <c r="H100" s="399"/>
      <c r="I100" s="366"/>
      <c r="J100" s="399"/>
      <c r="K100" s="366"/>
      <c r="L100" s="399"/>
      <c r="M100" s="366"/>
      <c r="N100" s="399"/>
      <c r="O100" s="363"/>
      <c r="P100" s="364"/>
    </row>
    <row r="101" spans="1:16" ht="12.75" x14ac:dyDescent="0.2">
      <c r="A101" s="365"/>
      <c r="B101" s="366"/>
      <c r="C101" s="365"/>
      <c r="D101" s="366"/>
      <c r="E101" s="366"/>
      <c r="F101" s="366"/>
      <c r="G101" s="366"/>
      <c r="H101" s="399"/>
      <c r="I101" s="366"/>
      <c r="J101" s="399"/>
      <c r="K101" s="366"/>
      <c r="L101" s="399"/>
      <c r="M101" s="366"/>
      <c r="N101" s="399"/>
      <c r="O101" s="363"/>
      <c r="P101" s="364"/>
    </row>
    <row r="102" spans="1:16" ht="12.75" x14ac:dyDescent="0.2">
      <c r="A102" s="366"/>
      <c r="B102" s="366"/>
      <c r="C102" s="365"/>
      <c r="D102" s="366"/>
      <c r="E102" s="366"/>
      <c r="F102" s="366"/>
      <c r="G102" s="366"/>
      <c r="H102" s="399"/>
      <c r="I102" s="366"/>
      <c r="J102" s="399"/>
      <c r="K102" s="366"/>
      <c r="L102" s="399"/>
      <c r="M102" s="366"/>
      <c r="N102" s="399"/>
      <c r="O102" s="363"/>
      <c r="P102" s="364"/>
    </row>
    <row r="103" spans="1:16" ht="12.75" x14ac:dyDescent="0.2">
      <c r="A103" s="366"/>
      <c r="B103" s="366"/>
      <c r="C103" s="365"/>
      <c r="D103" s="366"/>
      <c r="E103" s="366"/>
      <c r="F103" s="366"/>
      <c r="G103" s="366"/>
      <c r="H103" s="366"/>
      <c r="I103" s="366"/>
      <c r="J103" s="366"/>
      <c r="K103" s="366"/>
      <c r="L103" s="366"/>
      <c r="M103" s="366"/>
      <c r="N103" s="366"/>
      <c r="O103" s="363"/>
      <c r="P103" s="364"/>
    </row>
    <row r="104" spans="1:16" ht="12.75" x14ac:dyDescent="0.2">
      <c r="A104" s="366"/>
      <c r="B104" s="366"/>
      <c r="C104" s="365"/>
      <c r="D104" s="366"/>
      <c r="E104" s="366"/>
      <c r="F104" s="366"/>
      <c r="G104" s="366"/>
      <c r="H104" s="366"/>
      <c r="I104" s="366"/>
      <c r="J104" s="366"/>
      <c r="K104" s="366"/>
      <c r="L104" s="366"/>
      <c r="M104" s="366"/>
      <c r="N104" s="366"/>
      <c r="O104" s="363"/>
      <c r="P104" s="364"/>
    </row>
    <row r="105" spans="1:16" ht="12.75" x14ac:dyDescent="0.2">
      <c r="A105" s="366"/>
      <c r="B105" s="366"/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66"/>
      <c r="O105" s="363"/>
      <c r="P105" s="364"/>
    </row>
    <row r="106" spans="1:16" ht="12.75" x14ac:dyDescent="0.2">
      <c r="A106" s="366"/>
      <c r="B106" s="366"/>
      <c r="C106" s="366"/>
      <c r="D106" s="366"/>
      <c r="E106" s="366"/>
      <c r="F106" s="366"/>
      <c r="G106" s="366"/>
      <c r="H106" s="366"/>
      <c r="I106" s="366"/>
      <c r="J106" s="366"/>
      <c r="K106" s="366"/>
      <c r="L106" s="366"/>
      <c r="M106" s="366"/>
      <c r="N106" s="366"/>
      <c r="O106" s="363"/>
      <c r="P106" s="364"/>
    </row>
    <row r="107" spans="1:16" ht="12.75" x14ac:dyDescent="0.2">
      <c r="A107" s="366"/>
      <c r="B107" s="366"/>
      <c r="C107" s="366"/>
      <c r="D107" s="366"/>
      <c r="E107" s="366"/>
      <c r="F107" s="366"/>
      <c r="G107" s="366"/>
      <c r="H107" s="366"/>
      <c r="I107" s="366"/>
      <c r="J107" s="366"/>
      <c r="K107" s="366"/>
      <c r="L107" s="366"/>
      <c r="M107" s="366"/>
      <c r="N107" s="366"/>
      <c r="O107" s="363"/>
      <c r="P107" s="364"/>
    </row>
    <row r="108" spans="1:16" ht="12.75" x14ac:dyDescent="0.2">
      <c r="A108" s="366"/>
      <c r="B108" s="366"/>
      <c r="C108" s="366"/>
      <c r="D108" s="366"/>
      <c r="E108" s="366"/>
      <c r="F108" s="366"/>
      <c r="G108" s="366"/>
      <c r="H108" s="366"/>
      <c r="I108" s="366"/>
      <c r="J108" s="366"/>
      <c r="K108" s="366"/>
      <c r="L108" s="366"/>
      <c r="M108" s="366"/>
      <c r="N108" s="366"/>
      <c r="O108" s="363"/>
      <c r="P108" s="364"/>
    </row>
    <row r="109" spans="1:16" ht="12.75" x14ac:dyDescent="0.2">
      <c r="A109" s="366"/>
      <c r="B109" s="366"/>
      <c r="C109" s="366"/>
      <c r="D109" s="366"/>
      <c r="E109" s="366"/>
      <c r="F109" s="366"/>
      <c r="G109" s="366"/>
      <c r="H109" s="366"/>
      <c r="I109" s="366"/>
      <c r="J109" s="366"/>
      <c r="K109" s="366"/>
      <c r="L109" s="366"/>
      <c r="M109" s="366"/>
      <c r="N109" s="366"/>
      <c r="O109" s="363"/>
      <c r="P109" s="364"/>
    </row>
    <row r="110" spans="1:16" ht="12.75" x14ac:dyDescent="0.2">
      <c r="A110" s="366"/>
      <c r="B110" s="366"/>
      <c r="C110" s="366"/>
      <c r="D110" s="366"/>
      <c r="E110" s="366"/>
      <c r="F110" s="366"/>
      <c r="G110" s="366"/>
      <c r="H110" s="366"/>
      <c r="I110" s="366"/>
      <c r="J110" s="366"/>
      <c r="K110" s="366"/>
      <c r="L110" s="366"/>
      <c r="M110" s="366"/>
      <c r="N110" s="366"/>
      <c r="O110" s="363"/>
      <c r="P110" s="364"/>
    </row>
    <row r="111" spans="1:16" ht="12.75" x14ac:dyDescent="0.2">
      <c r="A111" s="366"/>
      <c r="B111" s="366"/>
      <c r="C111" s="366"/>
      <c r="D111" s="366"/>
      <c r="E111" s="366"/>
      <c r="F111" s="366"/>
      <c r="G111" s="366"/>
      <c r="H111" s="366"/>
      <c r="I111" s="366"/>
      <c r="J111" s="366"/>
      <c r="K111" s="366"/>
      <c r="L111" s="366"/>
      <c r="M111" s="366"/>
      <c r="N111" s="366"/>
      <c r="O111" s="363"/>
      <c r="P111" s="364"/>
    </row>
    <row r="112" spans="1:16" ht="12.75" x14ac:dyDescent="0.2">
      <c r="A112" s="366"/>
      <c r="B112" s="366"/>
      <c r="C112" s="366"/>
      <c r="D112" s="366"/>
      <c r="E112" s="366"/>
      <c r="F112" s="366"/>
      <c r="G112" s="366"/>
      <c r="H112" s="366"/>
      <c r="I112" s="366"/>
      <c r="J112" s="366"/>
      <c r="K112" s="366"/>
      <c r="L112" s="366"/>
      <c r="M112" s="366"/>
      <c r="N112" s="366"/>
      <c r="O112" s="363"/>
      <c r="P112" s="364"/>
    </row>
    <row r="113" spans="1:16" ht="12.75" x14ac:dyDescent="0.2">
      <c r="A113" s="366"/>
      <c r="B113" s="366"/>
      <c r="C113" s="366"/>
      <c r="D113" s="366"/>
      <c r="E113" s="366"/>
      <c r="F113" s="366"/>
      <c r="G113" s="366"/>
      <c r="H113" s="366"/>
      <c r="I113" s="366"/>
      <c r="J113" s="366"/>
      <c r="K113" s="366"/>
      <c r="L113" s="366"/>
      <c r="M113" s="366"/>
      <c r="N113" s="366"/>
      <c r="O113" s="363"/>
      <c r="P113" s="364"/>
    </row>
    <row r="114" spans="1:16" ht="12.75" x14ac:dyDescent="0.2">
      <c r="A114" s="366"/>
      <c r="B114" s="366"/>
      <c r="C114" s="366"/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3"/>
      <c r="P114" s="364"/>
    </row>
    <row r="115" spans="1:16" ht="12.75" x14ac:dyDescent="0.2">
      <c r="A115" s="366"/>
      <c r="B115" s="366"/>
      <c r="C115" s="366"/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3"/>
      <c r="P115" s="364"/>
    </row>
    <row r="116" spans="1:16" ht="12.75" x14ac:dyDescent="0.2">
      <c r="A116" s="366"/>
      <c r="B116" s="366"/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3"/>
      <c r="P116" s="364"/>
    </row>
    <row r="117" spans="1:16" ht="12.75" x14ac:dyDescent="0.2">
      <c r="A117" s="366"/>
      <c r="B117" s="366"/>
      <c r="C117" s="366"/>
      <c r="D117" s="366"/>
      <c r="E117" s="366"/>
      <c r="F117" s="366"/>
      <c r="G117" s="366"/>
      <c r="H117" s="366"/>
      <c r="I117" s="366"/>
      <c r="J117" s="366"/>
      <c r="K117" s="366"/>
      <c r="L117" s="366"/>
      <c r="M117" s="366"/>
      <c r="N117" s="366"/>
      <c r="O117" s="363"/>
      <c r="P117" s="364"/>
    </row>
    <row r="118" spans="1:16" ht="12.75" x14ac:dyDescent="0.2">
      <c r="A118" s="366"/>
      <c r="B118" s="366"/>
      <c r="C118" s="366"/>
      <c r="D118" s="366"/>
      <c r="E118" s="366"/>
      <c r="F118" s="366"/>
      <c r="G118" s="366"/>
      <c r="H118" s="366"/>
      <c r="I118" s="366"/>
      <c r="J118" s="366"/>
      <c r="K118" s="366"/>
      <c r="L118" s="366"/>
      <c r="M118" s="366"/>
      <c r="N118" s="366"/>
      <c r="O118" s="363"/>
      <c r="P118" s="364"/>
    </row>
    <row r="119" spans="1:16" ht="12.75" x14ac:dyDescent="0.2">
      <c r="A119" s="366"/>
      <c r="B119" s="366"/>
      <c r="C119" s="366"/>
      <c r="D119" s="366"/>
      <c r="E119" s="366"/>
      <c r="F119" s="366"/>
      <c r="G119" s="366"/>
      <c r="H119" s="366"/>
      <c r="I119" s="366"/>
      <c r="J119" s="366"/>
      <c r="K119" s="366"/>
      <c r="L119" s="366"/>
      <c r="M119" s="366"/>
      <c r="N119" s="366"/>
      <c r="O119" s="363"/>
      <c r="P119" s="364"/>
    </row>
    <row r="120" spans="1:16" ht="12.75" x14ac:dyDescent="0.2">
      <c r="A120" s="366"/>
      <c r="B120" s="366"/>
      <c r="C120" s="366"/>
      <c r="D120" s="366"/>
      <c r="E120" s="366"/>
      <c r="F120" s="366"/>
      <c r="G120" s="366"/>
      <c r="H120" s="366"/>
      <c r="I120" s="366"/>
      <c r="J120" s="366"/>
      <c r="K120" s="366"/>
      <c r="L120" s="366"/>
      <c r="M120" s="366"/>
      <c r="N120" s="366"/>
      <c r="O120" s="363"/>
      <c r="P120" s="364"/>
    </row>
    <row r="121" spans="1:16" ht="12.75" x14ac:dyDescent="0.2">
      <c r="A121" s="366"/>
      <c r="B121" s="366"/>
      <c r="C121" s="366"/>
      <c r="D121" s="366"/>
      <c r="E121" s="366"/>
      <c r="F121" s="366"/>
      <c r="G121" s="366"/>
      <c r="H121" s="366"/>
      <c r="I121" s="366"/>
      <c r="J121" s="366"/>
      <c r="K121" s="366"/>
      <c r="L121" s="366"/>
      <c r="M121" s="366"/>
      <c r="N121" s="366"/>
      <c r="O121" s="363"/>
      <c r="P121" s="364"/>
    </row>
    <row r="122" spans="1:16" ht="12.75" x14ac:dyDescent="0.2">
      <c r="A122" s="366"/>
      <c r="B122" s="366"/>
      <c r="C122" s="36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3"/>
      <c r="P122" s="364"/>
    </row>
    <row r="123" spans="1:16" ht="12.75" x14ac:dyDescent="0.2">
      <c r="A123" s="366"/>
      <c r="B123" s="366"/>
      <c r="C123" s="366"/>
      <c r="D123" s="366"/>
      <c r="E123" s="366"/>
      <c r="F123" s="366"/>
      <c r="G123" s="366"/>
      <c r="H123" s="366"/>
      <c r="I123" s="366"/>
      <c r="J123" s="366"/>
      <c r="K123" s="366"/>
      <c r="L123" s="366"/>
      <c r="M123" s="366"/>
      <c r="N123" s="366"/>
      <c r="O123" s="363"/>
      <c r="P123" s="364"/>
    </row>
    <row r="124" spans="1:16" ht="12.75" x14ac:dyDescent="0.2">
      <c r="A124" s="366"/>
      <c r="B124" s="366"/>
      <c r="C124" s="366"/>
      <c r="D124" s="366"/>
      <c r="E124" s="366"/>
      <c r="F124" s="366"/>
      <c r="G124" s="366"/>
      <c r="H124" s="366"/>
      <c r="I124" s="366"/>
      <c r="J124" s="366"/>
      <c r="K124" s="366"/>
      <c r="L124" s="366"/>
      <c r="M124" s="366"/>
      <c r="N124" s="366"/>
      <c r="O124" s="363"/>
      <c r="P124" s="364"/>
    </row>
    <row r="125" spans="1:16" ht="12.75" x14ac:dyDescent="0.2">
      <c r="A125" s="366"/>
      <c r="B125" s="366"/>
      <c r="C125" s="366"/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3"/>
      <c r="P125" s="364"/>
    </row>
    <row r="126" spans="1:16" ht="12.75" x14ac:dyDescent="0.2">
      <c r="A126" s="366"/>
      <c r="B126" s="366"/>
      <c r="C126" s="366"/>
      <c r="D126" s="366"/>
      <c r="E126" s="366"/>
      <c r="F126" s="366"/>
      <c r="G126" s="366"/>
      <c r="H126" s="366"/>
      <c r="I126" s="366"/>
      <c r="J126" s="366"/>
      <c r="K126" s="366"/>
      <c r="L126" s="366"/>
      <c r="M126" s="366"/>
      <c r="N126" s="366"/>
      <c r="O126" s="363"/>
      <c r="P126" s="364"/>
    </row>
    <row r="127" spans="1:16" ht="12.75" x14ac:dyDescent="0.2">
      <c r="A127" s="366"/>
      <c r="B127" s="366"/>
      <c r="C127" s="366"/>
      <c r="D127" s="366"/>
      <c r="E127" s="366"/>
      <c r="F127" s="366"/>
      <c r="G127" s="366"/>
      <c r="H127" s="366"/>
      <c r="I127" s="366"/>
      <c r="J127" s="366"/>
      <c r="K127" s="366"/>
      <c r="L127" s="366"/>
      <c r="M127" s="366"/>
      <c r="N127" s="366"/>
      <c r="O127" s="363"/>
      <c r="P127" s="364"/>
    </row>
    <row r="128" spans="1:16" ht="12.75" x14ac:dyDescent="0.2">
      <c r="A128" s="366"/>
      <c r="B128" s="366"/>
      <c r="C128" s="366"/>
      <c r="D128" s="366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3"/>
      <c r="P128" s="364"/>
    </row>
    <row r="129" spans="1:16" ht="12.75" x14ac:dyDescent="0.2">
      <c r="A129" s="366"/>
      <c r="B129" s="366"/>
      <c r="C129" s="366"/>
      <c r="D129" s="366"/>
      <c r="E129" s="366"/>
      <c r="F129" s="366"/>
      <c r="G129" s="366"/>
      <c r="H129" s="366"/>
      <c r="I129" s="366"/>
      <c r="J129" s="366"/>
      <c r="K129" s="366"/>
      <c r="L129" s="366"/>
      <c r="M129" s="366"/>
      <c r="N129" s="366"/>
      <c r="O129" s="363"/>
      <c r="P129" s="364"/>
    </row>
    <row r="130" spans="1:16" ht="12.75" x14ac:dyDescent="0.2">
      <c r="A130" s="366"/>
      <c r="B130" s="366"/>
      <c r="C130" s="366"/>
      <c r="D130" s="366"/>
      <c r="E130" s="366"/>
      <c r="F130" s="366"/>
      <c r="G130" s="366"/>
      <c r="H130" s="366"/>
      <c r="I130" s="366"/>
      <c r="J130" s="366"/>
      <c r="K130" s="366"/>
      <c r="L130" s="366"/>
      <c r="M130" s="366"/>
      <c r="N130" s="366"/>
      <c r="O130" s="363"/>
      <c r="P130" s="364"/>
    </row>
    <row r="131" spans="1:16" ht="12.75" x14ac:dyDescent="0.2">
      <c r="A131" s="366"/>
      <c r="B131" s="366"/>
      <c r="C131" s="366"/>
      <c r="D131" s="366"/>
      <c r="E131" s="366"/>
      <c r="F131" s="366"/>
      <c r="G131" s="366"/>
      <c r="H131" s="366"/>
      <c r="I131" s="366"/>
      <c r="J131" s="366"/>
      <c r="K131" s="366"/>
      <c r="L131" s="366"/>
      <c r="M131" s="366"/>
      <c r="N131" s="366"/>
      <c r="O131" s="363"/>
      <c r="P131" s="364"/>
    </row>
    <row r="132" spans="1:16" ht="12.75" x14ac:dyDescent="0.2">
      <c r="A132" s="366"/>
      <c r="B132" s="366"/>
      <c r="C132" s="366"/>
      <c r="D132" s="366"/>
      <c r="E132" s="366"/>
      <c r="F132" s="366"/>
      <c r="G132" s="366"/>
      <c r="H132" s="366"/>
      <c r="I132" s="366"/>
      <c r="J132" s="366"/>
      <c r="K132" s="366"/>
      <c r="L132" s="366"/>
      <c r="M132" s="366"/>
      <c r="N132" s="366"/>
      <c r="O132" s="363"/>
      <c r="P132" s="364"/>
    </row>
    <row r="133" spans="1:16" ht="12.75" x14ac:dyDescent="0.2">
      <c r="A133" s="366"/>
      <c r="B133" s="366"/>
      <c r="C133" s="366"/>
      <c r="D133" s="366"/>
      <c r="E133" s="366"/>
      <c r="F133" s="366"/>
      <c r="G133" s="366"/>
      <c r="H133" s="366"/>
      <c r="I133" s="366"/>
      <c r="J133" s="366"/>
      <c r="K133" s="366"/>
      <c r="L133" s="366"/>
      <c r="M133" s="366"/>
      <c r="N133" s="366"/>
      <c r="O133" s="363"/>
      <c r="P133" s="364"/>
    </row>
    <row r="134" spans="1:16" ht="12.75" x14ac:dyDescent="0.2">
      <c r="A134" s="366"/>
      <c r="B134" s="366"/>
      <c r="C134" s="366"/>
      <c r="D134" s="366"/>
      <c r="E134" s="366"/>
      <c r="F134" s="366"/>
      <c r="G134" s="366"/>
      <c r="H134" s="366"/>
      <c r="I134" s="366"/>
      <c r="J134" s="366"/>
      <c r="K134" s="366"/>
      <c r="L134" s="366"/>
      <c r="M134" s="366"/>
      <c r="N134" s="366"/>
      <c r="O134" s="363"/>
      <c r="P134" s="364"/>
    </row>
    <row r="135" spans="1:16" ht="12.75" x14ac:dyDescent="0.2">
      <c r="A135" s="366"/>
      <c r="B135" s="366"/>
      <c r="C135" s="366"/>
      <c r="D135" s="366"/>
      <c r="E135" s="366"/>
      <c r="F135" s="366"/>
      <c r="G135" s="366"/>
      <c r="H135" s="366"/>
      <c r="I135" s="366"/>
      <c r="J135" s="366"/>
      <c r="K135" s="366"/>
      <c r="L135" s="366"/>
      <c r="M135" s="366"/>
      <c r="N135" s="366"/>
      <c r="O135" s="363"/>
      <c r="P135" s="364"/>
    </row>
    <row r="136" spans="1:16" ht="12.75" x14ac:dyDescent="0.2">
      <c r="A136" s="366"/>
      <c r="B136" s="366"/>
      <c r="C136" s="366"/>
      <c r="D136" s="366"/>
      <c r="E136" s="366"/>
      <c r="F136" s="366"/>
      <c r="G136" s="366"/>
      <c r="H136" s="366"/>
      <c r="I136" s="366"/>
      <c r="J136" s="366"/>
      <c r="K136" s="366"/>
      <c r="L136" s="366"/>
      <c r="M136" s="366"/>
      <c r="N136" s="366"/>
      <c r="O136" s="363"/>
      <c r="P136" s="364"/>
    </row>
    <row r="137" spans="1:16" ht="12.75" x14ac:dyDescent="0.2">
      <c r="A137" s="366"/>
      <c r="B137" s="366"/>
      <c r="C137" s="366"/>
      <c r="D137" s="366"/>
      <c r="E137" s="366"/>
      <c r="F137" s="366"/>
      <c r="G137" s="366"/>
      <c r="H137" s="366"/>
      <c r="I137" s="366"/>
      <c r="J137" s="366"/>
      <c r="K137" s="366"/>
      <c r="L137" s="366"/>
      <c r="M137" s="366"/>
      <c r="N137" s="366"/>
      <c r="O137" s="363"/>
      <c r="P137" s="364"/>
    </row>
    <row r="138" spans="1:16" ht="12.75" x14ac:dyDescent="0.2">
      <c r="A138" s="366"/>
      <c r="B138" s="366"/>
      <c r="C138" s="366"/>
      <c r="D138" s="366"/>
      <c r="E138" s="366"/>
      <c r="F138" s="366"/>
      <c r="G138" s="366"/>
      <c r="H138" s="366"/>
      <c r="I138" s="366"/>
      <c r="J138" s="366"/>
      <c r="K138" s="366"/>
      <c r="L138" s="366"/>
      <c r="M138" s="366"/>
      <c r="N138" s="366"/>
      <c r="O138" s="363"/>
      <c r="P138" s="364"/>
    </row>
    <row r="139" spans="1:16" ht="12.75" x14ac:dyDescent="0.2">
      <c r="A139" s="366"/>
      <c r="B139" s="366"/>
      <c r="C139" s="366"/>
      <c r="D139" s="366"/>
      <c r="E139" s="366"/>
      <c r="F139" s="366"/>
      <c r="G139" s="366"/>
      <c r="H139" s="366"/>
      <c r="I139" s="366"/>
      <c r="J139" s="366"/>
      <c r="K139" s="366"/>
      <c r="L139" s="366"/>
      <c r="M139" s="366"/>
      <c r="N139" s="366"/>
      <c r="O139" s="363"/>
      <c r="P139" s="364"/>
    </row>
    <row r="140" spans="1:16" ht="12.75" x14ac:dyDescent="0.2">
      <c r="A140" s="366"/>
      <c r="B140" s="366"/>
      <c r="C140" s="366"/>
      <c r="D140" s="366"/>
      <c r="E140" s="366"/>
      <c r="F140" s="366"/>
      <c r="G140" s="366"/>
      <c r="H140" s="366"/>
      <c r="I140" s="366"/>
      <c r="J140" s="366"/>
      <c r="K140" s="366"/>
      <c r="L140" s="366"/>
      <c r="M140" s="366"/>
      <c r="N140" s="366"/>
      <c r="O140" s="363"/>
      <c r="P140" s="364"/>
    </row>
    <row r="141" spans="1:16" ht="12.75" x14ac:dyDescent="0.2">
      <c r="A141" s="366"/>
      <c r="B141" s="366"/>
      <c r="C141" s="366"/>
      <c r="D141" s="366"/>
      <c r="E141" s="366"/>
      <c r="F141" s="366"/>
      <c r="G141" s="366"/>
      <c r="H141" s="366"/>
      <c r="I141" s="366"/>
      <c r="J141" s="366"/>
      <c r="K141" s="366"/>
      <c r="L141" s="366"/>
      <c r="M141" s="366"/>
      <c r="N141" s="366"/>
      <c r="O141" s="363"/>
      <c r="P141" s="364"/>
    </row>
    <row r="142" spans="1:16" ht="12.75" x14ac:dyDescent="0.2">
      <c r="A142" s="366"/>
      <c r="B142" s="366"/>
      <c r="C142" s="366"/>
      <c r="D142" s="366"/>
      <c r="E142" s="366"/>
      <c r="F142" s="366"/>
      <c r="G142" s="366"/>
      <c r="H142" s="366"/>
      <c r="I142" s="366"/>
      <c r="J142" s="366"/>
      <c r="K142" s="366"/>
      <c r="L142" s="366"/>
      <c r="M142" s="366"/>
      <c r="N142" s="366"/>
      <c r="O142" s="363"/>
      <c r="P142" s="364"/>
    </row>
    <row r="143" spans="1:16" ht="12.75" x14ac:dyDescent="0.2">
      <c r="A143" s="366"/>
      <c r="B143" s="366"/>
      <c r="C143" s="366"/>
      <c r="D143" s="366"/>
      <c r="E143" s="366"/>
      <c r="F143" s="366"/>
      <c r="G143" s="366"/>
      <c r="H143" s="366"/>
      <c r="I143" s="366"/>
      <c r="J143" s="366"/>
      <c r="K143" s="366"/>
      <c r="L143" s="366"/>
      <c r="M143" s="366"/>
      <c r="N143" s="366"/>
      <c r="O143" s="363"/>
      <c r="P143" s="364"/>
    </row>
    <row r="144" spans="1:16" ht="12.75" x14ac:dyDescent="0.2">
      <c r="A144" s="366"/>
      <c r="B144" s="366"/>
      <c r="C144" s="366"/>
      <c r="D144" s="366"/>
      <c r="E144" s="366"/>
      <c r="F144" s="366"/>
      <c r="G144" s="366"/>
      <c r="H144" s="366"/>
      <c r="I144" s="366"/>
      <c r="J144" s="366"/>
      <c r="K144" s="366"/>
      <c r="L144" s="366"/>
      <c r="M144" s="366"/>
      <c r="N144" s="366"/>
      <c r="O144" s="363"/>
      <c r="P144" s="364"/>
    </row>
    <row r="145" spans="1:16" ht="12.75" x14ac:dyDescent="0.2">
      <c r="A145" s="366"/>
      <c r="B145" s="366"/>
      <c r="C145" s="366"/>
      <c r="D145" s="366"/>
      <c r="E145" s="366"/>
      <c r="F145" s="366"/>
      <c r="G145" s="366"/>
      <c r="H145" s="366"/>
      <c r="I145" s="366"/>
      <c r="J145" s="366"/>
      <c r="K145" s="366"/>
      <c r="L145" s="366"/>
      <c r="M145" s="366"/>
      <c r="N145" s="366"/>
      <c r="O145" s="363"/>
      <c r="P145" s="364"/>
    </row>
    <row r="146" spans="1:16" ht="12.75" x14ac:dyDescent="0.2">
      <c r="A146" s="366"/>
      <c r="B146" s="366"/>
      <c r="C146" s="366"/>
      <c r="D146" s="366"/>
      <c r="E146" s="366"/>
      <c r="F146" s="366"/>
      <c r="G146" s="366"/>
      <c r="H146" s="366"/>
      <c r="I146" s="366"/>
      <c r="J146" s="366"/>
      <c r="K146" s="366"/>
      <c r="L146" s="366"/>
      <c r="M146" s="366"/>
      <c r="N146" s="366"/>
      <c r="O146" s="363"/>
      <c r="P146" s="364"/>
    </row>
    <row r="147" spans="1:16" ht="12.75" x14ac:dyDescent="0.2">
      <c r="A147" s="366"/>
      <c r="B147" s="366"/>
      <c r="C147" s="366"/>
      <c r="D147" s="366"/>
      <c r="E147" s="366"/>
      <c r="F147" s="366"/>
      <c r="G147" s="366"/>
      <c r="H147" s="366"/>
      <c r="I147" s="366"/>
      <c r="J147" s="366"/>
      <c r="K147" s="366"/>
      <c r="L147" s="366"/>
      <c r="M147" s="366"/>
      <c r="N147" s="366"/>
      <c r="O147" s="363"/>
      <c r="P147" s="364"/>
    </row>
    <row r="148" spans="1:16" ht="12.75" x14ac:dyDescent="0.2">
      <c r="A148" s="366"/>
      <c r="B148" s="366"/>
      <c r="C148" s="366"/>
      <c r="D148" s="366"/>
      <c r="E148" s="366"/>
      <c r="F148" s="366"/>
      <c r="G148" s="366"/>
      <c r="H148" s="366"/>
      <c r="I148" s="366"/>
      <c r="J148" s="366"/>
      <c r="K148" s="366"/>
      <c r="L148" s="366"/>
      <c r="M148" s="366"/>
      <c r="N148" s="366"/>
      <c r="O148" s="363"/>
      <c r="P148" s="364"/>
    </row>
    <row r="149" spans="1:16" ht="12.75" x14ac:dyDescent="0.2">
      <c r="A149" s="366"/>
      <c r="B149" s="366"/>
      <c r="C149" s="366"/>
      <c r="D149" s="366"/>
      <c r="E149" s="366"/>
      <c r="F149" s="366"/>
      <c r="G149" s="366"/>
      <c r="H149" s="366"/>
      <c r="I149" s="366"/>
      <c r="J149" s="366"/>
      <c r="K149" s="366"/>
      <c r="L149" s="366"/>
      <c r="M149" s="366"/>
      <c r="N149" s="366"/>
      <c r="O149" s="363"/>
      <c r="P149" s="364"/>
    </row>
    <row r="150" spans="1:16" ht="12.75" x14ac:dyDescent="0.2">
      <c r="A150" s="366"/>
      <c r="B150" s="366"/>
      <c r="C150" s="366"/>
      <c r="D150" s="366"/>
      <c r="E150" s="366"/>
      <c r="F150" s="366"/>
      <c r="G150" s="366"/>
      <c r="H150" s="366"/>
      <c r="I150" s="366"/>
      <c r="J150" s="366"/>
      <c r="K150" s="366"/>
      <c r="L150" s="366"/>
      <c r="M150" s="366"/>
      <c r="N150" s="366"/>
      <c r="O150" s="363"/>
      <c r="P150" s="364"/>
    </row>
    <row r="151" spans="1:16" ht="12.75" x14ac:dyDescent="0.2">
      <c r="A151" s="366"/>
      <c r="B151" s="366"/>
      <c r="C151" s="366"/>
      <c r="D151" s="366"/>
      <c r="E151" s="366"/>
      <c r="F151" s="366"/>
      <c r="G151" s="366"/>
      <c r="H151" s="366"/>
      <c r="I151" s="366"/>
      <c r="J151" s="366"/>
      <c r="K151" s="366"/>
      <c r="L151" s="366"/>
      <c r="M151" s="366"/>
      <c r="N151" s="366"/>
      <c r="O151" s="363"/>
      <c r="P151" s="364"/>
    </row>
    <row r="152" spans="1:16" ht="12.75" x14ac:dyDescent="0.2">
      <c r="A152" s="366"/>
      <c r="B152" s="366"/>
      <c r="C152" s="366"/>
      <c r="D152" s="366"/>
      <c r="E152" s="366"/>
      <c r="F152" s="366"/>
      <c r="G152" s="366"/>
      <c r="H152" s="366"/>
      <c r="I152" s="366"/>
      <c r="J152" s="366"/>
      <c r="K152" s="366"/>
      <c r="L152" s="366"/>
      <c r="M152" s="366"/>
      <c r="N152" s="366"/>
      <c r="O152" s="363"/>
      <c r="P152" s="364"/>
    </row>
    <row r="153" spans="1:16" ht="12.75" x14ac:dyDescent="0.2">
      <c r="A153" s="366"/>
      <c r="B153" s="366"/>
      <c r="C153" s="366"/>
      <c r="D153" s="366"/>
      <c r="E153" s="366"/>
      <c r="F153" s="366"/>
      <c r="G153" s="366"/>
      <c r="H153" s="366"/>
      <c r="I153" s="366"/>
      <c r="J153" s="366"/>
      <c r="K153" s="366"/>
      <c r="L153" s="366"/>
      <c r="M153" s="366"/>
      <c r="N153" s="366"/>
      <c r="O153" s="363"/>
      <c r="P153" s="364"/>
    </row>
    <row r="154" spans="1:16" ht="12.75" x14ac:dyDescent="0.2">
      <c r="A154" s="366"/>
      <c r="B154" s="366"/>
      <c r="C154" s="366"/>
      <c r="D154" s="366"/>
      <c r="E154" s="366"/>
      <c r="F154" s="366"/>
      <c r="G154" s="366"/>
      <c r="H154" s="366"/>
      <c r="I154" s="366"/>
      <c r="J154" s="366"/>
      <c r="K154" s="366"/>
      <c r="L154" s="366"/>
      <c r="M154" s="366"/>
      <c r="N154" s="366"/>
      <c r="O154" s="363"/>
      <c r="P154" s="364"/>
    </row>
    <row r="155" spans="1:16" ht="12.75" x14ac:dyDescent="0.2">
      <c r="A155" s="366"/>
      <c r="B155" s="366"/>
      <c r="C155" s="366"/>
      <c r="D155" s="366"/>
      <c r="E155" s="366"/>
      <c r="F155" s="366"/>
      <c r="G155" s="366"/>
      <c r="H155" s="366"/>
      <c r="I155" s="366"/>
      <c r="J155" s="366"/>
      <c r="K155" s="366"/>
      <c r="L155" s="366"/>
      <c r="M155" s="366"/>
      <c r="N155" s="366"/>
      <c r="O155" s="363"/>
      <c r="P155" s="364"/>
    </row>
    <row r="156" spans="1:16" ht="12.75" x14ac:dyDescent="0.2">
      <c r="A156" s="366"/>
      <c r="B156" s="366"/>
      <c r="C156" s="366"/>
      <c r="D156" s="366"/>
      <c r="E156" s="366"/>
      <c r="F156" s="366"/>
      <c r="G156" s="366"/>
      <c r="H156" s="366"/>
      <c r="I156" s="366"/>
      <c r="J156" s="366"/>
      <c r="K156" s="366"/>
      <c r="L156" s="366"/>
      <c r="M156" s="366"/>
      <c r="N156" s="366"/>
      <c r="O156" s="363"/>
      <c r="P156" s="364"/>
    </row>
    <row r="157" spans="1:16" ht="12.75" x14ac:dyDescent="0.2">
      <c r="A157" s="366"/>
      <c r="B157" s="366"/>
      <c r="C157" s="366"/>
      <c r="D157" s="366"/>
      <c r="E157" s="366"/>
      <c r="F157" s="366"/>
      <c r="G157" s="366"/>
      <c r="H157" s="366"/>
      <c r="I157" s="366"/>
      <c r="J157" s="366"/>
      <c r="K157" s="366"/>
      <c r="L157" s="366"/>
      <c r="M157" s="366"/>
      <c r="N157" s="366"/>
      <c r="O157" s="363"/>
      <c r="P157" s="364"/>
    </row>
    <row r="158" spans="1:16" ht="12.75" x14ac:dyDescent="0.2">
      <c r="A158" s="366"/>
      <c r="B158" s="366"/>
      <c r="C158" s="366"/>
      <c r="D158" s="366"/>
      <c r="E158" s="366"/>
      <c r="F158" s="366"/>
      <c r="G158" s="366"/>
      <c r="H158" s="366"/>
      <c r="I158" s="366"/>
      <c r="J158" s="366"/>
      <c r="K158" s="366"/>
      <c r="L158" s="366"/>
      <c r="M158" s="366"/>
      <c r="N158" s="366"/>
      <c r="O158" s="363"/>
      <c r="P158" s="364"/>
    </row>
    <row r="159" spans="1:16" ht="12.75" x14ac:dyDescent="0.2">
      <c r="A159" s="366"/>
      <c r="B159" s="366"/>
      <c r="C159" s="366"/>
      <c r="D159" s="366"/>
      <c r="E159" s="366"/>
      <c r="F159" s="366"/>
      <c r="G159" s="366"/>
      <c r="H159" s="366"/>
      <c r="I159" s="366"/>
      <c r="J159" s="366"/>
      <c r="K159" s="366"/>
      <c r="L159" s="366"/>
      <c r="M159" s="366"/>
      <c r="N159" s="366"/>
      <c r="O159" s="363"/>
      <c r="P159" s="364"/>
    </row>
    <row r="160" spans="1:16" ht="12.75" x14ac:dyDescent="0.2">
      <c r="A160" s="366"/>
      <c r="B160" s="366"/>
      <c r="C160" s="366"/>
      <c r="D160" s="366"/>
      <c r="E160" s="366"/>
      <c r="F160" s="366"/>
      <c r="G160" s="366"/>
      <c r="H160" s="366"/>
      <c r="I160" s="366"/>
      <c r="J160" s="366"/>
      <c r="K160" s="366"/>
      <c r="L160" s="366"/>
      <c r="M160" s="366"/>
      <c r="N160" s="366"/>
      <c r="O160" s="363"/>
      <c r="P160" s="364"/>
    </row>
    <row r="161" spans="1:16" ht="12.75" x14ac:dyDescent="0.2">
      <c r="A161" s="366"/>
      <c r="B161" s="366"/>
      <c r="C161" s="366"/>
      <c r="D161" s="366"/>
      <c r="E161" s="366"/>
      <c r="F161" s="366"/>
      <c r="G161" s="366"/>
      <c r="H161" s="366"/>
      <c r="I161" s="366"/>
      <c r="J161" s="366"/>
      <c r="K161" s="366"/>
      <c r="L161" s="366"/>
      <c r="M161" s="366"/>
      <c r="N161" s="366"/>
      <c r="O161" s="363"/>
      <c r="P161" s="364"/>
    </row>
    <row r="162" spans="1:16" ht="12.75" x14ac:dyDescent="0.2">
      <c r="A162" s="366"/>
      <c r="B162" s="366"/>
      <c r="C162" s="366"/>
      <c r="D162" s="366"/>
      <c r="E162" s="366"/>
      <c r="F162" s="366"/>
      <c r="G162" s="366"/>
      <c r="H162" s="366"/>
      <c r="I162" s="366"/>
      <c r="J162" s="366"/>
      <c r="K162" s="366"/>
      <c r="L162" s="366"/>
      <c r="M162" s="366"/>
      <c r="N162" s="366"/>
      <c r="O162" s="363"/>
      <c r="P162" s="364"/>
    </row>
    <row r="163" spans="1:16" ht="12.75" x14ac:dyDescent="0.2">
      <c r="A163" s="366"/>
      <c r="B163" s="366"/>
      <c r="C163" s="366"/>
      <c r="D163" s="366"/>
      <c r="E163" s="366"/>
      <c r="F163" s="366"/>
      <c r="G163" s="366"/>
      <c r="H163" s="366"/>
      <c r="I163" s="366"/>
      <c r="J163" s="366"/>
      <c r="K163" s="366"/>
      <c r="L163" s="366"/>
      <c r="M163" s="366"/>
      <c r="N163" s="366"/>
      <c r="O163" s="363"/>
      <c r="P163" s="364"/>
    </row>
    <row r="164" spans="1:16" ht="12.75" x14ac:dyDescent="0.2">
      <c r="A164" s="366"/>
      <c r="B164" s="366"/>
      <c r="C164" s="366"/>
      <c r="D164" s="366"/>
      <c r="E164" s="366"/>
      <c r="F164" s="366"/>
      <c r="G164" s="366"/>
      <c r="H164" s="366"/>
      <c r="I164" s="366"/>
      <c r="J164" s="366"/>
      <c r="K164" s="366"/>
      <c r="L164" s="366"/>
      <c r="M164" s="366"/>
      <c r="N164" s="366"/>
      <c r="O164" s="363"/>
      <c r="P164" s="364"/>
    </row>
    <row r="165" spans="1:16" ht="12.75" x14ac:dyDescent="0.2">
      <c r="A165" s="366"/>
      <c r="B165" s="366"/>
      <c r="C165" s="366"/>
      <c r="D165" s="366"/>
      <c r="E165" s="366"/>
      <c r="F165" s="366"/>
      <c r="G165" s="366"/>
      <c r="H165" s="366"/>
      <c r="I165" s="366"/>
      <c r="J165" s="366"/>
      <c r="K165" s="366"/>
      <c r="L165" s="366"/>
      <c r="M165" s="366"/>
      <c r="N165" s="366"/>
      <c r="O165" s="363"/>
      <c r="P165" s="364"/>
    </row>
    <row r="166" spans="1:16" ht="12.75" x14ac:dyDescent="0.2">
      <c r="A166" s="366"/>
      <c r="B166" s="366"/>
      <c r="C166" s="366"/>
      <c r="D166" s="366"/>
      <c r="E166" s="366"/>
      <c r="F166" s="366"/>
      <c r="G166" s="366"/>
      <c r="H166" s="366"/>
      <c r="I166" s="366"/>
      <c r="J166" s="366"/>
      <c r="K166" s="366"/>
      <c r="L166" s="366"/>
      <c r="M166" s="366"/>
      <c r="N166" s="366"/>
      <c r="O166" s="363"/>
      <c r="P166" s="364"/>
    </row>
    <row r="167" spans="1:16" ht="12.75" x14ac:dyDescent="0.2">
      <c r="A167" s="366"/>
      <c r="B167" s="366"/>
      <c r="C167" s="366"/>
      <c r="D167" s="366"/>
      <c r="E167" s="366"/>
      <c r="F167" s="366"/>
      <c r="G167" s="366"/>
      <c r="H167" s="366"/>
      <c r="I167" s="366"/>
      <c r="J167" s="366"/>
      <c r="K167" s="366"/>
      <c r="L167" s="366"/>
      <c r="M167" s="366"/>
      <c r="N167" s="366"/>
      <c r="O167" s="363"/>
      <c r="P167" s="364"/>
    </row>
    <row r="168" spans="1:16" ht="12.75" x14ac:dyDescent="0.2">
      <c r="A168" s="366"/>
      <c r="B168" s="366"/>
      <c r="C168" s="366"/>
      <c r="D168" s="366"/>
      <c r="E168" s="366"/>
      <c r="F168" s="366"/>
      <c r="G168" s="366"/>
      <c r="H168" s="366"/>
      <c r="I168" s="366"/>
      <c r="J168" s="366"/>
      <c r="K168" s="366"/>
      <c r="L168" s="366"/>
      <c r="M168" s="366"/>
      <c r="N168" s="366"/>
      <c r="O168" s="363"/>
      <c r="P168" s="364"/>
    </row>
    <row r="169" spans="1:16" ht="12.75" x14ac:dyDescent="0.2">
      <c r="A169" s="366"/>
      <c r="B169" s="366"/>
      <c r="C169" s="366"/>
      <c r="D169" s="366"/>
      <c r="E169" s="366"/>
      <c r="F169" s="366"/>
      <c r="G169" s="366"/>
      <c r="H169" s="366"/>
      <c r="I169" s="366"/>
      <c r="J169" s="366"/>
      <c r="K169" s="366"/>
      <c r="L169" s="366"/>
      <c r="M169" s="366"/>
      <c r="N169" s="366"/>
      <c r="O169" s="363"/>
      <c r="P169" s="364"/>
    </row>
    <row r="170" spans="1:16" ht="12.75" x14ac:dyDescent="0.2">
      <c r="A170" s="366"/>
      <c r="B170" s="366"/>
      <c r="C170" s="366"/>
      <c r="D170" s="366"/>
      <c r="E170" s="366"/>
      <c r="F170" s="366"/>
      <c r="G170" s="366"/>
      <c r="H170" s="366"/>
      <c r="I170" s="366"/>
      <c r="J170" s="366"/>
      <c r="K170" s="366"/>
      <c r="L170" s="366"/>
      <c r="M170" s="366"/>
      <c r="N170" s="366"/>
      <c r="O170" s="363"/>
      <c r="P170" s="364"/>
    </row>
    <row r="171" spans="1:16" ht="12.75" x14ac:dyDescent="0.2">
      <c r="A171" s="366"/>
      <c r="B171" s="366"/>
      <c r="C171" s="366"/>
      <c r="D171" s="366"/>
      <c r="E171" s="366"/>
      <c r="F171" s="366"/>
      <c r="G171" s="366"/>
      <c r="H171" s="366"/>
      <c r="I171" s="366"/>
      <c r="J171" s="366"/>
      <c r="K171" s="366"/>
      <c r="L171" s="366"/>
      <c r="M171" s="366"/>
      <c r="N171" s="366"/>
      <c r="O171" s="363"/>
      <c r="P171" s="364"/>
    </row>
    <row r="172" spans="1:16" ht="12.75" x14ac:dyDescent="0.2">
      <c r="A172" s="366"/>
      <c r="B172" s="366"/>
      <c r="C172" s="366"/>
      <c r="D172" s="366"/>
      <c r="E172" s="366"/>
      <c r="F172" s="366"/>
      <c r="G172" s="366"/>
      <c r="H172" s="366"/>
      <c r="I172" s="366"/>
      <c r="J172" s="366"/>
      <c r="K172" s="366"/>
      <c r="L172" s="366"/>
      <c r="M172" s="366"/>
      <c r="N172" s="366"/>
      <c r="O172" s="363"/>
      <c r="P172" s="364"/>
    </row>
    <row r="173" spans="1:16" ht="12.75" x14ac:dyDescent="0.2">
      <c r="A173" s="366"/>
      <c r="B173" s="366"/>
      <c r="C173" s="366"/>
      <c r="D173" s="366"/>
      <c r="E173" s="366"/>
      <c r="F173" s="366"/>
      <c r="G173" s="366"/>
      <c r="H173" s="366"/>
      <c r="I173" s="366"/>
      <c r="J173" s="366"/>
      <c r="K173" s="366"/>
      <c r="L173" s="366"/>
      <c r="M173" s="366"/>
      <c r="N173" s="366"/>
      <c r="O173" s="363"/>
      <c r="P173" s="364"/>
    </row>
    <row r="174" spans="1:16" ht="12.75" x14ac:dyDescent="0.2">
      <c r="A174" s="366"/>
      <c r="B174" s="366"/>
      <c r="C174" s="366"/>
      <c r="D174" s="366"/>
      <c r="E174" s="366"/>
      <c r="F174" s="366"/>
      <c r="G174" s="366"/>
      <c r="H174" s="366"/>
      <c r="I174" s="366"/>
      <c r="J174" s="366"/>
      <c r="K174" s="366"/>
      <c r="L174" s="366"/>
      <c r="M174" s="366"/>
      <c r="N174" s="366"/>
      <c r="O174" s="363"/>
      <c r="P174" s="364"/>
    </row>
    <row r="175" spans="1:16" ht="12.75" x14ac:dyDescent="0.2">
      <c r="A175" s="366"/>
      <c r="B175" s="366"/>
      <c r="C175" s="366"/>
      <c r="D175" s="366"/>
      <c r="E175" s="366"/>
      <c r="F175" s="366"/>
      <c r="G175" s="366"/>
      <c r="H175" s="366"/>
      <c r="I175" s="366"/>
      <c r="J175" s="366"/>
      <c r="K175" s="366"/>
      <c r="L175" s="366"/>
      <c r="M175" s="366"/>
      <c r="N175" s="366"/>
      <c r="O175" s="363"/>
      <c r="P175" s="364"/>
    </row>
    <row r="176" spans="1:16" ht="12.75" x14ac:dyDescent="0.2">
      <c r="A176" s="366"/>
      <c r="B176" s="366"/>
      <c r="C176" s="366"/>
      <c r="D176" s="366"/>
      <c r="E176" s="366"/>
      <c r="F176" s="366"/>
      <c r="G176" s="366"/>
      <c r="H176" s="366"/>
      <c r="I176" s="366"/>
      <c r="J176" s="366"/>
      <c r="K176" s="366"/>
      <c r="L176" s="366"/>
      <c r="M176" s="366"/>
      <c r="N176" s="366"/>
      <c r="O176" s="363"/>
      <c r="P176" s="364"/>
    </row>
    <row r="177" spans="1:16" ht="12.75" x14ac:dyDescent="0.2">
      <c r="A177" s="366"/>
      <c r="B177" s="366"/>
      <c r="C177" s="366"/>
      <c r="D177" s="366"/>
      <c r="E177" s="366"/>
      <c r="F177" s="366"/>
      <c r="G177" s="366"/>
      <c r="H177" s="366"/>
      <c r="I177" s="366"/>
      <c r="J177" s="366"/>
      <c r="K177" s="366"/>
      <c r="L177" s="366"/>
      <c r="M177" s="366"/>
      <c r="N177" s="366"/>
      <c r="O177" s="363"/>
      <c r="P177" s="364"/>
    </row>
    <row r="178" spans="1:16" ht="12.75" x14ac:dyDescent="0.2">
      <c r="A178" s="366"/>
      <c r="B178" s="366"/>
      <c r="C178" s="366"/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3"/>
      <c r="P178" s="364"/>
    </row>
    <row r="179" spans="1:16" ht="12.75" x14ac:dyDescent="0.2">
      <c r="A179" s="366"/>
      <c r="B179" s="366"/>
      <c r="C179" s="366"/>
      <c r="D179" s="366"/>
      <c r="E179" s="366"/>
      <c r="F179" s="366"/>
      <c r="G179" s="366"/>
      <c r="H179" s="366"/>
      <c r="I179" s="366"/>
      <c r="J179" s="366"/>
      <c r="K179" s="366"/>
      <c r="L179" s="366"/>
      <c r="M179" s="366"/>
      <c r="N179" s="366"/>
      <c r="O179" s="363"/>
      <c r="P179" s="364"/>
    </row>
    <row r="180" spans="1:16" ht="12.75" x14ac:dyDescent="0.2">
      <c r="A180" s="366"/>
      <c r="B180" s="366"/>
      <c r="C180" s="366"/>
      <c r="D180" s="366"/>
      <c r="E180" s="366"/>
      <c r="F180" s="366"/>
      <c r="G180" s="366"/>
      <c r="H180" s="366"/>
      <c r="I180" s="366"/>
      <c r="J180" s="366"/>
      <c r="K180" s="366"/>
      <c r="L180" s="366"/>
      <c r="M180" s="366"/>
      <c r="N180" s="366"/>
      <c r="O180" s="363"/>
      <c r="P180" s="364"/>
    </row>
    <row r="181" spans="1:16" ht="12.75" x14ac:dyDescent="0.2">
      <c r="A181" s="366"/>
      <c r="B181" s="366"/>
      <c r="C181" s="366"/>
      <c r="D181" s="366"/>
      <c r="E181" s="366"/>
      <c r="F181" s="366"/>
      <c r="G181" s="366"/>
      <c r="H181" s="366"/>
      <c r="I181" s="366"/>
      <c r="J181" s="366"/>
      <c r="K181" s="366"/>
      <c r="L181" s="366"/>
      <c r="M181" s="366"/>
      <c r="N181" s="366"/>
      <c r="O181" s="363"/>
      <c r="P181" s="364"/>
    </row>
    <row r="182" spans="1:16" ht="12.75" x14ac:dyDescent="0.2">
      <c r="A182" s="366"/>
      <c r="B182" s="366"/>
      <c r="C182" s="366"/>
      <c r="D182" s="366"/>
      <c r="E182" s="366"/>
      <c r="F182" s="366"/>
      <c r="G182" s="366"/>
      <c r="H182" s="366"/>
      <c r="I182" s="366"/>
      <c r="J182" s="366"/>
      <c r="K182" s="366"/>
      <c r="L182" s="366"/>
      <c r="M182" s="366"/>
      <c r="N182" s="366"/>
      <c r="O182" s="363"/>
      <c r="P182" s="364"/>
    </row>
    <row r="183" spans="1:16" ht="12.75" x14ac:dyDescent="0.2">
      <c r="A183" s="366"/>
      <c r="B183" s="366"/>
      <c r="C183" s="366"/>
      <c r="D183" s="366"/>
      <c r="E183" s="366"/>
      <c r="F183" s="366"/>
      <c r="G183" s="366"/>
      <c r="H183" s="366"/>
      <c r="I183" s="366"/>
      <c r="J183" s="366"/>
      <c r="K183" s="366"/>
      <c r="L183" s="366"/>
      <c r="M183" s="366"/>
      <c r="N183" s="366"/>
      <c r="O183" s="363"/>
      <c r="P183" s="364"/>
    </row>
    <row r="184" spans="1:16" ht="12.75" x14ac:dyDescent="0.2">
      <c r="A184" s="366"/>
      <c r="B184" s="366"/>
      <c r="C184" s="366"/>
      <c r="D184" s="366"/>
      <c r="E184" s="366"/>
      <c r="F184" s="366"/>
      <c r="G184" s="366"/>
      <c r="H184" s="366"/>
      <c r="I184" s="366"/>
      <c r="J184" s="366"/>
      <c r="K184" s="366"/>
      <c r="L184" s="366"/>
      <c r="M184" s="366"/>
      <c r="N184" s="366"/>
      <c r="O184" s="363"/>
      <c r="P184" s="364"/>
    </row>
    <row r="185" spans="1:16" ht="12.75" x14ac:dyDescent="0.2">
      <c r="A185" s="366"/>
      <c r="B185" s="366"/>
      <c r="C185" s="366"/>
      <c r="D185" s="366"/>
      <c r="E185" s="366"/>
      <c r="F185" s="366"/>
      <c r="G185" s="366"/>
      <c r="H185" s="366"/>
      <c r="I185" s="366"/>
      <c r="J185" s="366"/>
      <c r="K185" s="366"/>
      <c r="L185" s="366"/>
      <c r="M185" s="366"/>
      <c r="N185" s="366"/>
      <c r="O185" s="363"/>
      <c r="P185" s="364"/>
    </row>
    <row r="186" spans="1:16" ht="12.75" x14ac:dyDescent="0.2">
      <c r="A186" s="366"/>
      <c r="B186" s="366"/>
      <c r="C186" s="366"/>
      <c r="D186" s="366"/>
      <c r="E186" s="366"/>
      <c r="F186" s="366"/>
      <c r="G186" s="366"/>
      <c r="H186" s="366"/>
      <c r="I186" s="366"/>
      <c r="J186" s="366"/>
      <c r="K186" s="366"/>
      <c r="L186" s="366"/>
      <c r="M186" s="366"/>
      <c r="N186" s="366"/>
      <c r="O186" s="363"/>
      <c r="P186" s="364"/>
    </row>
    <row r="187" spans="1:16" ht="12.75" x14ac:dyDescent="0.2">
      <c r="A187" s="366"/>
      <c r="B187" s="366"/>
      <c r="C187" s="366"/>
      <c r="D187" s="366"/>
      <c r="E187" s="366"/>
      <c r="F187" s="366"/>
      <c r="G187" s="366"/>
      <c r="H187" s="366"/>
      <c r="I187" s="366"/>
      <c r="J187" s="366"/>
      <c r="K187" s="366"/>
      <c r="L187" s="366"/>
      <c r="M187" s="366"/>
      <c r="N187" s="366"/>
      <c r="O187" s="363"/>
      <c r="P187" s="364"/>
    </row>
    <row r="188" spans="1:16" ht="12.75" x14ac:dyDescent="0.2">
      <c r="A188" s="366"/>
      <c r="B188" s="366"/>
      <c r="C188" s="366"/>
      <c r="D188" s="366"/>
      <c r="E188" s="366"/>
      <c r="F188" s="366"/>
      <c r="G188" s="366"/>
      <c r="H188" s="366"/>
      <c r="I188" s="366"/>
      <c r="J188" s="366"/>
      <c r="K188" s="366"/>
      <c r="L188" s="366"/>
      <c r="M188" s="366"/>
      <c r="N188" s="366"/>
      <c r="O188" s="363"/>
      <c r="P188" s="364"/>
    </row>
    <row r="189" spans="1:16" ht="12.75" x14ac:dyDescent="0.2">
      <c r="A189" s="366"/>
      <c r="B189" s="366"/>
      <c r="C189" s="366"/>
      <c r="D189" s="366"/>
      <c r="E189" s="366"/>
      <c r="F189" s="366"/>
      <c r="G189" s="366"/>
      <c r="H189" s="366"/>
      <c r="I189" s="366"/>
      <c r="J189" s="366"/>
      <c r="K189" s="366"/>
      <c r="L189" s="366"/>
      <c r="M189" s="366"/>
      <c r="N189" s="366"/>
      <c r="O189" s="363"/>
      <c r="P189" s="364"/>
    </row>
    <row r="190" spans="1:16" ht="12.75" x14ac:dyDescent="0.2">
      <c r="A190" s="366"/>
      <c r="B190" s="366"/>
      <c r="C190" s="366"/>
      <c r="D190" s="366"/>
      <c r="E190" s="366"/>
      <c r="F190" s="366"/>
      <c r="G190" s="366"/>
      <c r="H190" s="366"/>
      <c r="I190" s="366"/>
      <c r="J190" s="366"/>
      <c r="K190" s="366"/>
      <c r="L190" s="366"/>
      <c r="M190" s="366"/>
      <c r="N190" s="366"/>
      <c r="O190" s="363"/>
      <c r="P190" s="364"/>
    </row>
    <row r="191" spans="1:16" ht="12.75" x14ac:dyDescent="0.2">
      <c r="A191" s="366"/>
      <c r="B191" s="366"/>
      <c r="C191" s="366"/>
      <c r="D191" s="366"/>
      <c r="E191" s="366"/>
      <c r="F191" s="366"/>
      <c r="G191" s="366"/>
      <c r="H191" s="366"/>
      <c r="I191" s="366"/>
      <c r="J191" s="366"/>
      <c r="K191" s="366"/>
      <c r="L191" s="366"/>
      <c r="M191" s="366"/>
      <c r="N191" s="366"/>
      <c r="O191" s="363"/>
      <c r="P191" s="364"/>
    </row>
    <row r="192" spans="1:16" ht="12.75" x14ac:dyDescent="0.2">
      <c r="A192" s="366"/>
      <c r="B192" s="366"/>
      <c r="C192" s="366"/>
      <c r="D192" s="366"/>
      <c r="E192" s="366"/>
      <c r="F192" s="366"/>
      <c r="G192" s="366"/>
      <c r="H192" s="366"/>
      <c r="I192" s="366"/>
      <c r="J192" s="366"/>
      <c r="K192" s="366"/>
      <c r="L192" s="366"/>
      <c r="M192" s="366"/>
      <c r="N192" s="366"/>
      <c r="O192" s="363"/>
      <c r="P192" s="364"/>
    </row>
    <row r="193" spans="1:16" ht="12.75" x14ac:dyDescent="0.2">
      <c r="A193" s="366"/>
      <c r="B193" s="366"/>
      <c r="C193" s="366"/>
      <c r="D193" s="366"/>
      <c r="E193" s="366"/>
      <c r="F193" s="366"/>
      <c r="G193" s="366"/>
      <c r="H193" s="366"/>
      <c r="I193" s="366"/>
      <c r="J193" s="366"/>
      <c r="K193" s="366"/>
      <c r="L193" s="366"/>
      <c r="M193" s="366"/>
      <c r="N193" s="366"/>
      <c r="O193" s="363"/>
      <c r="P193" s="364"/>
    </row>
    <row r="194" spans="1:16" ht="12.75" x14ac:dyDescent="0.2">
      <c r="A194" s="366"/>
      <c r="B194" s="366"/>
      <c r="C194" s="366"/>
      <c r="D194" s="366"/>
      <c r="E194" s="366"/>
      <c r="F194" s="366"/>
      <c r="G194" s="366"/>
      <c r="H194" s="366"/>
      <c r="I194" s="366"/>
      <c r="J194" s="366"/>
      <c r="K194" s="366"/>
      <c r="L194" s="366"/>
      <c r="M194" s="366"/>
      <c r="N194" s="366"/>
      <c r="O194" s="363"/>
      <c r="P194" s="364"/>
    </row>
    <row r="195" spans="1:16" ht="12.75" x14ac:dyDescent="0.2">
      <c r="A195" s="366"/>
      <c r="B195" s="366"/>
      <c r="C195" s="366"/>
      <c r="D195" s="366"/>
      <c r="E195" s="366"/>
      <c r="F195" s="366"/>
      <c r="G195" s="366"/>
      <c r="H195" s="366"/>
      <c r="I195" s="366"/>
      <c r="J195" s="366"/>
      <c r="K195" s="366"/>
      <c r="L195" s="366"/>
      <c r="M195" s="366"/>
      <c r="N195" s="366"/>
      <c r="O195" s="363"/>
      <c r="P195" s="364"/>
    </row>
    <row r="196" spans="1:16" ht="12.75" x14ac:dyDescent="0.2">
      <c r="A196" s="366"/>
      <c r="B196" s="366"/>
      <c r="C196" s="366"/>
      <c r="D196" s="366"/>
      <c r="E196" s="366"/>
      <c r="F196" s="366"/>
      <c r="G196" s="366"/>
      <c r="H196" s="366"/>
      <c r="I196" s="366"/>
      <c r="J196" s="366"/>
      <c r="K196" s="366"/>
      <c r="L196" s="366"/>
      <c r="M196" s="366"/>
      <c r="N196" s="366"/>
      <c r="O196" s="363"/>
      <c r="P196" s="364"/>
    </row>
    <row r="197" spans="1:16" ht="12.75" x14ac:dyDescent="0.2">
      <c r="A197" s="366"/>
      <c r="B197" s="366"/>
      <c r="C197" s="366"/>
      <c r="D197" s="366"/>
      <c r="E197" s="366"/>
      <c r="F197" s="366"/>
      <c r="G197" s="366"/>
      <c r="H197" s="366"/>
      <c r="I197" s="366"/>
      <c r="J197" s="366"/>
      <c r="K197" s="366"/>
      <c r="L197" s="366"/>
      <c r="M197" s="366"/>
      <c r="N197" s="366"/>
      <c r="O197" s="363"/>
      <c r="P197" s="364"/>
    </row>
    <row r="198" spans="1:16" ht="12.75" x14ac:dyDescent="0.2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</row>
    <row r="199" spans="1:16" ht="12.75" x14ac:dyDescent="0.2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</row>
  </sheetData>
  <mergeCells count="10">
    <mergeCell ref="A46:N46"/>
    <mergeCell ref="A47:N47"/>
    <mergeCell ref="F51:N51"/>
    <mergeCell ref="A1:N1"/>
    <mergeCell ref="A2:N2"/>
    <mergeCell ref="A45:N45"/>
    <mergeCell ref="A44:N44"/>
    <mergeCell ref="A3:N3"/>
    <mergeCell ref="A4:N4"/>
    <mergeCell ref="F8:N8"/>
  </mergeCells>
  <phoneticPr fontId="3" type="noConversion"/>
  <printOptions horizontalCentered="1"/>
  <pageMargins left="0.25" right="0.25" top="1" bottom="0.25" header="0.5" footer="0.5"/>
  <pageSetup scale="76" orientation="landscape" r:id="rId1"/>
  <headerFooter alignWithMargins="0"/>
  <rowBreaks count="1" manualBreakCount="1">
    <brk id="43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C98" transitionEvaluation="1"/>
  <dimension ref="A1:S204"/>
  <sheetViews>
    <sheetView topLeftCell="C98" zoomScaleNormal="100" zoomScaleSheetLayoutView="85" workbookViewId="0">
      <selection activeCell="E25" sqref="E25"/>
    </sheetView>
  </sheetViews>
  <sheetFormatPr defaultColWidth="11.33203125" defaultRowHeight="12.75" x14ac:dyDescent="0.2"/>
  <cols>
    <col min="1" max="1" width="11.33203125" style="819"/>
    <col min="2" max="2" width="23" style="819" customWidth="1"/>
    <col min="3" max="3" width="3" style="819" customWidth="1"/>
    <col min="4" max="4" width="14.83203125" style="819" customWidth="1"/>
    <col min="5" max="5" width="11.1640625" style="819" customWidth="1"/>
    <col min="6" max="6" width="16" style="819" customWidth="1"/>
    <col min="7" max="7" width="10.1640625" style="819" customWidth="1"/>
    <col min="8" max="8" width="14.83203125" style="819" customWidth="1"/>
    <col min="9" max="9" width="15.1640625" style="819" customWidth="1"/>
    <col min="10" max="10" width="11.33203125" style="819"/>
    <col min="11" max="11" width="14.5" style="819" customWidth="1"/>
    <col min="12" max="16384" width="11.33203125" style="819"/>
  </cols>
  <sheetData>
    <row r="1" spans="1:19" x14ac:dyDescent="0.2">
      <c r="A1" s="827"/>
      <c r="B1" s="828"/>
      <c r="C1" s="827"/>
      <c r="D1" s="827"/>
      <c r="E1" s="829" t="s">
        <v>477</v>
      </c>
      <c r="F1" s="827"/>
      <c r="G1" s="827"/>
      <c r="H1" s="827"/>
      <c r="I1" s="827"/>
    </row>
    <row r="2" spans="1:19" x14ac:dyDescent="0.2">
      <c r="A2" s="827"/>
      <c r="B2" s="828"/>
      <c r="C2" s="827"/>
      <c r="D2" s="827"/>
      <c r="E2" s="829" t="str">
        <f>+Input!C4</f>
        <v>CASE NO. 2017-xxxxx</v>
      </c>
      <c r="F2" s="827"/>
      <c r="G2" s="827"/>
      <c r="H2" s="827"/>
      <c r="I2" s="879" t="s">
        <v>1017</v>
      </c>
    </row>
    <row r="3" spans="1:19" x14ac:dyDescent="0.2">
      <c r="A3" s="827"/>
      <c r="B3" s="827"/>
      <c r="C3" s="827"/>
      <c r="D3" s="827"/>
      <c r="E3" s="829" t="s">
        <v>1018</v>
      </c>
      <c r="F3" s="827"/>
      <c r="G3" s="827"/>
      <c r="H3" s="827"/>
      <c r="I3" s="879" t="s">
        <v>1535</v>
      </c>
    </row>
    <row r="4" spans="1:19" x14ac:dyDescent="0.2">
      <c r="A4" s="830"/>
      <c r="B4" s="830"/>
      <c r="C4" s="830"/>
      <c r="D4" s="830"/>
      <c r="E4" s="1301" t="s">
        <v>1801</v>
      </c>
      <c r="F4" s="830"/>
      <c r="G4" s="830"/>
      <c r="H4" s="830"/>
      <c r="I4" s="880" t="s">
        <v>1020</v>
      </c>
      <c r="J4" s="820"/>
      <c r="L4" s="820"/>
      <c r="M4" s="820"/>
      <c r="N4" s="820"/>
      <c r="O4" s="820"/>
      <c r="P4" s="820"/>
      <c r="Q4" s="820"/>
      <c r="R4" s="820"/>
      <c r="S4" s="820"/>
    </row>
    <row r="5" spans="1:19" x14ac:dyDescent="0.2">
      <c r="A5" s="832"/>
      <c r="B5" s="832"/>
      <c r="C5" s="832"/>
      <c r="D5" s="832"/>
      <c r="E5" s="833" t="s">
        <v>1021</v>
      </c>
      <c r="F5" s="832"/>
      <c r="G5" s="832"/>
      <c r="H5" s="832"/>
      <c r="I5" s="834"/>
      <c r="J5" s="820"/>
      <c r="L5" s="820"/>
      <c r="M5" s="820"/>
      <c r="N5" s="820"/>
      <c r="O5" s="820"/>
      <c r="P5" s="820"/>
      <c r="Q5" s="820"/>
      <c r="R5" s="820"/>
      <c r="S5" s="820"/>
    </row>
    <row r="6" spans="1:19" x14ac:dyDescent="0.2">
      <c r="A6" s="832"/>
      <c r="B6" s="832"/>
      <c r="C6" s="832"/>
      <c r="D6" s="832"/>
      <c r="E6" s="833" t="s">
        <v>1022</v>
      </c>
      <c r="F6" s="832"/>
      <c r="G6" s="832"/>
      <c r="H6" s="832"/>
      <c r="I6" s="834"/>
      <c r="J6" s="820"/>
      <c r="L6" s="820"/>
      <c r="M6" s="820"/>
      <c r="N6" s="820"/>
      <c r="O6" s="820"/>
      <c r="P6" s="820"/>
      <c r="Q6" s="820"/>
      <c r="R6" s="820"/>
      <c r="S6" s="820"/>
    </row>
    <row r="7" spans="1:19" x14ac:dyDescent="0.2">
      <c r="A7" s="827"/>
      <c r="B7" s="835"/>
      <c r="C7" s="836"/>
      <c r="D7" s="837"/>
      <c r="E7" s="838" t="s">
        <v>1023</v>
      </c>
      <c r="F7" s="837"/>
      <c r="G7" s="836"/>
      <c r="H7" s="835"/>
      <c r="I7" s="835"/>
    </row>
    <row r="8" spans="1:19" x14ac:dyDescent="0.2">
      <c r="A8" s="830"/>
      <c r="B8" s="839"/>
      <c r="C8" s="840"/>
      <c r="D8" s="841"/>
      <c r="E8" s="842" t="s">
        <v>1024</v>
      </c>
      <c r="F8" s="841"/>
      <c r="G8" s="840"/>
      <c r="H8" s="839"/>
      <c r="I8" s="839"/>
    </row>
    <row r="9" spans="1:19" x14ac:dyDescent="0.2">
      <c r="A9" s="827"/>
      <c r="B9" s="835"/>
      <c r="C9" s="835"/>
      <c r="D9" s="843" t="s">
        <v>1025</v>
      </c>
      <c r="E9" s="843"/>
      <c r="F9" s="835"/>
      <c r="G9" s="835"/>
      <c r="H9" s="843" t="s">
        <v>1026</v>
      </c>
      <c r="I9" s="843" t="s">
        <v>1027</v>
      </c>
    </row>
    <row r="10" spans="1:19" x14ac:dyDescent="0.2">
      <c r="A10" s="827"/>
      <c r="B10" s="835"/>
      <c r="C10" s="835"/>
      <c r="D10" s="844" t="s">
        <v>1028</v>
      </c>
      <c r="E10" s="844"/>
      <c r="F10" s="844" t="s">
        <v>1029</v>
      </c>
      <c r="G10" s="844"/>
      <c r="H10" s="844" t="s">
        <v>1028</v>
      </c>
      <c r="I10" s="844" t="s">
        <v>1030</v>
      </c>
    </row>
    <row r="11" spans="1:19" x14ac:dyDescent="0.2">
      <c r="A11" s="827"/>
      <c r="B11" s="835"/>
      <c r="C11" s="835"/>
      <c r="D11" s="843" t="s">
        <v>500</v>
      </c>
      <c r="E11" s="844"/>
      <c r="F11" s="843" t="s">
        <v>500</v>
      </c>
      <c r="G11" s="844"/>
      <c r="H11" s="843" t="s">
        <v>500</v>
      </c>
      <c r="I11" s="843" t="s">
        <v>500</v>
      </c>
    </row>
    <row r="12" spans="1:19" ht="6" customHeight="1" x14ac:dyDescent="0.2">
      <c r="A12" s="827"/>
      <c r="B12" s="835"/>
      <c r="C12" s="835"/>
      <c r="D12" s="843"/>
      <c r="E12" s="844"/>
      <c r="F12" s="843"/>
      <c r="G12" s="844"/>
      <c r="H12" s="843"/>
      <c r="I12" s="843"/>
    </row>
    <row r="13" spans="1:19" x14ac:dyDescent="0.2">
      <c r="A13" s="827"/>
      <c r="B13" s="845" t="s">
        <v>1798</v>
      </c>
      <c r="C13" s="827"/>
      <c r="D13" s="846">
        <v>0</v>
      </c>
      <c r="E13" s="847"/>
      <c r="F13" s="848">
        <f t="shared" ref="F13:F25" si="0">H13-D13</f>
        <v>0</v>
      </c>
      <c r="G13" s="847"/>
      <c r="H13" s="944">
        <v>0</v>
      </c>
      <c r="I13" s="827"/>
    </row>
    <row r="14" spans="1:19" x14ac:dyDescent="0.2">
      <c r="A14" s="827"/>
      <c r="B14" s="845" t="s">
        <v>1799</v>
      </c>
      <c r="C14" s="827"/>
      <c r="D14" s="848">
        <f t="shared" ref="D14:D24" si="1">H13</f>
        <v>0</v>
      </c>
      <c r="E14" s="847"/>
      <c r="F14" s="848">
        <f t="shared" si="0"/>
        <v>0</v>
      </c>
      <c r="G14" s="847"/>
      <c r="H14" s="944">
        <v>0</v>
      </c>
      <c r="I14" s="827"/>
    </row>
    <row r="15" spans="1:19" ht="12" customHeight="1" x14ac:dyDescent="0.2">
      <c r="A15" s="827"/>
      <c r="B15" s="845" t="s">
        <v>1033</v>
      </c>
      <c r="C15" s="827"/>
      <c r="D15" s="848">
        <f t="shared" si="1"/>
        <v>0</v>
      </c>
      <c r="E15" s="847"/>
      <c r="F15" s="848">
        <f t="shared" si="0"/>
        <v>0</v>
      </c>
      <c r="G15" s="847"/>
      <c r="H15" s="944">
        <v>0</v>
      </c>
      <c r="I15" s="827"/>
    </row>
    <row r="16" spans="1:19" x14ac:dyDescent="0.2">
      <c r="A16" s="827"/>
      <c r="B16" s="845" t="s">
        <v>1034</v>
      </c>
      <c r="C16" s="847"/>
      <c r="D16" s="848">
        <f t="shared" si="1"/>
        <v>0</v>
      </c>
      <c r="E16" s="847"/>
      <c r="F16" s="848">
        <f t="shared" si="0"/>
        <v>0</v>
      </c>
      <c r="G16" s="847"/>
      <c r="H16" s="944">
        <v>0</v>
      </c>
      <c r="I16" s="827"/>
    </row>
    <row r="17" spans="1:9" x14ac:dyDescent="0.2">
      <c r="A17" s="827"/>
      <c r="B17" s="845" t="s">
        <v>1035</v>
      </c>
      <c r="C17" s="847"/>
      <c r="D17" s="848">
        <f t="shared" si="1"/>
        <v>0</v>
      </c>
      <c r="E17" s="847"/>
      <c r="F17" s="848">
        <f t="shared" si="0"/>
        <v>0</v>
      </c>
      <c r="G17" s="847"/>
      <c r="H17" s="944">
        <v>0</v>
      </c>
      <c r="I17" s="847"/>
    </row>
    <row r="18" spans="1:9" x14ac:dyDescent="0.2">
      <c r="A18" s="827"/>
      <c r="B18" s="845" t="s">
        <v>1036</v>
      </c>
      <c r="C18" s="847"/>
      <c r="D18" s="848">
        <f t="shared" si="1"/>
        <v>0</v>
      </c>
      <c r="E18" s="847"/>
      <c r="F18" s="848">
        <f t="shared" si="0"/>
        <v>0</v>
      </c>
      <c r="G18" s="847"/>
      <c r="H18" s="944">
        <v>0</v>
      </c>
      <c r="I18" s="847"/>
    </row>
    <row r="19" spans="1:9" x14ac:dyDescent="0.2">
      <c r="A19" s="827"/>
      <c r="B19" s="845" t="s">
        <v>1037</v>
      </c>
      <c r="C19" s="847"/>
      <c r="D19" s="848">
        <f t="shared" si="1"/>
        <v>0</v>
      </c>
      <c r="E19" s="847"/>
      <c r="F19" s="848">
        <f t="shared" si="0"/>
        <v>0</v>
      </c>
      <c r="G19" s="847"/>
      <c r="H19" s="944">
        <v>0</v>
      </c>
      <c r="I19" s="847"/>
    </row>
    <row r="20" spans="1:9" x14ac:dyDescent="0.2">
      <c r="A20" s="827"/>
      <c r="B20" s="845" t="s">
        <v>1038</v>
      </c>
      <c r="C20" s="847"/>
      <c r="D20" s="848">
        <f t="shared" si="1"/>
        <v>0</v>
      </c>
      <c r="E20" s="847"/>
      <c r="F20" s="848">
        <f t="shared" si="0"/>
        <v>0</v>
      </c>
      <c r="G20" s="847"/>
      <c r="H20" s="944">
        <v>0</v>
      </c>
      <c r="I20" s="847"/>
    </row>
    <row r="21" spans="1:9" x14ac:dyDescent="0.2">
      <c r="A21" s="827"/>
      <c r="B21" s="845" t="s">
        <v>1039</v>
      </c>
      <c r="C21" s="847"/>
      <c r="D21" s="848">
        <f t="shared" si="1"/>
        <v>0</v>
      </c>
      <c r="E21" s="847"/>
      <c r="F21" s="848">
        <f t="shared" si="0"/>
        <v>0</v>
      </c>
      <c r="G21" s="847"/>
      <c r="H21" s="944">
        <v>0</v>
      </c>
      <c r="I21" s="847"/>
    </row>
    <row r="22" spans="1:9" x14ac:dyDescent="0.2">
      <c r="A22" s="827"/>
      <c r="B22" s="845" t="s">
        <v>1051</v>
      </c>
      <c r="C22" s="847"/>
      <c r="D22" s="848">
        <f t="shared" si="1"/>
        <v>0</v>
      </c>
      <c r="E22" s="847"/>
      <c r="F22" s="848">
        <f t="shared" si="0"/>
        <v>0</v>
      </c>
      <c r="G22" s="847"/>
      <c r="H22" s="944">
        <v>0</v>
      </c>
      <c r="I22" s="847"/>
    </row>
    <row r="23" spans="1:9" x14ac:dyDescent="0.2">
      <c r="A23" s="827"/>
      <c r="B23" s="845" t="s">
        <v>1031</v>
      </c>
      <c r="C23" s="847"/>
      <c r="D23" s="848">
        <f t="shared" si="1"/>
        <v>0</v>
      </c>
      <c r="E23" s="847"/>
      <c r="F23" s="848">
        <f t="shared" si="0"/>
        <v>0</v>
      </c>
      <c r="G23" s="847"/>
      <c r="H23" s="944">
        <v>0</v>
      </c>
      <c r="I23" s="847"/>
    </row>
    <row r="24" spans="1:9" x14ac:dyDescent="0.2">
      <c r="A24" s="827"/>
      <c r="B24" s="845" t="s">
        <v>1032</v>
      </c>
      <c r="C24" s="847"/>
      <c r="D24" s="848">
        <f t="shared" si="1"/>
        <v>0</v>
      </c>
      <c r="E24" s="847"/>
      <c r="F24" s="848">
        <f t="shared" si="0"/>
        <v>0</v>
      </c>
      <c r="G24" s="847"/>
      <c r="H24" s="944">
        <v>0</v>
      </c>
      <c r="I24" s="847"/>
    </row>
    <row r="25" spans="1:9" x14ac:dyDescent="0.2">
      <c r="A25" s="827"/>
      <c r="B25" s="845" t="s">
        <v>1800</v>
      </c>
      <c r="C25" s="827"/>
      <c r="D25" s="849">
        <f>+H24</f>
        <v>0</v>
      </c>
      <c r="E25" s="827"/>
      <c r="F25" s="848">
        <f t="shared" si="0"/>
        <v>0</v>
      </c>
      <c r="G25" s="827"/>
      <c r="H25" s="945">
        <v>0</v>
      </c>
      <c r="I25" s="850">
        <f>ROUND(SUM(H13:H25)/13,0)</f>
        <v>0</v>
      </c>
    </row>
    <row r="26" spans="1:9" ht="12.75" customHeight="1" x14ac:dyDescent="0.2">
      <c r="A26" s="827"/>
      <c r="B26" s="835"/>
      <c r="C26" s="835"/>
      <c r="D26" s="843"/>
      <c r="E26" s="844"/>
      <c r="F26" s="843"/>
      <c r="G26" s="844"/>
      <c r="H26" s="843"/>
      <c r="I26" s="843"/>
    </row>
    <row r="27" spans="1:9" x14ac:dyDescent="0.2">
      <c r="A27" s="827"/>
      <c r="B27" s="828"/>
      <c r="C27" s="827"/>
      <c r="D27" s="827"/>
      <c r="E27" s="898" t="s">
        <v>477</v>
      </c>
      <c r="F27" s="827"/>
      <c r="G27" s="827"/>
      <c r="H27" s="827"/>
      <c r="I27" s="827"/>
    </row>
    <row r="28" spans="1:9" x14ac:dyDescent="0.2">
      <c r="A28" s="827"/>
      <c r="B28" s="828"/>
      <c r="C28" s="827"/>
      <c r="D28" s="827"/>
      <c r="E28" s="829" t="str">
        <f>+Input!C4</f>
        <v>CASE NO. 2017-xxxxx</v>
      </c>
      <c r="F28" s="827"/>
      <c r="G28" s="827"/>
      <c r="H28" s="827"/>
      <c r="I28" s="879" t="s">
        <v>1017</v>
      </c>
    </row>
    <row r="29" spans="1:9" x14ac:dyDescent="0.2">
      <c r="A29" s="827"/>
      <c r="B29" s="827"/>
      <c r="C29" s="827"/>
      <c r="D29" s="827"/>
      <c r="E29" s="898" t="s">
        <v>1018</v>
      </c>
      <c r="F29" s="827"/>
      <c r="G29" s="827"/>
      <c r="H29" s="827"/>
      <c r="I29" s="879" t="s">
        <v>1536</v>
      </c>
    </row>
    <row r="30" spans="1:9" x14ac:dyDescent="0.2">
      <c r="A30" s="830"/>
      <c r="B30" s="830"/>
      <c r="C30" s="830"/>
      <c r="D30" s="830"/>
      <c r="E30" s="831" t="str">
        <f>+E4</f>
        <v>12/31/16 THROUGH 12/31/17</v>
      </c>
      <c r="F30" s="830"/>
      <c r="G30" s="830"/>
      <c r="H30" s="830"/>
      <c r="I30" s="880" t="s">
        <v>1020</v>
      </c>
    </row>
    <row r="31" spans="1:9" x14ac:dyDescent="0.2">
      <c r="A31" s="832"/>
      <c r="B31" s="832"/>
      <c r="C31" s="832"/>
      <c r="D31" s="832"/>
      <c r="E31" s="833" t="s">
        <v>1041</v>
      </c>
      <c r="F31" s="832"/>
      <c r="G31" s="832"/>
      <c r="H31" s="832"/>
      <c r="I31" s="832"/>
    </row>
    <row r="32" spans="1:9" x14ac:dyDescent="0.2">
      <c r="A32" s="832"/>
      <c r="B32" s="832"/>
      <c r="C32" s="832"/>
      <c r="D32" s="832"/>
      <c r="E32" s="833" t="s">
        <v>1022</v>
      </c>
      <c r="F32" s="832"/>
      <c r="G32" s="832"/>
      <c r="H32" s="832"/>
      <c r="I32" s="832"/>
    </row>
    <row r="33" spans="1:9" x14ac:dyDescent="0.2">
      <c r="A33" s="832"/>
      <c r="B33" s="832"/>
      <c r="C33" s="832"/>
      <c r="D33" s="832"/>
      <c r="E33" s="833" t="s">
        <v>1042</v>
      </c>
      <c r="F33" s="832"/>
      <c r="G33" s="832"/>
      <c r="H33" s="832"/>
      <c r="I33" s="832"/>
    </row>
    <row r="34" spans="1:9" x14ac:dyDescent="0.2">
      <c r="A34" s="830"/>
      <c r="B34" s="830"/>
      <c r="C34" s="830"/>
      <c r="D34" s="830"/>
      <c r="E34" s="851" t="s">
        <v>1043</v>
      </c>
      <c r="F34" s="830"/>
      <c r="G34" s="830"/>
      <c r="H34" s="830"/>
      <c r="I34" s="830"/>
    </row>
    <row r="35" spans="1:9" x14ac:dyDescent="0.2">
      <c r="A35" s="827"/>
      <c r="B35" s="835"/>
      <c r="C35" s="835"/>
      <c r="D35" s="843" t="s">
        <v>1025</v>
      </c>
      <c r="E35" s="843"/>
      <c r="F35" s="835"/>
      <c r="G35" s="835"/>
      <c r="H35" s="843" t="s">
        <v>1026</v>
      </c>
      <c r="I35" s="843" t="s">
        <v>1027</v>
      </c>
    </row>
    <row r="36" spans="1:9" x14ac:dyDescent="0.2">
      <c r="A36" s="827"/>
      <c r="B36" s="835"/>
      <c r="C36" s="835"/>
      <c r="D36" s="844" t="s">
        <v>1028</v>
      </c>
      <c r="E36" s="844"/>
      <c r="F36" s="844" t="s">
        <v>1029</v>
      </c>
      <c r="G36" s="844"/>
      <c r="H36" s="844" t="s">
        <v>1028</v>
      </c>
      <c r="I36" s="844" t="s">
        <v>1030</v>
      </c>
    </row>
    <row r="37" spans="1:9" x14ac:dyDescent="0.2">
      <c r="A37" s="827"/>
      <c r="B37" s="835"/>
      <c r="C37" s="835"/>
      <c r="D37" s="843" t="s">
        <v>500</v>
      </c>
      <c r="E37" s="844"/>
      <c r="F37" s="843" t="s">
        <v>500</v>
      </c>
      <c r="G37" s="844"/>
      <c r="H37" s="843" t="s">
        <v>500</v>
      </c>
      <c r="I37" s="843" t="s">
        <v>500</v>
      </c>
    </row>
    <row r="38" spans="1:9" ht="6" customHeight="1" x14ac:dyDescent="0.2">
      <c r="A38" s="827"/>
      <c r="B38" s="835"/>
      <c r="C38" s="835"/>
      <c r="D38" s="843"/>
      <c r="E38" s="844"/>
      <c r="F38" s="843"/>
      <c r="G38" s="844"/>
      <c r="H38" s="843"/>
      <c r="I38" s="843"/>
    </row>
    <row r="39" spans="1:9" x14ac:dyDescent="0.2">
      <c r="A39" s="827"/>
      <c r="B39" s="845" t="s">
        <v>1798</v>
      </c>
      <c r="C39" s="827"/>
      <c r="D39" s="1329">
        <v>58138</v>
      </c>
      <c r="E39" s="847"/>
      <c r="F39" s="848">
        <f t="shared" ref="F39:F51" si="2">H39-D39</f>
        <v>5620</v>
      </c>
      <c r="G39" s="847"/>
      <c r="H39" s="1302">
        <v>63758</v>
      </c>
      <c r="I39" s="827"/>
    </row>
    <row r="40" spans="1:9" x14ac:dyDescent="0.2">
      <c r="A40" s="827"/>
      <c r="B40" s="845" t="s">
        <v>1799</v>
      </c>
      <c r="C40" s="827"/>
      <c r="D40" s="848">
        <f t="shared" ref="D40:D50" si="3">H39</f>
        <v>63758</v>
      </c>
      <c r="E40" s="847"/>
      <c r="F40" s="848">
        <f t="shared" si="2"/>
        <v>-249</v>
      </c>
      <c r="G40" s="847"/>
      <c r="H40" s="1302">
        <v>63509</v>
      </c>
      <c r="I40" s="827"/>
    </row>
    <row r="41" spans="1:9" x14ac:dyDescent="0.2">
      <c r="A41" s="827"/>
      <c r="B41" s="845" t="s">
        <v>1033</v>
      </c>
      <c r="C41" s="827"/>
      <c r="D41" s="848">
        <f t="shared" si="3"/>
        <v>63509</v>
      </c>
      <c r="E41" s="847"/>
      <c r="F41" s="848">
        <f t="shared" si="2"/>
        <v>3610</v>
      </c>
      <c r="G41" s="847"/>
      <c r="H41" s="1302">
        <v>67119</v>
      </c>
      <c r="I41" s="827"/>
    </row>
    <row r="42" spans="1:9" x14ac:dyDescent="0.2">
      <c r="A42" s="827"/>
      <c r="B42" s="845" t="s">
        <v>1034</v>
      </c>
      <c r="C42" s="827"/>
      <c r="D42" s="848">
        <f t="shared" si="3"/>
        <v>67119</v>
      </c>
      <c r="E42" s="847"/>
      <c r="F42" s="848">
        <f t="shared" si="2"/>
        <v>-334</v>
      </c>
      <c r="G42" s="847"/>
      <c r="H42" s="1302">
        <v>66785</v>
      </c>
      <c r="I42" s="827"/>
    </row>
    <row r="43" spans="1:9" x14ac:dyDescent="0.2">
      <c r="A43" s="827"/>
      <c r="B43" s="845" t="s">
        <v>1035</v>
      </c>
      <c r="C43" s="847"/>
      <c r="D43" s="848">
        <f t="shared" si="3"/>
        <v>66785</v>
      </c>
      <c r="E43" s="847"/>
      <c r="F43" s="848">
        <f t="shared" si="2"/>
        <v>-24125</v>
      </c>
      <c r="G43" s="847"/>
      <c r="H43" s="1302">
        <v>42660</v>
      </c>
      <c r="I43" s="847"/>
    </row>
    <row r="44" spans="1:9" x14ac:dyDescent="0.2">
      <c r="A44" s="827"/>
      <c r="B44" s="845" t="s">
        <v>1036</v>
      </c>
      <c r="C44" s="847"/>
      <c r="D44" s="848">
        <f t="shared" si="3"/>
        <v>42660</v>
      </c>
      <c r="E44" s="847"/>
      <c r="F44" s="848">
        <f t="shared" si="2"/>
        <v>-148</v>
      </c>
      <c r="G44" s="847"/>
      <c r="H44" s="1302">
        <v>42512</v>
      </c>
      <c r="I44" s="847"/>
    </row>
    <row r="45" spans="1:9" x14ac:dyDescent="0.2">
      <c r="A45" s="827"/>
      <c r="B45" s="845" t="s">
        <v>1037</v>
      </c>
      <c r="C45" s="847"/>
      <c r="D45" s="848">
        <f t="shared" si="3"/>
        <v>42512</v>
      </c>
      <c r="E45" s="847"/>
      <c r="F45" s="848">
        <f t="shared" si="2"/>
        <v>776</v>
      </c>
      <c r="G45" s="847"/>
      <c r="H45" s="1302">
        <v>43288</v>
      </c>
      <c r="I45" s="847"/>
    </row>
    <row r="46" spans="1:9" x14ac:dyDescent="0.2">
      <c r="A46" s="827"/>
      <c r="B46" s="845" t="s">
        <v>1038</v>
      </c>
      <c r="C46" s="847"/>
      <c r="D46" s="848">
        <f t="shared" si="3"/>
        <v>43288</v>
      </c>
      <c r="E46" s="847"/>
      <c r="F46" s="848">
        <f t="shared" si="2"/>
        <v>12117</v>
      </c>
      <c r="G46" s="847"/>
      <c r="H46" s="1302">
        <v>55405</v>
      </c>
      <c r="I46" s="847"/>
    </row>
    <row r="47" spans="1:9" x14ac:dyDescent="0.2">
      <c r="A47" s="827"/>
      <c r="B47" s="845" t="s">
        <v>1039</v>
      </c>
      <c r="C47" s="847"/>
      <c r="D47" s="848">
        <f t="shared" si="3"/>
        <v>55405</v>
      </c>
      <c r="E47" s="847"/>
      <c r="F47" s="848">
        <f t="shared" si="2"/>
        <v>613</v>
      </c>
      <c r="G47" s="847"/>
      <c r="H47" s="1302">
        <v>56018</v>
      </c>
      <c r="I47" s="847"/>
    </row>
    <row r="48" spans="1:9" x14ac:dyDescent="0.2">
      <c r="A48" s="827"/>
      <c r="B48" s="845" t="s">
        <v>1051</v>
      </c>
      <c r="C48" s="847"/>
      <c r="D48" s="848">
        <f t="shared" si="3"/>
        <v>56018</v>
      </c>
      <c r="E48" s="847"/>
      <c r="F48" s="848">
        <f t="shared" si="2"/>
        <v>1168</v>
      </c>
      <c r="G48" s="847"/>
      <c r="H48" s="1302">
        <v>57186</v>
      </c>
      <c r="I48" s="847"/>
    </row>
    <row r="49" spans="1:9" x14ac:dyDescent="0.2">
      <c r="A49" s="827"/>
      <c r="B49" s="845" t="s">
        <v>1031</v>
      </c>
      <c r="C49" s="847"/>
      <c r="D49" s="848">
        <f t="shared" si="3"/>
        <v>57186</v>
      </c>
      <c r="E49" s="847"/>
      <c r="F49" s="848">
        <f t="shared" si="2"/>
        <v>-2415</v>
      </c>
      <c r="G49" s="847"/>
      <c r="H49" s="1302">
        <v>54771</v>
      </c>
      <c r="I49" s="847"/>
    </row>
    <row r="50" spans="1:9" x14ac:dyDescent="0.2">
      <c r="A50" s="827"/>
      <c r="B50" s="845" t="s">
        <v>1032</v>
      </c>
      <c r="C50" s="847"/>
      <c r="D50" s="848">
        <f t="shared" si="3"/>
        <v>54771</v>
      </c>
      <c r="E50" s="847"/>
      <c r="F50" s="848">
        <f t="shared" si="2"/>
        <v>-10946</v>
      </c>
      <c r="G50" s="847"/>
      <c r="H50" s="1302">
        <v>43825</v>
      </c>
      <c r="I50" s="847"/>
    </row>
    <row r="51" spans="1:9" x14ac:dyDescent="0.2">
      <c r="A51" s="827"/>
      <c r="B51" s="845" t="s">
        <v>1800</v>
      </c>
      <c r="C51" s="827"/>
      <c r="D51" s="849">
        <f>+H50</f>
        <v>43825</v>
      </c>
      <c r="E51" s="827"/>
      <c r="F51" s="848">
        <f t="shared" si="2"/>
        <v>5940</v>
      </c>
      <c r="G51" s="827"/>
      <c r="H51" s="1303">
        <v>49765</v>
      </c>
      <c r="I51" s="850">
        <f>ROUND((SUM(H39:H51)/(13)),0)</f>
        <v>54354</v>
      </c>
    </row>
    <row r="52" spans="1:9" ht="12.75" customHeight="1" x14ac:dyDescent="0.2">
      <c r="A52" s="827"/>
      <c r="B52" s="835"/>
      <c r="C52" s="835"/>
      <c r="D52" s="843"/>
      <c r="E52" s="844"/>
      <c r="F52" s="843"/>
      <c r="G52" s="844"/>
      <c r="H52" s="843"/>
      <c r="I52" s="843"/>
    </row>
    <row r="53" spans="1:9" x14ac:dyDescent="0.2">
      <c r="A53" s="827"/>
      <c r="B53" s="828"/>
      <c r="C53" s="827"/>
      <c r="D53" s="827"/>
      <c r="E53" s="829" t="s">
        <v>477</v>
      </c>
      <c r="F53" s="827"/>
      <c r="G53" s="827"/>
      <c r="H53" s="827"/>
      <c r="I53" s="827"/>
    </row>
    <row r="54" spans="1:9" x14ac:dyDescent="0.2">
      <c r="A54" s="827"/>
      <c r="B54" s="828"/>
      <c r="C54" s="827"/>
      <c r="D54" s="827"/>
      <c r="E54" s="829" t="str">
        <f>+Input!C4</f>
        <v>CASE NO. 2017-xxxxx</v>
      </c>
      <c r="F54" s="827"/>
      <c r="G54" s="827"/>
      <c r="H54" s="827"/>
      <c r="I54" s="879" t="s">
        <v>1017</v>
      </c>
    </row>
    <row r="55" spans="1:9" x14ac:dyDescent="0.2">
      <c r="A55" s="827"/>
      <c r="B55" s="827"/>
      <c r="C55" s="827"/>
      <c r="D55" s="827"/>
      <c r="E55" s="829" t="s">
        <v>1018</v>
      </c>
      <c r="F55" s="827"/>
      <c r="G55" s="827"/>
      <c r="H55" s="827"/>
      <c r="I55" s="879" t="s">
        <v>1537</v>
      </c>
    </row>
    <row r="56" spans="1:9" x14ac:dyDescent="0.2">
      <c r="A56" s="841"/>
      <c r="B56" s="830"/>
      <c r="C56" s="830"/>
      <c r="D56" s="830"/>
      <c r="E56" s="831" t="str">
        <f>+E4</f>
        <v>12/31/16 THROUGH 12/31/17</v>
      </c>
      <c r="F56" s="830"/>
      <c r="G56" s="830"/>
      <c r="H56" s="830"/>
      <c r="I56" s="880" t="s">
        <v>1020</v>
      </c>
    </row>
    <row r="57" spans="1:9" x14ac:dyDescent="0.2">
      <c r="A57" s="827"/>
      <c r="B57" s="835"/>
      <c r="C57" s="835"/>
      <c r="D57" s="837"/>
      <c r="E57" s="852" t="s">
        <v>1048</v>
      </c>
      <c r="F57" s="837"/>
      <c r="G57" s="835"/>
      <c r="H57" s="835"/>
      <c r="I57" s="835"/>
    </row>
    <row r="58" spans="1:9" x14ac:dyDescent="0.2">
      <c r="A58" s="841"/>
      <c r="B58" s="839"/>
      <c r="C58" s="839"/>
      <c r="D58" s="841"/>
      <c r="E58" s="853" t="s">
        <v>332</v>
      </c>
      <c r="F58" s="841"/>
      <c r="G58" s="839"/>
      <c r="H58" s="839"/>
      <c r="I58" s="839"/>
    </row>
    <row r="59" spans="1:9" x14ac:dyDescent="0.2">
      <c r="A59" s="827"/>
      <c r="B59" s="835"/>
      <c r="C59" s="835"/>
      <c r="D59" s="843" t="s">
        <v>1025</v>
      </c>
      <c r="E59" s="843"/>
      <c r="F59" s="835"/>
      <c r="G59" s="835"/>
      <c r="H59" s="843" t="s">
        <v>1026</v>
      </c>
      <c r="I59" s="843" t="s">
        <v>1027</v>
      </c>
    </row>
    <row r="60" spans="1:9" x14ac:dyDescent="0.2">
      <c r="A60" s="827"/>
      <c r="B60" s="835"/>
      <c r="C60" s="835"/>
      <c r="D60" s="844" t="s">
        <v>1028</v>
      </c>
      <c r="E60" s="844"/>
      <c r="F60" s="844" t="s">
        <v>1029</v>
      </c>
      <c r="G60" s="844"/>
      <c r="H60" s="844" t="s">
        <v>1049</v>
      </c>
      <c r="I60" s="844" t="s">
        <v>1030</v>
      </c>
    </row>
    <row r="61" spans="1:9" x14ac:dyDescent="0.2">
      <c r="A61" s="827"/>
      <c r="B61" s="835"/>
      <c r="C61" s="835"/>
      <c r="D61" s="843" t="s">
        <v>500</v>
      </c>
      <c r="E61" s="844"/>
      <c r="F61" s="843" t="s">
        <v>500</v>
      </c>
      <c r="G61" s="844"/>
      <c r="H61" s="843" t="s">
        <v>500</v>
      </c>
      <c r="I61" s="843" t="s">
        <v>500</v>
      </c>
    </row>
    <row r="62" spans="1:9" ht="6" customHeight="1" x14ac:dyDescent="0.2">
      <c r="A62" s="827"/>
      <c r="B62" s="835"/>
      <c r="C62" s="835"/>
      <c r="D62" s="843"/>
      <c r="E62" s="844"/>
      <c r="F62" s="843"/>
      <c r="G62" s="844"/>
      <c r="H62" s="843"/>
      <c r="I62" s="843"/>
    </row>
    <row r="63" spans="1:9" x14ac:dyDescent="0.2">
      <c r="A63" s="827"/>
      <c r="B63" s="845" t="s">
        <v>1798</v>
      </c>
      <c r="C63" s="827"/>
      <c r="D63" s="1304">
        <f>549134+92667.41-(132653+22108.58)</f>
        <v>487039.83</v>
      </c>
      <c r="E63" s="847"/>
      <c r="F63" s="848">
        <f t="shared" ref="F63:F75" si="4">H63-D63</f>
        <v>-70558.830000000016</v>
      </c>
      <c r="G63" s="847"/>
      <c r="H63" s="1304">
        <f>549134-132653</f>
        <v>416481</v>
      </c>
      <c r="I63" s="827"/>
    </row>
    <row r="64" spans="1:9" x14ac:dyDescent="0.2">
      <c r="A64" s="827"/>
      <c r="B64" s="845" t="s">
        <v>1799</v>
      </c>
      <c r="C64" s="827"/>
      <c r="D64" s="848">
        <f t="shared" ref="D64:D74" si="5">H63</f>
        <v>416481</v>
      </c>
      <c r="E64" s="847"/>
      <c r="F64" s="848">
        <f t="shared" si="4"/>
        <v>-59812</v>
      </c>
      <c r="G64" s="847"/>
      <c r="H64" s="1304">
        <f>467214-110545</f>
        <v>356669</v>
      </c>
      <c r="I64" s="827"/>
    </row>
    <row r="65" spans="1:11" x14ac:dyDescent="0.2">
      <c r="A65" s="827"/>
      <c r="B65" s="845" t="s">
        <v>1033</v>
      </c>
      <c r="C65" s="827"/>
      <c r="D65" s="848">
        <f t="shared" si="5"/>
        <v>356669</v>
      </c>
      <c r="E65" s="847"/>
      <c r="F65" s="848">
        <f t="shared" si="4"/>
        <v>-9123</v>
      </c>
      <c r="G65" s="847"/>
      <c r="H65" s="1304">
        <f>435984-88438</f>
        <v>347546</v>
      </c>
      <c r="I65" s="827"/>
    </row>
    <row r="66" spans="1:11" x14ac:dyDescent="0.2">
      <c r="A66" s="827"/>
      <c r="B66" s="845" t="s">
        <v>1034</v>
      </c>
      <c r="C66" s="827"/>
      <c r="D66" s="848">
        <f t="shared" si="5"/>
        <v>347546</v>
      </c>
      <c r="E66" s="847"/>
      <c r="F66" s="848">
        <f t="shared" si="4"/>
        <v>8238</v>
      </c>
      <c r="G66" s="847"/>
      <c r="H66" s="1304">
        <f>422114-66330</f>
        <v>355784</v>
      </c>
      <c r="I66" s="827"/>
    </row>
    <row r="67" spans="1:11" x14ac:dyDescent="0.2">
      <c r="A67" s="827"/>
      <c r="B67" s="845" t="s">
        <v>1035</v>
      </c>
      <c r="C67" s="847"/>
      <c r="D67" s="848">
        <f t="shared" si="5"/>
        <v>355784</v>
      </c>
      <c r="E67" s="847"/>
      <c r="F67" s="848">
        <f t="shared" si="4"/>
        <v>-75047</v>
      </c>
      <c r="G67" s="847"/>
      <c r="H67" s="1304">
        <f>324958-44221</f>
        <v>280737</v>
      </c>
      <c r="I67" s="847"/>
    </row>
    <row r="68" spans="1:11" x14ac:dyDescent="0.2">
      <c r="A68" s="827"/>
      <c r="B68" s="845" t="s">
        <v>1036</v>
      </c>
      <c r="C68" s="847"/>
      <c r="D68" s="848">
        <f t="shared" si="5"/>
        <v>280737</v>
      </c>
      <c r="E68" s="847"/>
      <c r="F68" s="848">
        <f t="shared" si="4"/>
        <v>-97135</v>
      </c>
      <c r="G68" s="847"/>
      <c r="H68" s="1304">
        <f>205714-22112</f>
        <v>183602</v>
      </c>
      <c r="I68" s="847"/>
    </row>
    <row r="69" spans="1:11" x14ac:dyDescent="0.2">
      <c r="A69" s="827"/>
      <c r="B69" s="845" t="s">
        <v>1037</v>
      </c>
      <c r="C69" s="847"/>
      <c r="D69" s="848">
        <f t="shared" si="5"/>
        <v>183602</v>
      </c>
      <c r="E69" s="847"/>
      <c r="F69" s="848">
        <f t="shared" si="4"/>
        <v>-71893</v>
      </c>
      <c r="G69" s="847"/>
      <c r="H69" s="1304">
        <f>111713-4</f>
        <v>111709</v>
      </c>
      <c r="I69" s="847"/>
    </row>
    <row r="70" spans="1:11" x14ac:dyDescent="0.2">
      <c r="A70" s="827"/>
      <c r="B70" s="845" t="s">
        <v>1038</v>
      </c>
      <c r="C70" s="847"/>
      <c r="D70" s="848">
        <f t="shared" si="5"/>
        <v>111709</v>
      </c>
      <c r="E70" s="847"/>
      <c r="F70" s="848">
        <f t="shared" si="4"/>
        <v>433178</v>
      </c>
      <c r="G70" s="847"/>
      <c r="H70" s="1304">
        <f>760181-215294</f>
        <v>544887</v>
      </c>
      <c r="I70" s="847"/>
    </row>
    <row r="71" spans="1:11" x14ac:dyDescent="0.2">
      <c r="A71" s="827"/>
      <c r="B71" s="845" t="s">
        <v>1039</v>
      </c>
      <c r="C71" s="847"/>
      <c r="D71" s="848">
        <f t="shared" si="5"/>
        <v>544887</v>
      </c>
      <c r="E71" s="847"/>
      <c r="F71" s="848">
        <f t="shared" si="4"/>
        <v>9323</v>
      </c>
      <c r="G71" s="847"/>
      <c r="H71" s="1304">
        <f>749932-195722</f>
        <v>554210</v>
      </c>
      <c r="I71" s="847"/>
    </row>
    <row r="72" spans="1:11" x14ac:dyDescent="0.2">
      <c r="A72" s="827"/>
      <c r="B72" s="845" t="s">
        <v>1051</v>
      </c>
      <c r="C72" s="847"/>
      <c r="D72" s="848">
        <f t="shared" si="5"/>
        <v>554210</v>
      </c>
      <c r="E72" s="847"/>
      <c r="F72" s="848">
        <f t="shared" si="4"/>
        <v>-71412</v>
      </c>
      <c r="G72" s="847"/>
      <c r="H72" s="1304">
        <f>658948-176150</f>
        <v>482798</v>
      </c>
      <c r="I72" s="847"/>
    </row>
    <row r="73" spans="1:11" x14ac:dyDescent="0.2">
      <c r="A73" s="827"/>
      <c r="B73" s="845" t="s">
        <v>1031</v>
      </c>
      <c r="C73" s="847"/>
      <c r="D73" s="848">
        <f t="shared" si="5"/>
        <v>482798</v>
      </c>
      <c r="E73" s="847"/>
      <c r="F73" s="848">
        <f t="shared" si="4"/>
        <v>-71406</v>
      </c>
      <c r="G73" s="847"/>
      <c r="H73" s="1304">
        <f>567971-156579</f>
        <v>411392</v>
      </c>
      <c r="I73" s="847"/>
    </row>
    <row r="74" spans="1:11" x14ac:dyDescent="0.2">
      <c r="A74" s="827"/>
      <c r="B74" s="845" t="s">
        <v>1032</v>
      </c>
      <c r="C74" s="847"/>
      <c r="D74" s="848">
        <f t="shared" si="5"/>
        <v>411392</v>
      </c>
      <c r="E74" s="847"/>
      <c r="F74" s="848">
        <f t="shared" si="4"/>
        <v>46628</v>
      </c>
      <c r="G74" s="847"/>
      <c r="H74" s="1304">
        <f>595027-137007</f>
        <v>458020</v>
      </c>
      <c r="I74" s="847"/>
    </row>
    <row r="75" spans="1:11" x14ac:dyDescent="0.2">
      <c r="A75" s="827"/>
      <c r="B75" s="845" t="s">
        <v>1800</v>
      </c>
      <c r="C75" s="827"/>
      <c r="D75" s="849">
        <f>+H74</f>
        <v>458020</v>
      </c>
      <c r="E75" s="827"/>
      <c r="F75" s="848">
        <f t="shared" si="4"/>
        <v>-68956</v>
      </c>
      <c r="G75" s="827"/>
      <c r="H75" s="1305">
        <f>506500-117436</f>
        <v>389064</v>
      </c>
      <c r="I75" s="850">
        <f>ROUND((SUM(H63:H75)/(13)),0)</f>
        <v>376377</v>
      </c>
    </row>
    <row r="76" spans="1:11" ht="12.75" customHeight="1" x14ac:dyDescent="0.2">
      <c r="A76" s="827"/>
      <c r="B76" s="835"/>
      <c r="C76" s="835"/>
      <c r="D76" s="843"/>
      <c r="E76" s="844"/>
      <c r="F76" s="843"/>
      <c r="G76" s="844"/>
      <c r="H76" s="843"/>
      <c r="I76" s="843"/>
    </row>
    <row r="77" spans="1:11" x14ac:dyDescent="0.2">
      <c r="A77" s="827"/>
      <c r="B77" s="854" t="s">
        <v>1050</v>
      </c>
      <c r="C77" s="827"/>
      <c r="D77" s="827"/>
      <c r="E77" s="827"/>
      <c r="F77" s="827"/>
      <c r="G77" s="827"/>
      <c r="H77" s="827"/>
      <c r="I77" s="827"/>
    </row>
    <row r="78" spans="1:11" x14ac:dyDescent="0.2">
      <c r="A78" s="827"/>
      <c r="B78" s="828"/>
      <c r="C78" s="827"/>
      <c r="D78" s="827"/>
      <c r="E78" s="829" t="s">
        <v>477</v>
      </c>
      <c r="F78" s="827"/>
      <c r="G78" s="827"/>
      <c r="H78" s="827"/>
      <c r="I78" s="827"/>
    </row>
    <row r="79" spans="1:11" x14ac:dyDescent="0.2">
      <c r="A79" s="827"/>
      <c r="B79" s="828"/>
      <c r="C79" s="827"/>
      <c r="D79" s="827"/>
      <c r="E79" s="829" t="str">
        <f>+Input!C4</f>
        <v>CASE NO. 2017-xxxxx</v>
      </c>
      <c r="F79" s="827"/>
      <c r="G79" s="827"/>
      <c r="H79" s="827"/>
      <c r="K79" s="879" t="s">
        <v>1017</v>
      </c>
    </row>
    <row r="80" spans="1:11" x14ac:dyDescent="0.2">
      <c r="A80" s="827"/>
      <c r="B80" s="827"/>
      <c r="C80" s="827"/>
      <c r="D80" s="827"/>
      <c r="E80" s="829" t="s">
        <v>1018</v>
      </c>
      <c r="F80" s="827"/>
      <c r="G80" s="827"/>
      <c r="H80" s="827"/>
      <c r="K80" s="879" t="s">
        <v>1538</v>
      </c>
    </row>
    <row r="81" spans="1:12" x14ac:dyDescent="0.2">
      <c r="A81" s="830"/>
      <c r="B81" s="830"/>
      <c r="C81" s="830"/>
      <c r="D81" s="830"/>
      <c r="E81" s="831" t="str">
        <f>+E4</f>
        <v>12/31/16 THROUGH 12/31/17</v>
      </c>
      <c r="F81" s="830"/>
      <c r="G81" s="830"/>
      <c r="H81" s="830"/>
      <c r="I81" s="1080"/>
      <c r="J81" s="1080"/>
      <c r="K81" s="880" t="s">
        <v>1020</v>
      </c>
    </row>
    <row r="82" spans="1:12" x14ac:dyDescent="0.2">
      <c r="A82" s="827"/>
      <c r="B82" s="835"/>
      <c r="C82" s="836"/>
      <c r="D82" s="837"/>
      <c r="E82" s="852" t="s">
        <v>1045</v>
      </c>
      <c r="F82" s="837"/>
      <c r="G82" s="836"/>
      <c r="H82" s="835"/>
      <c r="I82" s="835"/>
    </row>
    <row r="83" spans="1:12" x14ac:dyDescent="0.2">
      <c r="A83" s="830"/>
      <c r="B83" s="839"/>
      <c r="C83" s="840"/>
      <c r="D83" s="841"/>
      <c r="E83" s="853" t="s">
        <v>1046</v>
      </c>
      <c r="F83" s="841"/>
      <c r="G83" s="840"/>
      <c r="H83" s="839"/>
      <c r="I83" s="839"/>
    </row>
    <row r="84" spans="1:12" x14ac:dyDescent="0.2">
      <c r="A84" s="1057"/>
      <c r="B84" s="1058"/>
      <c r="C84" s="1058"/>
      <c r="D84" s="1412" t="s">
        <v>588</v>
      </c>
      <c r="E84" s="1413"/>
      <c r="F84" s="1413"/>
      <c r="G84" s="1413"/>
      <c r="H84" s="1413"/>
      <c r="I84" s="1413"/>
      <c r="J84" s="1413"/>
      <c r="K84" s="1414"/>
    </row>
    <row r="85" spans="1:12" x14ac:dyDescent="0.2">
      <c r="A85" s="1057" t="s">
        <v>1768</v>
      </c>
      <c r="B85" s="1057"/>
      <c r="C85" s="1058"/>
      <c r="D85" s="1061" t="s">
        <v>589</v>
      </c>
      <c r="E85" s="1062"/>
      <c r="F85" s="1063"/>
      <c r="G85" s="1059" t="s">
        <v>590</v>
      </c>
      <c r="H85" s="1061" t="s">
        <v>591</v>
      </c>
      <c r="I85" s="1062"/>
      <c r="J85" s="1062"/>
      <c r="K85" s="1063"/>
    </row>
    <row r="86" spans="1:12" x14ac:dyDescent="0.2">
      <c r="A86" s="1060" t="s">
        <v>1771</v>
      </c>
      <c r="B86" s="1060" t="s">
        <v>592</v>
      </c>
      <c r="C86" s="1058"/>
      <c r="D86" s="1061" t="s">
        <v>593</v>
      </c>
      <c r="E86" s="1062" t="s">
        <v>594</v>
      </c>
      <c r="F86" s="1063" t="s">
        <v>1028</v>
      </c>
      <c r="G86" s="1064"/>
      <c r="H86" s="1061" t="s">
        <v>593</v>
      </c>
      <c r="I86" s="1062" t="s">
        <v>594</v>
      </c>
      <c r="J86" s="1062" t="s">
        <v>595</v>
      </c>
      <c r="K86" s="1063" t="s">
        <v>1028</v>
      </c>
    </row>
    <row r="87" spans="1:12" x14ac:dyDescent="0.2">
      <c r="A87" s="1057"/>
      <c r="B87" s="1058"/>
      <c r="C87" s="1058"/>
      <c r="D87" s="1058"/>
      <c r="E87" s="1065"/>
      <c r="F87" s="1065"/>
      <c r="G87" s="1065"/>
      <c r="H87" s="1058"/>
      <c r="I87" s="1065"/>
      <c r="J87" s="1065"/>
      <c r="K87" s="1065"/>
      <c r="L87" s="1065"/>
    </row>
    <row r="88" spans="1:12" x14ac:dyDescent="0.2">
      <c r="A88" s="1057">
        <v>1</v>
      </c>
      <c r="B88" s="1306">
        <v>39447</v>
      </c>
      <c r="C88" s="1307"/>
      <c r="D88" s="1308"/>
      <c r="E88" s="1308"/>
      <c r="F88" s="1309">
        <v>8238790</v>
      </c>
      <c r="G88" s="1310">
        <f>ROUND((K88/F88),4)</f>
        <v>6.0248999999999997</v>
      </c>
      <c r="H88" s="1070"/>
      <c r="I88" s="1070"/>
      <c r="J88" s="1070"/>
      <c r="K88" s="1071">
        <v>49637944</v>
      </c>
    </row>
    <row r="89" spans="1:12" x14ac:dyDescent="0.2">
      <c r="A89" s="1057"/>
      <c r="B89" s="1311"/>
      <c r="C89" s="1307"/>
      <c r="D89" s="1308"/>
      <c r="E89" s="1308"/>
      <c r="F89" s="1308"/>
      <c r="G89" s="1310"/>
      <c r="H89" s="1070"/>
      <c r="I89" s="1070"/>
      <c r="J89" s="1071"/>
      <c r="K89" s="1070"/>
    </row>
    <row r="90" spans="1:12" x14ac:dyDescent="0.2">
      <c r="A90" s="1057">
        <f>A88+1</f>
        <v>2</v>
      </c>
      <c r="B90" s="1306">
        <v>39477</v>
      </c>
      <c r="C90" s="1307"/>
      <c r="D90" s="1309">
        <v>-7460</v>
      </c>
      <c r="E90" s="1309">
        <v>-3393179</v>
      </c>
      <c r="F90" s="1308">
        <f>+F88+E90+D90</f>
        <v>4838151</v>
      </c>
      <c r="G90" s="1312">
        <v>8.9879999999999995</v>
      </c>
      <c r="H90" s="1070">
        <f>+D90*G90</f>
        <v>-67050.48</v>
      </c>
      <c r="I90" s="1070">
        <f>+E90*G90</f>
        <v>-30497892.851999998</v>
      </c>
      <c r="J90" s="1070"/>
      <c r="K90" s="1070">
        <f>+K88+H90+I90</f>
        <v>19073000.668000005</v>
      </c>
    </row>
    <row r="91" spans="1:12" x14ac:dyDescent="0.2">
      <c r="A91" s="1057">
        <f t="shared" ref="A91:A113" si="6">A90+1</f>
        <v>3</v>
      </c>
      <c r="B91" s="1311" t="s">
        <v>596</v>
      </c>
      <c r="C91" s="1307"/>
      <c r="D91" s="1308"/>
      <c r="E91" s="1308"/>
      <c r="F91" s="1308"/>
      <c r="G91" s="1312"/>
      <c r="H91" s="1070"/>
      <c r="I91" s="1070"/>
      <c r="J91" s="1071"/>
      <c r="K91" s="1070"/>
    </row>
    <row r="92" spans="1:12" x14ac:dyDescent="0.2">
      <c r="A92" s="1057">
        <f t="shared" si="6"/>
        <v>4</v>
      </c>
      <c r="B92" s="1306">
        <v>39506</v>
      </c>
      <c r="C92" s="1307"/>
      <c r="D92" s="1309">
        <v>28374</v>
      </c>
      <c r="E92" s="1309">
        <v>-2485139</v>
      </c>
      <c r="F92" s="1308">
        <f>+F90+E92+D92</f>
        <v>2381386</v>
      </c>
      <c r="G92" s="1312">
        <v>9.2530000000000001</v>
      </c>
      <c r="H92" s="1070">
        <f>+D92*G92</f>
        <v>262544.62200000003</v>
      </c>
      <c r="I92" s="1070">
        <f>+E92*G92</f>
        <v>-22994991.166999999</v>
      </c>
      <c r="J92" s="1071"/>
      <c r="K92" s="1070">
        <f>+K90+H92+I92</f>
        <v>-3659445.8769999929</v>
      </c>
    </row>
    <row r="93" spans="1:12" x14ac:dyDescent="0.2">
      <c r="A93" s="1057">
        <f t="shared" si="6"/>
        <v>5</v>
      </c>
      <c r="B93" s="1311" t="s">
        <v>596</v>
      </c>
      <c r="C93" s="1307"/>
      <c r="D93" s="1308">
        <f>D90</f>
        <v>-7460</v>
      </c>
      <c r="E93" s="1308">
        <f>E90</f>
        <v>-3393179</v>
      </c>
      <c r="F93" s="1308"/>
      <c r="G93" s="1312">
        <v>0.26500000000000001</v>
      </c>
      <c r="H93" s="1070">
        <f>G93*E93</f>
        <v>-899192.43500000006</v>
      </c>
      <c r="I93" s="1070">
        <f>G93*D93</f>
        <v>-1976.9</v>
      </c>
      <c r="J93" s="1070">
        <f>H93+I93</f>
        <v>-901169.33500000008</v>
      </c>
      <c r="K93" s="1070">
        <f>K92+J93</f>
        <v>-4560615.2119999928</v>
      </c>
    </row>
    <row r="94" spans="1:12" x14ac:dyDescent="0.2">
      <c r="A94" s="1057">
        <f t="shared" si="6"/>
        <v>6</v>
      </c>
      <c r="B94" s="1306">
        <v>39538</v>
      </c>
      <c r="C94" s="1307"/>
      <c r="D94" s="1309">
        <v>198810</v>
      </c>
      <c r="E94" s="1309">
        <v>-1469664</v>
      </c>
      <c r="F94" s="1308">
        <f>+F92+E94+D94</f>
        <v>1110532</v>
      </c>
      <c r="G94" s="1312">
        <v>10.337</v>
      </c>
      <c r="H94" s="1070">
        <f>+D94*G94</f>
        <v>2055098.97</v>
      </c>
      <c r="I94" s="1070">
        <f>+E94*G94</f>
        <v>-15191916.767999999</v>
      </c>
      <c r="J94" s="1071"/>
      <c r="K94" s="1070">
        <f>K93+H94+I94</f>
        <v>-17697433.00999999</v>
      </c>
    </row>
    <row r="95" spans="1:12" x14ac:dyDescent="0.2">
      <c r="A95" s="1057">
        <f t="shared" si="6"/>
        <v>7</v>
      </c>
      <c r="B95" s="1311" t="s">
        <v>596</v>
      </c>
      <c r="C95" s="1307"/>
      <c r="D95" s="1308">
        <f>D92+D93</f>
        <v>20914</v>
      </c>
      <c r="E95" s="1308">
        <f>(E92+E93)</f>
        <v>-5878318</v>
      </c>
      <c r="F95" s="1308"/>
      <c r="G95" s="1312">
        <v>1.0840000000000001</v>
      </c>
      <c r="H95" s="1070">
        <f>G95*D95</f>
        <v>22670.776000000002</v>
      </c>
      <c r="I95" s="1070">
        <f>G95*E95</f>
        <v>-6372096.7120000003</v>
      </c>
      <c r="J95" s="1070">
        <f>H95+I95</f>
        <v>-6349425.9360000007</v>
      </c>
      <c r="K95" s="1070">
        <f>K94+J95</f>
        <v>-24046858.945999991</v>
      </c>
    </row>
    <row r="96" spans="1:12" x14ac:dyDescent="0.2">
      <c r="A96" s="1057">
        <f t="shared" si="6"/>
        <v>8</v>
      </c>
      <c r="B96" s="1306">
        <v>39568</v>
      </c>
      <c r="C96" s="1307"/>
      <c r="D96" s="1309">
        <v>851463</v>
      </c>
      <c r="E96" s="1309">
        <v>-170336</v>
      </c>
      <c r="F96" s="1308">
        <f>+F94+E96+D96</f>
        <v>1791659</v>
      </c>
      <c r="G96" s="1312">
        <v>10.218999999999999</v>
      </c>
      <c r="H96" s="1070">
        <f>+D96*G96</f>
        <v>8701100.3969999999</v>
      </c>
      <c r="I96" s="1070">
        <f>+E96*G96</f>
        <v>-1740663.5839999998</v>
      </c>
      <c r="J96" s="1071"/>
      <c r="K96" s="1070">
        <f>+K94+J95+H96+I96</f>
        <v>-17086422.13299999</v>
      </c>
    </row>
    <row r="97" spans="1:11" x14ac:dyDescent="0.2">
      <c r="A97" s="1057">
        <f t="shared" si="6"/>
        <v>9</v>
      </c>
      <c r="B97" s="1311" t="s">
        <v>596</v>
      </c>
      <c r="C97" s="1307"/>
      <c r="D97" s="1308">
        <f>D95+D94</f>
        <v>219724</v>
      </c>
      <c r="E97" s="1308">
        <f>E94+E95</f>
        <v>-7347982</v>
      </c>
      <c r="F97" s="1308"/>
      <c r="G97" s="1312">
        <v>-0.11799999999999999</v>
      </c>
      <c r="H97" s="1070">
        <f>G97*D97</f>
        <v>-25927.431999999997</v>
      </c>
      <c r="I97" s="1070">
        <f>G97*E97</f>
        <v>867061.87599999993</v>
      </c>
      <c r="J97" s="1070">
        <f>H97+I97</f>
        <v>841134.4439999999</v>
      </c>
      <c r="K97" s="1070">
        <f>K96+J97</f>
        <v>-16245287.68899999</v>
      </c>
    </row>
    <row r="98" spans="1:11" x14ac:dyDescent="0.2">
      <c r="A98" s="1057">
        <f t="shared" si="6"/>
        <v>10</v>
      </c>
      <c r="B98" s="1306">
        <v>39598</v>
      </c>
      <c r="C98" s="1307"/>
      <c r="D98" s="1309">
        <v>1877996</v>
      </c>
      <c r="E98" s="1309">
        <v>-1921</v>
      </c>
      <c r="F98" s="1308">
        <f>+F96+E98+D98</f>
        <v>3667734</v>
      </c>
      <c r="G98" s="1312">
        <v>11.025</v>
      </c>
      <c r="H98" s="1070">
        <f>+D98*G98</f>
        <v>20704905.900000002</v>
      </c>
      <c r="I98" s="1070">
        <f>+E98*G98</f>
        <v>-21179.025000000001</v>
      </c>
      <c r="J98" s="1071"/>
      <c r="K98" s="1070">
        <f>+K96+J97+H98+I98</f>
        <v>4438439.1860000119</v>
      </c>
    </row>
    <row r="99" spans="1:11" x14ac:dyDescent="0.2">
      <c r="A99" s="1057">
        <f t="shared" si="6"/>
        <v>11</v>
      </c>
      <c r="B99" s="1311" t="s">
        <v>596</v>
      </c>
      <c r="C99" s="1307"/>
      <c r="D99" s="1308">
        <f>D96+D97</f>
        <v>1071187</v>
      </c>
      <c r="E99" s="1308">
        <f>E96+E97</f>
        <v>-7518318</v>
      </c>
      <c r="F99" s="1308"/>
      <c r="G99" s="1312">
        <v>0.80600000000000005</v>
      </c>
      <c r="H99" s="1070">
        <f>G99*D99</f>
        <v>863376.72200000007</v>
      </c>
      <c r="I99" s="1070">
        <f>G99*E99</f>
        <v>-6059764.3080000002</v>
      </c>
      <c r="J99" s="1070">
        <f>H99+I99</f>
        <v>-5196387.5860000001</v>
      </c>
      <c r="K99" s="1070">
        <f>K98+J99</f>
        <v>-757948.39999998827</v>
      </c>
    </row>
    <row r="100" spans="1:11" x14ac:dyDescent="0.2">
      <c r="A100" s="1057">
        <f t="shared" si="6"/>
        <v>12</v>
      </c>
      <c r="B100" s="1306">
        <v>39629</v>
      </c>
      <c r="C100" s="1307"/>
      <c r="D100" s="1309">
        <v>1785822</v>
      </c>
      <c r="E100" s="1309">
        <v>0</v>
      </c>
      <c r="F100" s="1308">
        <f>+F98+E100+D100</f>
        <v>5453556</v>
      </c>
      <c r="G100" s="1312">
        <v>11.88</v>
      </c>
      <c r="H100" s="1070">
        <f>+D100*G100</f>
        <v>21215565.360000003</v>
      </c>
      <c r="I100" s="1070">
        <f>+E100*G100</f>
        <v>0</v>
      </c>
      <c r="J100" s="1071"/>
      <c r="K100" s="1070">
        <f>+K98+J99+H100+I100</f>
        <v>20457616.960000016</v>
      </c>
    </row>
    <row r="101" spans="1:11" x14ac:dyDescent="0.2">
      <c r="A101" s="1057">
        <f t="shared" si="6"/>
        <v>13</v>
      </c>
      <c r="B101" s="1311" t="s">
        <v>596</v>
      </c>
      <c r="C101" s="1307"/>
      <c r="D101" s="1308">
        <f>D98+D99</f>
        <v>2949183</v>
      </c>
      <c r="E101" s="1308">
        <f>E98+E99</f>
        <v>-7520239</v>
      </c>
      <c r="F101" s="1308"/>
      <c r="G101" s="1312">
        <v>0.85499999999999998</v>
      </c>
      <c r="H101" s="1070">
        <f>G101*D101</f>
        <v>2521551.4649999999</v>
      </c>
      <c r="I101" s="1070">
        <f>G101*E101</f>
        <v>-6429804.3449999997</v>
      </c>
      <c r="J101" s="1070">
        <f>H101+I101</f>
        <v>-3908252.88</v>
      </c>
      <c r="K101" s="1070">
        <f>K100+J101</f>
        <v>16549364.080000017</v>
      </c>
    </row>
    <row r="102" spans="1:11" x14ac:dyDescent="0.2">
      <c r="A102" s="1057">
        <f t="shared" si="6"/>
        <v>14</v>
      </c>
      <c r="B102" s="1306">
        <v>39659</v>
      </c>
      <c r="C102" s="1307"/>
      <c r="D102" s="1309">
        <v>2118057</v>
      </c>
      <c r="E102" s="1309">
        <v>0</v>
      </c>
      <c r="F102" s="1308">
        <f>+F100+E102+D102</f>
        <v>7571613</v>
      </c>
      <c r="G102" s="1312">
        <v>12.021000000000001</v>
      </c>
      <c r="H102" s="1070">
        <f>+D102*G102</f>
        <v>25461163.197000001</v>
      </c>
      <c r="I102" s="1070">
        <f>+E102*G102</f>
        <v>0</v>
      </c>
      <c r="J102" s="1071"/>
      <c r="K102" s="1070">
        <f>+K100+J101+H102+I102</f>
        <v>42010527.277000017</v>
      </c>
    </row>
    <row r="103" spans="1:11" x14ac:dyDescent="0.2">
      <c r="A103" s="1057">
        <f t="shared" si="6"/>
        <v>15</v>
      </c>
      <c r="B103" s="1311" t="s">
        <v>596</v>
      </c>
      <c r="C103" s="1307"/>
      <c r="D103" s="1308">
        <f>D101+D100</f>
        <v>4735005</v>
      </c>
      <c r="E103" s="1308">
        <f>E101+E100</f>
        <v>-7520239</v>
      </c>
      <c r="F103" s="1308"/>
      <c r="G103" s="1312">
        <v>0.14099999999999999</v>
      </c>
      <c r="H103" s="1070">
        <f>G103*D103</f>
        <v>667635.70499999996</v>
      </c>
      <c r="I103" s="1070">
        <f>G103*E103</f>
        <v>-1060353.6989999998</v>
      </c>
      <c r="J103" s="1070">
        <f>H103+I103</f>
        <v>-392717.99399999983</v>
      </c>
      <c r="K103" s="1070">
        <f>K102+J103</f>
        <v>41617809.283000015</v>
      </c>
    </row>
    <row r="104" spans="1:11" x14ac:dyDescent="0.2">
      <c r="A104" s="1057">
        <f t="shared" si="6"/>
        <v>16</v>
      </c>
      <c r="B104" s="1306">
        <v>39690</v>
      </c>
      <c r="C104" s="1307"/>
      <c r="D104" s="1309">
        <v>1517643</v>
      </c>
      <c r="E104" s="1309">
        <v>0</v>
      </c>
      <c r="F104" s="1308">
        <f>+F102+E104+D104</f>
        <v>9089256</v>
      </c>
      <c r="G104" s="1312">
        <v>11.688000000000001</v>
      </c>
      <c r="H104" s="1070">
        <f>+D104*G104</f>
        <v>17738211.384</v>
      </c>
      <c r="I104" s="1070">
        <f>+E104*G104</f>
        <v>0</v>
      </c>
      <c r="J104" s="1070"/>
      <c r="K104" s="1070">
        <f>+K102+J103+H104+I104</f>
        <v>59356020.667000011</v>
      </c>
    </row>
    <row r="105" spans="1:11" x14ac:dyDescent="0.2">
      <c r="A105" s="1057">
        <f t="shared" si="6"/>
        <v>17</v>
      </c>
      <c r="B105" s="1311" t="s">
        <v>596</v>
      </c>
      <c r="C105" s="1307"/>
      <c r="D105" s="1308">
        <f>D102+D103</f>
        <v>6853062</v>
      </c>
      <c r="E105" s="1308">
        <f>E102+E103</f>
        <v>-7520239</v>
      </c>
      <c r="F105" s="1308"/>
      <c r="G105" s="1312">
        <v>-0.33300000000000002</v>
      </c>
      <c r="H105" s="1070">
        <f>G105*D105</f>
        <v>-2282069.6460000002</v>
      </c>
      <c r="I105" s="1070">
        <f>G105*E105</f>
        <v>2504239.5870000003</v>
      </c>
      <c r="J105" s="1070">
        <f>H105+I105</f>
        <v>222169.94100000011</v>
      </c>
      <c r="K105" s="1070">
        <f>K104+J105</f>
        <v>59578190.60800001</v>
      </c>
    </row>
    <row r="106" spans="1:11" x14ac:dyDescent="0.2">
      <c r="A106" s="1057">
        <f t="shared" si="6"/>
        <v>18</v>
      </c>
      <c r="B106" s="1306">
        <v>39721</v>
      </c>
      <c r="C106" s="1307"/>
      <c r="D106" s="1309">
        <v>1295318</v>
      </c>
      <c r="E106" s="1309">
        <v>-174336</v>
      </c>
      <c r="F106" s="1308">
        <f>+F104+E106+D106</f>
        <v>10210238</v>
      </c>
      <c r="G106" s="1312">
        <v>11.015000000000001</v>
      </c>
      <c r="H106" s="1070">
        <f>+D106*G106</f>
        <v>14267927.770000001</v>
      </c>
      <c r="I106" s="1070">
        <f>+E106*G106</f>
        <v>-1920311.04</v>
      </c>
      <c r="J106" s="1070"/>
      <c r="K106" s="1070">
        <f>+K104+J105+H106+I106</f>
        <v>71925807.338</v>
      </c>
    </row>
    <row r="107" spans="1:11" x14ac:dyDescent="0.2">
      <c r="A107" s="1057">
        <f t="shared" si="6"/>
        <v>19</v>
      </c>
      <c r="B107" s="1311" t="s">
        <v>596</v>
      </c>
      <c r="C107" s="1307"/>
      <c r="D107" s="1308">
        <f>D104+D105</f>
        <v>8370705</v>
      </c>
      <c r="E107" s="1308">
        <f>E104+E105</f>
        <v>-7520239</v>
      </c>
      <c r="F107" s="1308"/>
      <c r="G107" s="1312">
        <v>-0.67300000000000004</v>
      </c>
      <c r="H107" s="1070">
        <f>G107*D107</f>
        <v>-5633484.4650000008</v>
      </c>
      <c r="I107" s="1070">
        <f>G107*E107</f>
        <v>5061120.8470000001</v>
      </c>
      <c r="J107" s="1070">
        <f>H107+I107</f>
        <v>-572363.61800000072</v>
      </c>
      <c r="K107" s="1070">
        <f>K106+J107</f>
        <v>71353443.719999999</v>
      </c>
    </row>
    <row r="108" spans="1:11" x14ac:dyDescent="0.2">
      <c r="A108" s="1057">
        <f t="shared" si="6"/>
        <v>20</v>
      </c>
      <c r="B108" s="1306">
        <v>39752</v>
      </c>
      <c r="C108" s="1307"/>
      <c r="D108" s="1309">
        <v>785062</v>
      </c>
      <c r="E108" s="1309">
        <v>8384</v>
      </c>
      <c r="F108" s="1308">
        <f>+F106+E108+D108</f>
        <v>11003684</v>
      </c>
      <c r="G108" s="1312">
        <v>11.513999999999999</v>
      </c>
      <c r="H108" s="1070">
        <f>+D108*G108</f>
        <v>9039203.8679999989</v>
      </c>
      <c r="I108" s="1070">
        <f>+E108*G108</f>
        <v>96533.375999999989</v>
      </c>
      <c r="J108" s="1070"/>
      <c r="K108" s="1070">
        <f>+K106+J107+H108+I108</f>
        <v>80489180.964000002</v>
      </c>
    </row>
    <row r="109" spans="1:11" x14ac:dyDescent="0.2">
      <c r="A109" s="1057">
        <f t="shared" si="6"/>
        <v>21</v>
      </c>
      <c r="B109" s="1311" t="s">
        <v>596</v>
      </c>
      <c r="C109" s="1307"/>
      <c r="D109" s="1308">
        <f>D106+D107</f>
        <v>9666023</v>
      </c>
      <c r="E109" s="1308">
        <f>E106+E107</f>
        <v>-7694575</v>
      </c>
      <c r="F109" s="1308"/>
      <c r="G109" s="1312">
        <v>0.499</v>
      </c>
      <c r="H109" s="1070">
        <f>G109*D109</f>
        <v>4823345.477</v>
      </c>
      <c r="I109" s="1070">
        <f>G109*E109</f>
        <v>-3839592.9249999998</v>
      </c>
      <c r="J109" s="1070">
        <f>H109+I109</f>
        <v>983752.55200000014</v>
      </c>
      <c r="K109" s="1070">
        <f>K108+J109</f>
        <v>81472933.516000003</v>
      </c>
    </row>
    <row r="110" spans="1:11" x14ac:dyDescent="0.2">
      <c r="A110" s="1057">
        <f t="shared" si="6"/>
        <v>22</v>
      </c>
      <c r="B110" s="1306">
        <v>39782</v>
      </c>
      <c r="C110" s="1307"/>
      <c r="D110" s="1309">
        <v>-64936</v>
      </c>
      <c r="E110" s="1309">
        <v>-845938</v>
      </c>
      <c r="F110" s="1308">
        <f>+F108+E110+D110</f>
        <v>10092810</v>
      </c>
      <c r="G110" s="1312">
        <v>11.584</v>
      </c>
      <c r="H110" s="1070">
        <f>+D110*G110</f>
        <v>-752218.62399999995</v>
      </c>
      <c r="I110" s="1070">
        <f>+E110*G110</f>
        <v>-9799345.7919999994</v>
      </c>
      <c r="J110" s="1070"/>
      <c r="K110" s="1070">
        <f>+K108+J109+H110+I110</f>
        <v>70921369.100000009</v>
      </c>
    </row>
    <row r="111" spans="1:11" x14ac:dyDescent="0.2">
      <c r="A111" s="1057">
        <f t="shared" si="6"/>
        <v>23</v>
      </c>
      <c r="B111" s="1311" t="s">
        <v>596</v>
      </c>
      <c r="C111" s="1307"/>
      <c r="D111" s="1308">
        <f>D108+D109</f>
        <v>10451085</v>
      </c>
      <c r="E111" s="1308">
        <f>E108+E109</f>
        <v>-7686191</v>
      </c>
      <c r="F111" s="1308"/>
      <c r="G111" s="1312">
        <v>7.0000000000000007E-2</v>
      </c>
      <c r="H111" s="1070">
        <f>G111*D111</f>
        <v>731575.95000000007</v>
      </c>
      <c r="I111" s="1070">
        <f>G111*E111</f>
        <v>-538033.37</v>
      </c>
      <c r="J111" s="1070">
        <f>H111+I111</f>
        <v>193542.58000000007</v>
      </c>
      <c r="K111" s="1070">
        <f>K110+J111</f>
        <v>71114911.680000007</v>
      </c>
    </row>
    <row r="112" spans="1:11" x14ac:dyDescent="0.2">
      <c r="A112" s="1057">
        <f t="shared" si="6"/>
        <v>24</v>
      </c>
      <c r="B112" s="1306">
        <v>39813</v>
      </c>
      <c r="C112" s="1307"/>
      <c r="D112" s="1309">
        <v>11482</v>
      </c>
      <c r="E112" s="1309">
        <v>-865848</v>
      </c>
      <c r="F112" s="1308">
        <f>+F110+E112+D112</f>
        <v>9238444</v>
      </c>
      <c r="G112" s="1312">
        <v>11.529299999999999</v>
      </c>
      <c r="H112" s="1075">
        <f>+D112*G112</f>
        <v>132379.42259999999</v>
      </c>
      <c r="I112" s="1075">
        <f>+E112*G112</f>
        <v>-9982621.3464000002</v>
      </c>
      <c r="J112" s="1075"/>
      <c r="K112" s="1070">
        <f>+K110+J111+H112+I112</f>
        <v>61264669.756200008</v>
      </c>
    </row>
    <row r="113" spans="1:11" x14ac:dyDescent="0.2">
      <c r="A113" s="1057">
        <f t="shared" si="6"/>
        <v>25</v>
      </c>
      <c r="B113" s="1311" t="s">
        <v>596</v>
      </c>
      <c r="C113" s="1307"/>
      <c r="D113" s="1309">
        <f>D111+D110</f>
        <v>10386149</v>
      </c>
      <c r="E113" s="1309">
        <f>E110+E111</f>
        <v>-8532129</v>
      </c>
      <c r="F113" s="1308"/>
      <c r="G113" s="1312">
        <v>-5.4699999999999999E-2</v>
      </c>
      <c r="H113" s="1075">
        <f>G113*D113</f>
        <v>-568122.35029999993</v>
      </c>
      <c r="I113" s="1075">
        <f>G113*E113</f>
        <v>466707.45629999996</v>
      </c>
      <c r="J113" s="1075">
        <f>H113+I113</f>
        <v>-101414.89399999997</v>
      </c>
      <c r="K113" s="1075">
        <f>K112+J113</f>
        <v>61163254.862200007</v>
      </c>
    </row>
    <row r="114" spans="1:11" x14ac:dyDescent="0.2">
      <c r="A114" s="1057"/>
      <c r="B114" s="1072"/>
      <c r="C114" s="1058"/>
      <c r="D114" s="1076"/>
      <c r="E114" s="1076"/>
      <c r="F114" s="1073"/>
      <c r="G114" s="1074"/>
      <c r="H114" s="1075"/>
      <c r="I114" s="1075"/>
      <c r="J114" s="1075"/>
      <c r="K114" s="1075"/>
    </row>
    <row r="115" spans="1:11" x14ac:dyDescent="0.2">
      <c r="A115" s="1057">
        <f>A113+1</f>
        <v>26</v>
      </c>
      <c r="B115" s="1077" t="s">
        <v>597</v>
      </c>
      <c r="C115" s="1077"/>
      <c r="D115" s="1077"/>
      <c r="E115" s="1077"/>
      <c r="F115" s="1077"/>
      <c r="G115" s="1078"/>
      <c r="H115" s="1075"/>
      <c r="I115" s="1075"/>
      <c r="J115" s="1075"/>
      <c r="K115" s="1079">
        <f>ROUND((K88+K90+K93+K95+K97+K99+K101+K103+K105+K107+K109+K111+K113)/13,0)</f>
        <v>32765396</v>
      </c>
    </row>
    <row r="116" spans="1:11" x14ac:dyDescent="0.2">
      <c r="A116" s="827"/>
      <c r="B116" s="828"/>
      <c r="C116" s="827"/>
      <c r="D116" s="827"/>
      <c r="E116" s="829" t="s">
        <v>477</v>
      </c>
      <c r="F116" s="827"/>
      <c r="G116" s="827"/>
      <c r="H116" s="827"/>
      <c r="I116" s="827"/>
    </row>
    <row r="117" spans="1:11" x14ac:dyDescent="0.2">
      <c r="A117" s="827"/>
      <c r="B117" s="828"/>
      <c r="C117" s="827"/>
      <c r="D117" s="827"/>
      <c r="E117" s="829" t="str">
        <f>+Input!C4</f>
        <v>CASE NO. 2017-xxxxx</v>
      </c>
      <c r="F117" s="827"/>
      <c r="G117" s="827"/>
      <c r="H117" s="827"/>
      <c r="K117" s="879" t="s">
        <v>1017</v>
      </c>
    </row>
    <row r="118" spans="1:11" x14ac:dyDescent="0.2">
      <c r="A118" s="827"/>
      <c r="B118" s="827"/>
      <c r="C118" s="827"/>
      <c r="D118" s="827"/>
      <c r="E118" s="829" t="s">
        <v>1018</v>
      </c>
      <c r="F118" s="827"/>
      <c r="G118" s="827"/>
      <c r="H118" s="827"/>
      <c r="K118" s="879" t="s">
        <v>599</v>
      </c>
    </row>
    <row r="119" spans="1:11" x14ac:dyDescent="0.2">
      <c r="A119" s="830"/>
      <c r="B119" s="830"/>
      <c r="C119" s="830"/>
      <c r="D119" s="830"/>
      <c r="E119" s="831" t="str">
        <f>+E4</f>
        <v>12/31/16 THROUGH 12/31/17</v>
      </c>
      <c r="F119" s="830"/>
      <c r="G119" s="830"/>
      <c r="H119" s="830"/>
      <c r="I119" s="1080"/>
      <c r="J119" s="1080"/>
      <c r="K119" s="880" t="s">
        <v>1020</v>
      </c>
    </row>
    <row r="120" spans="1:11" x14ac:dyDescent="0.2">
      <c r="A120" s="827"/>
      <c r="B120" s="835"/>
      <c r="C120" s="836"/>
      <c r="D120" s="837"/>
      <c r="E120" s="852" t="s">
        <v>1045</v>
      </c>
      <c r="F120" s="837"/>
      <c r="G120" s="836"/>
      <c r="H120" s="835"/>
      <c r="I120" s="835"/>
    </row>
    <row r="121" spans="1:11" x14ac:dyDescent="0.2">
      <c r="A121" s="830"/>
      <c r="B121" s="839"/>
      <c r="C121" s="840"/>
      <c r="D121" s="841"/>
      <c r="E121" s="853" t="s">
        <v>1046</v>
      </c>
      <c r="F121" s="841"/>
      <c r="G121" s="840"/>
      <c r="H121" s="839"/>
      <c r="I121" s="839"/>
      <c r="J121" s="1080"/>
      <c r="K121" s="1080"/>
    </row>
    <row r="122" spans="1:11" x14ac:dyDescent="0.2">
      <c r="A122" s="832"/>
      <c r="B122" s="1053"/>
      <c r="C122" s="1054"/>
      <c r="D122" s="1055"/>
      <c r="E122" s="1056"/>
      <c r="F122" s="1055"/>
      <c r="G122" s="1054"/>
      <c r="H122" s="1053"/>
      <c r="I122" s="1053"/>
    </row>
    <row r="123" spans="1:11" x14ac:dyDescent="0.2">
      <c r="A123" s="1057"/>
      <c r="C123" s="1058"/>
      <c r="D123" s="1415" t="s">
        <v>598</v>
      </c>
      <c r="E123" s="1416"/>
      <c r="F123" s="1416"/>
      <c r="G123" s="1416"/>
      <c r="H123" s="1416"/>
      <c r="I123" s="1416"/>
      <c r="J123" s="1416"/>
      <c r="K123" s="1417"/>
    </row>
    <row r="124" spans="1:11" x14ac:dyDescent="0.2">
      <c r="A124" s="1057" t="s">
        <v>1768</v>
      </c>
      <c r="B124" s="1057"/>
      <c r="D124" s="1061" t="s">
        <v>589</v>
      </c>
      <c r="E124" s="1062"/>
      <c r="F124" s="1063"/>
      <c r="G124" s="1059" t="s">
        <v>590</v>
      </c>
      <c r="H124" s="1061" t="s">
        <v>591</v>
      </c>
      <c r="I124" s="1062"/>
      <c r="J124" s="1062"/>
      <c r="K124" s="1063"/>
    </row>
    <row r="125" spans="1:11" x14ac:dyDescent="0.2">
      <c r="A125" s="1060" t="s">
        <v>1771</v>
      </c>
      <c r="B125" s="1060" t="s">
        <v>592</v>
      </c>
      <c r="D125" s="1061" t="s">
        <v>593</v>
      </c>
      <c r="E125" s="1062" t="s">
        <v>594</v>
      </c>
      <c r="F125" s="1063" t="s">
        <v>1028</v>
      </c>
      <c r="G125" s="1064"/>
      <c r="H125" s="1061" t="s">
        <v>593</v>
      </c>
      <c r="I125" s="1062" t="s">
        <v>594</v>
      </c>
      <c r="J125" s="1062" t="s">
        <v>595</v>
      </c>
      <c r="K125" s="1063" t="s">
        <v>1028</v>
      </c>
    </row>
    <row r="126" spans="1:11" x14ac:dyDescent="0.2">
      <c r="A126" s="1060"/>
      <c r="B126" s="1060"/>
      <c r="D126" s="1065"/>
      <c r="E126" s="1065"/>
      <c r="F126" s="1065"/>
      <c r="G126" s="1058"/>
      <c r="H126" s="1065"/>
      <c r="I126" s="1065"/>
      <c r="J126" s="1065"/>
      <c r="K126" s="1065"/>
    </row>
    <row r="127" spans="1:11" x14ac:dyDescent="0.2">
      <c r="A127" s="1057">
        <v>1</v>
      </c>
      <c r="B127" s="1313">
        <v>39722</v>
      </c>
      <c r="C127" s="1314"/>
      <c r="D127" s="1315"/>
      <c r="E127" s="1315"/>
      <c r="F127" s="1316">
        <f>F108</f>
        <v>11003684</v>
      </c>
      <c r="G127" s="1069">
        <f>ROUND(K127/F127,4)</f>
        <v>7.4042000000000003</v>
      </c>
      <c r="H127" s="1065"/>
      <c r="I127" s="1065"/>
      <c r="J127" s="1065"/>
      <c r="K127" s="1081">
        <f>K109</f>
        <v>81472933.516000003</v>
      </c>
    </row>
    <row r="128" spans="1:11" x14ac:dyDescent="0.2">
      <c r="A128" s="1057">
        <f>A127+1</f>
        <v>2</v>
      </c>
      <c r="B128" s="1307"/>
      <c r="C128" s="1314"/>
      <c r="D128" s="1315"/>
      <c r="E128" s="1315"/>
      <c r="F128" s="1315"/>
      <c r="G128" s="1082"/>
      <c r="H128" s="1065"/>
      <c r="I128" s="1065"/>
      <c r="J128" s="1065"/>
      <c r="K128" s="1065"/>
    </row>
    <row r="129" spans="1:12" x14ac:dyDescent="0.2">
      <c r="A129" s="1057">
        <f t="shared" ref="A129:A141" si="7">A128+1</f>
        <v>3</v>
      </c>
      <c r="B129" s="1306">
        <v>39417</v>
      </c>
      <c r="C129" s="1314"/>
      <c r="D129" s="1308"/>
      <c r="E129" s="1308"/>
      <c r="F129" s="1309">
        <v>8238790</v>
      </c>
      <c r="G129" s="1069">
        <f>G127</f>
        <v>7.4042000000000003</v>
      </c>
      <c r="H129" s="1070"/>
      <c r="I129" s="1070"/>
      <c r="J129" s="1070"/>
      <c r="K129" s="1070">
        <f>F129*G129</f>
        <v>61001648.918000005</v>
      </c>
    </row>
    <row r="130" spans="1:12" x14ac:dyDescent="0.2">
      <c r="A130" s="1057">
        <f t="shared" si="7"/>
        <v>4</v>
      </c>
      <c r="B130" s="1306">
        <v>39448</v>
      </c>
      <c r="C130" s="1314"/>
      <c r="D130" s="1309">
        <v>-7460</v>
      </c>
      <c r="E130" s="1309">
        <v>-3393179</v>
      </c>
      <c r="F130" s="1308">
        <f t="shared" ref="F130:F141" si="8">+F129+E130+D130</f>
        <v>4838151</v>
      </c>
      <c r="G130" s="1069">
        <f>G127</f>
        <v>7.4042000000000003</v>
      </c>
      <c r="H130" s="1070">
        <f t="shared" ref="H130:H141" si="9">+D130*G130</f>
        <v>-55235.332000000002</v>
      </c>
      <c r="I130" s="1070">
        <f t="shared" ref="I130:I141" si="10">+E130*G130</f>
        <v>-25123775.9518</v>
      </c>
      <c r="J130" s="1070"/>
      <c r="K130" s="1070">
        <f>+K129+H130+I130</f>
        <v>35822637.634200007</v>
      </c>
    </row>
    <row r="131" spans="1:12" x14ac:dyDescent="0.2">
      <c r="A131" s="1057">
        <f t="shared" si="7"/>
        <v>5</v>
      </c>
      <c r="B131" s="1306">
        <v>39479</v>
      </c>
      <c r="C131" s="1314"/>
      <c r="D131" s="1309">
        <v>28374</v>
      </c>
      <c r="E131" s="1309">
        <v>-2485139</v>
      </c>
      <c r="F131" s="1308">
        <f t="shared" si="8"/>
        <v>2381386</v>
      </c>
      <c r="G131" s="1069">
        <f>+G130</f>
        <v>7.4042000000000003</v>
      </c>
      <c r="H131" s="1070">
        <f t="shared" si="9"/>
        <v>210086.7708</v>
      </c>
      <c r="I131" s="1070">
        <f t="shared" si="10"/>
        <v>-18400466.183800001</v>
      </c>
      <c r="J131" s="1070"/>
      <c r="K131" s="1070">
        <f t="shared" ref="K131:K141" si="11">+K130+H131+I131</f>
        <v>17632258.221200008</v>
      </c>
    </row>
    <row r="132" spans="1:12" x14ac:dyDescent="0.2">
      <c r="A132" s="1057">
        <f t="shared" si="7"/>
        <v>6</v>
      </c>
      <c r="B132" s="1306">
        <v>39508</v>
      </c>
      <c r="C132" s="1314"/>
      <c r="D132" s="1309">
        <v>198810</v>
      </c>
      <c r="E132" s="1309">
        <v>-1469664</v>
      </c>
      <c r="F132" s="1308">
        <f t="shared" si="8"/>
        <v>1110532</v>
      </c>
      <c r="G132" s="1069">
        <f t="shared" ref="G132:G141" si="12">+G131</f>
        <v>7.4042000000000003</v>
      </c>
      <c r="H132" s="1070">
        <f t="shared" si="9"/>
        <v>1472029.0020000001</v>
      </c>
      <c r="I132" s="1070">
        <f t="shared" si="10"/>
        <v>-10881686.1888</v>
      </c>
      <c r="J132" s="1070"/>
      <c r="K132" s="1070">
        <f t="shared" si="11"/>
        <v>8222601.0344000086</v>
      </c>
    </row>
    <row r="133" spans="1:12" x14ac:dyDescent="0.2">
      <c r="A133" s="1057">
        <f t="shared" si="7"/>
        <v>7</v>
      </c>
      <c r="B133" s="1306">
        <v>39539</v>
      </c>
      <c r="C133" s="1314"/>
      <c r="D133" s="1309">
        <v>851463</v>
      </c>
      <c r="E133" s="1309">
        <v>-170336</v>
      </c>
      <c r="F133" s="1308">
        <f t="shared" si="8"/>
        <v>1791659</v>
      </c>
      <c r="G133" s="1069">
        <f t="shared" si="12"/>
        <v>7.4042000000000003</v>
      </c>
      <c r="H133" s="1070">
        <f t="shared" si="9"/>
        <v>6304402.3446000004</v>
      </c>
      <c r="I133" s="1070">
        <f t="shared" si="10"/>
        <v>-1261201.8112000001</v>
      </c>
      <c r="J133" s="1070"/>
      <c r="K133" s="1070">
        <f t="shared" si="11"/>
        <v>13265801.567800008</v>
      </c>
    </row>
    <row r="134" spans="1:12" x14ac:dyDescent="0.2">
      <c r="A134" s="1057">
        <f t="shared" si="7"/>
        <v>8</v>
      </c>
      <c r="B134" s="1306">
        <v>39569</v>
      </c>
      <c r="C134" s="1314"/>
      <c r="D134" s="1309">
        <v>1877996</v>
      </c>
      <c r="E134" s="1309">
        <v>-1921</v>
      </c>
      <c r="F134" s="1308">
        <f t="shared" si="8"/>
        <v>3667734</v>
      </c>
      <c r="G134" s="1069">
        <f t="shared" si="12"/>
        <v>7.4042000000000003</v>
      </c>
      <c r="H134" s="1070">
        <f t="shared" si="9"/>
        <v>13905057.983200001</v>
      </c>
      <c r="I134" s="1070">
        <f t="shared" si="10"/>
        <v>-14223.468200000001</v>
      </c>
      <c r="J134" s="1070"/>
      <c r="K134" s="1070">
        <f t="shared" si="11"/>
        <v>27156636.082800008</v>
      </c>
    </row>
    <row r="135" spans="1:12" x14ac:dyDescent="0.2">
      <c r="A135" s="1057">
        <f t="shared" si="7"/>
        <v>9</v>
      </c>
      <c r="B135" s="1306">
        <v>39600</v>
      </c>
      <c r="C135" s="1314"/>
      <c r="D135" s="1309">
        <v>1785822</v>
      </c>
      <c r="E135" s="1309">
        <v>0</v>
      </c>
      <c r="F135" s="1308">
        <f t="shared" si="8"/>
        <v>5453556</v>
      </c>
      <c r="G135" s="1069">
        <f t="shared" si="12"/>
        <v>7.4042000000000003</v>
      </c>
      <c r="H135" s="1070">
        <f t="shared" si="9"/>
        <v>13222583.252400002</v>
      </c>
      <c r="I135" s="1070">
        <f t="shared" si="10"/>
        <v>0</v>
      </c>
      <c r="J135" s="1070"/>
      <c r="K135" s="1070">
        <f t="shared" si="11"/>
        <v>40379219.335200012</v>
      </c>
    </row>
    <row r="136" spans="1:12" x14ac:dyDescent="0.2">
      <c r="A136" s="1057">
        <f t="shared" si="7"/>
        <v>10</v>
      </c>
      <c r="B136" s="1306">
        <v>39630</v>
      </c>
      <c r="C136" s="1314"/>
      <c r="D136" s="1309">
        <v>2118057</v>
      </c>
      <c r="E136" s="1309">
        <v>0</v>
      </c>
      <c r="F136" s="1308">
        <f t="shared" si="8"/>
        <v>7571613</v>
      </c>
      <c r="G136" s="1069">
        <f t="shared" si="12"/>
        <v>7.4042000000000003</v>
      </c>
      <c r="H136" s="1070">
        <f t="shared" si="9"/>
        <v>15682517.639400002</v>
      </c>
      <c r="I136" s="1070">
        <f t="shared" si="10"/>
        <v>0</v>
      </c>
      <c r="J136" s="1070"/>
      <c r="K136" s="1070">
        <f t="shared" si="11"/>
        <v>56061736.974600017</v>
      </c>
    </row>
    <row r="137" spans="1:12" x14ac:dyDescent="0.2">
      <c r="A137" s="1057">
        <f t="shared" si="7"/>
        <v>11</v>
      </c>
      <c r="B137" s="1306">
        <v>39661</v>
      </c>
      <c r="C137" s="1314"/>
      <c r="D137" s="1309">
        <v>1517643</v>
      </c>
      <c r="E137" s="1309">
        <v>0</v>
      </c>
      <c r="F137" s="1308">
        <f t="shared" si="8"/>
        <v>9089256</v>
      </c>
      <c r="G137" s="1069">
        <f t="shared" si="12"/>
        <v>7.4042000000000003</v>
      </c>
      <c r="H137" s="1070">
        <f t="shared" si="9"/>
        <v>11236932.3006</v>
      </c>
      <c r="I137" s="1070">
        <f t="shared" si="10"/>
        <v>0</v>
      </c>
      <c r="J137" s="1070"/>
      <c r="K137" s="1070">
        <f t="shared" si="11"/>
        <v>67298669.275200009</v>
      </c>
    </row>
    <row r="138" spans="1:12" x14ac:dyDescent="0.2">
      <c r="A138" s="1057">
        <f t="shared" si="7"/>
        <v>12</v>
      </c>
      <c r="B138" s="1306">
        <v>39692</v>
      </c>
      <c r="C138" s="1314"/>
      <c r="D138" s="1309">
        <v>1295318</v>
      </c>
      <c r="E138" s="1309">
        <v>-174336</v>
      </c>
      <c r="F138" s="1308">
        <f t="shared" si="8"/>
        <v>10210238</v>
      </c>
      <c r="G138" s="1069">
        <f t="shared" si="12"/>
        <v>7.4042000000000003</v>
      </c>
      <c r="H138" s="1070">
        <f t="shared" si="9"/>
        <v>9590793.535600001</v>
      </c>
      <c r="I138" s="1070">
        <f t="shared" si="10"/>
        <v>-1290818.6112000002</v>
      </c>
      <c r="J138" s="1070"/>
      <c r="K138" s="1070">
        <f t="shared" si="11"/>
        <v>75598644.199600011</v>
      </c>
    </row>
    <row r="139" spans="1:12" x14ac:dyDescent="0.2">
      <c r="A139" s="1057">
        <f t="shared" si="7"/>
        <v>13</v>
      </c>
      <c r="B139" s="1306">
        <v>39722</v>
      </c>
      <c r="C139" s="1314"/>
      <c r="D139" s="1309">
        <v>785062</v>
      </c>
      <c r="E139" s="1309">
        <v>8384</v>
      </c>
      <c r="F139" s="1308">
        <f t="shared" si="8"/>
        <v>11003684</v>
      </c>
      <c r="G139" s="1069">
        <f t="shared" si="12"/>
        <v>7.4042000000000003</v>
      </c>
      <c r="H139" s="1070">
        <f t="shared" si="9"/>
        <v>5812756.0603999998</v>
      </c>
      <c r="I139" s="1070">
        <f t="shared" si="10"/>
        <v>62076.8128</v>
      </c>
      <c r="J139" s="1070"/>
      <c r="K139" s="1070">
        <f t="shared" si="11"/>
        <v>81473477.07280001</v>
      </c>
    </row>
    <row r="140" spans="1:12" x14ac:dyDescent="0.2">
      <c r="A140" s="1057">
        <f t="shared" si="7"/>
        <v>14</v>
      </c>
      <c r="B140" s="1306">
        <v>39753</v>
      </c>
      <c r="C140" s="1314"/>
      <c r="D140" s="1309">
        <v>-64936</v>
      </c>
      <c r="E140" s="1309">
        <v>-845938</v>
      </c>
      <c r="F140" s="1308">
        <f t="shared" si="8"/>
        <v>10092810</v>
      </c>
      <c r="G140" s="1069">
        <f t="shared" si="12"/>
        <v>7.4042000000000003</v>
      </c>
      <c r="H140" s="1070">
        <f t="shared" si="9"/>
        <v>-480799.1312</v>
      </c>
      <c r="I140" s="1070">
        <f t="shared" si="10"/>
        <v>-6263494.1396000003</v>
      </c>
      <c r="J140" s="1070"/>
      <c r="K140" s="1070">
        <f t="shared" si="11"/>
        <v>74729183.802000016</v>
      </c>
    </row>
    <row r="141" spans="1:12" x14ac:dyDescent="0.2">
      <c r="A141" s="1057">
        <f t="shared" si="7"/>
        <v>15</v>
      </c>
      <c r="B141" s="1306">
        <v>39783</v>
      </c>
      <c r="C141" s="1314"/>
      <c r="D141" s="1309">
        <v>11482</v>
      </c>
      <c r="E141" s="1309">
        <v>-865848</v>
      </c>
      <c r="F141" s="1308">
        <f t="shared" si="8"/>
        <v>9238444</v>
      </c>
      <c r="G141" s="1069">
        <f t="shared" si="12"/>
        <v>7.4042000000000003</v>
      </c>
      <c r="H141" s="1070">
        <f t="shared" si="9"/>
        <v>85015.024400000009</v>
      </c>
      <c r="I141" s="1070">
        <f t="shared" si="10"/>
        <v>-6410911.7615999999</v>
      </c>
      <c r="J141" s="1070"/>
      <c r="K141" s="1070">
        <f t="shared" si="11"/>
        <v>68403287.064800009</v>
      </c>
    </row>
    <row r="142" spans="1:12" x14ac:dyDescent="0.2">
      <c r="A142" s="1057"/>
      <c r="C142" s="1066"/>
      <c r="D142" s="1068"/>
      <c r="E142" s="1068"/>
      <c r="F142" s="1067"/>
      <c r="G142" s="1069"/>
      <c r="H142" s="1070"/>
      <c r="I142" s="1070"/>
      <c r="J142" s="1070"/>
      <c r="K142" s="1070"/>
    </row>
    <row r="143" spans="1:12" x14ac:dyDescent="0.2">
      <c r="A143" s="1057">
        <f>A141+1</f>
        <v>16</v>
      </c>
      <c r="C143" s="1077" t="s">
        <v>597</v>
      </c>
      <c r="D143" s="1058"/>
      <c r="E143" s="1058"/>
      <c r="F143" s="1058"/>
      <c r="G143" s="1058"/>
      <c r="H143" s="1069"/>
      <c r="I143" s="1070"/>
      <c r="J143" s="1070"/>
      <c r="K143" s="1083">
        <f>ROUND(SUM(K129:K141)/13,0)</f>
        <v>48234292</v>
      </c>
    </row>
    <row r="144" spans="1:12" x14ac:dyDescent="0.2">
      <c r="A144" s="832"/>
      <c r="B144" s="1057"/>
      <c r="C144" s="1058"/>
      <c r="D144" s="1058"/>
      <c r="E144" s="1058"/>
      <c r="F144" s="1058"/>
      <c r="G144" s="1058"/>
      <c r="H144" s="1058"/>
      <c r="I144" s="1058"/>
      <c r="J144" s="1058"/>
      <c r="K144" s="1058"/>
      <c r="L144" s="1058"/>
    </row>
    <row r="145" spans="1:9" x14ac:dyDescent="0.2">
      <c r="A145" s="832"/>
      <c r="B145" s="1053"/>
      <c r="C145" s="1054"/>
      <c r="D145" s="1055"/>
      <c r="E145" s="1056"/>
      <c r="F145" s="1055"/>
      <c r="G145" s="1054"/>
      <c r="H145" s="1053"/>
      <c r="I145" s="1053"/>
    </row>
    <row r="146" spans="1:9" x14ac:dyDescent="0.2">
      <c r="A146" s="832"/>
      <c r="B146" s="1053"/>
      <c r="C146" s="1054"/>
      <c r="D146" s="1055"/>
      <c r="E146" s="1056"/>
      <c r="F146" s="1055"/>
      <c r="G146" s="1054"/>
      <c r="H146" s="1053"/>
      <c r="I146" s="1053"/>
    </row>
    <row r="147" spans="1:9" x14ac:dyDescent="0.2">
      <c r="A147" s="832"/>
      <c r="B147" s="1053"/>
      <c r="C147" s="1054"/>
      <c r="D147" s="1055"/>
      <c r="E147" s="1056"/>
      <c r="F147" s="1055"/>
      <c r="G147" s="1054"/>
      <c r="H147" s="1053"/>
      <c r="I147" s="1053"/>
    </row>
    <row r="148" spans="1:9" x14ac:dyDescent="0.2">
      <c r="A148" s="832"/>
      <c r="B148" s="1053"/>
      <c r="C148" s="1054"/>
      <c r="D148" s="1055"/>
      <c r="E148" s="1056"/>
      <c r="F148" s="1055"/>
      <c r="G148" s="1054"/>
      <c r="H148" s="1053"/>
      <c r="I148" s="1053"/>
    </row>
    <row r="149" spans="1:9" x14ac:dyDescent="0.2">
      <c r="A149" s="832"/>
      <c r="B149" s="1053"/>
      <c r="C149" s="1054"/>
      <c r="D149" s="1055"/>
      <c r="E149" s="1056"/>
      <c r="F149" s="1055"/>
      <c r="G149" s="1054"/>
      <c r="H149" s="1053"/>
      <c r="I149" s="1053"/>
    </row>
    <row r="150" spans="1:9" x14ac:dyDescent="0.2">
      <c r="A150" s="832"/>
      <c r="B150" s="1053"/>
      <c r="C150" s="1054"/>
      <c r="D150" s="1055"/>
      <c r="E150" s="1056"/>
      <c r="F150" s="1055"/>
      <c r="G150" s="1054"/>
      <c r="H150" s="1053"/>
      <c r="I150" s="1053"/>
    </row>
    <row r="151" spans="1:9" x14ac:dyDescent="0.2">
      <c r="A151" s="832"/>
      <c r="B151" s="1053"/>
      <c r="C151" s="1054"/>
      <c r="D151" s="1055"/>
      <c r="E151" s="1056"/>
      <c r="F151" s="1055"/>
      <c r="G151" s="1054"/>
      <c r="H151" s="1053"/>
      <c r="I151" s="1053"/>
    </row>
    <row r="152" spans="1:9" x14ac:dyDescent="0.2">
      <c r="A152" s="832"/>
      <c r="B152" s="1053"/>
      <c r="C152" s="1054"/>
      <c r="D152" s="1055"/>
      <c r="E152" s="1056"/>
      <c r="F152" s="1055"/>
      <c r="G152" s="1054"/>
      <c r="H152" s="1053"/>
      <c r="I152" s="1053"/>
    </row>
    <row r="153" spans="1:9" x14ac:dyDescent="0.2">
      <c r="A153" s="832"/>
      <c r="B153" s="1053"/>
      <c r="C153" s="1054"/>
      <c r="D153" s="1055"/>
      <c r="E153" s="1056"/>
      <c r="F153" s="1055"/>
      <c r="G153" s="1054"/>
      <c r="H153" s="1053"/>
      <c r="I153" s="1053"/>
    </row>
    <row r="154" spans="1:9" x14ac:dyDescent="0.2">
      <c r="A154" s="832"/>
      <c r="B154" s="1053"/>
      <c r="C154" s="1054"/>
      <c r="D154" s="1055"/>
      <c r="E154" s="1056"/>
      <c r="F154" s="1055"/>
      <c r="G154" s="1054"/>
      <c r="H154" s="1053"/>
      <c r="I154" s="1053"/>
    </row>
    <row r="155" spans="1:9" x14ac:dyDescent="0.2">
      <c r="A155" s="832"/>
      <c r="B155" s="1053"/>
      <c r="C155" s="1054"/>
      <c r="D155" s="1055"/>
      <c r="E155" s="1056"/>
      <c r="F155" s="1055"/>
      <c r="G155" s="1054"/>
      <c r="H155" s="1053"/>
      <c r="I155" s="1053"/>
    </row>
    <row r="156" spans="1:9" x14ac:dyDescent="0.2">
      <c r="A156" s="832"/>
      <c r="B156" s="1053"/>
      <c r="C156" s="1054"/>
      <c r="D156" s="1055"/>
      <c r="E156" s="1056"/>
      <c r="F156" s="1055"/>
      <c r="G156" s="1054"/>
      <c r="H156" s="1053"/>
      <c r="I156" s="1053"/>
    </row>
    <row r="157" spans="1:9" x14ac:dyDescent="0.2">
      <c r="A157" s="832"/>
      <c r="B157" s="1053"/>
      <c r="C157" s="1054"/>
      <c r="D157" s="1055"/>
      <c r="E157" s="1056"/>
      <c r="F157" s="1055"/>
      <c r="G157" s="1054"/>
      <c r="H157" s="1053"/>
      <c r="I157" s="1053"/>
    </row>
    <row r="158" spans="1:9" x14ac:dyDescent="0.2">
      <c r="A158" s="832"/>
      <c r="B158" s="1053"/>
      <c r="C158" s="1054"/>
      <c r="D158" s="1055"/>
      <c r="E158" s="1056"/>
      <c r="F158" s="1055"/>
      <c r="G158" s="1054"/>
      <c r="H158" s="1053"/>
      <c r="I158" s="1053"/>
    </row>
    <row r="159" spans="1:9" x14ac:dyDescent="0.2">
      <c r="A159" s="832"/>
      <c r="B159" s="1053"/>
      <c r="C159" s="1054"/>
      <c r="D159" s="1055"/>
      <c r="E159" s="1056"/>
      <c r="F159" s="1055"/>
      <c r="G159" s="1054"/>
      <c r="H159" s="1053"/>
      <c r="I159" s="1053"/>
    </row>
    <row r="160" spans="1:9" x14ac:dyDescent="0.2">
      <c r="A160" s="832"/>
      <c r="B160" s="1053"/>
      <c r="C160" s="1054"/>
      <c r="D160" s="1055"/>
      <c r="E160" s="1056"/>
      <c r="F160" s="1055"/>
      <c r="G160" s="1054"/>
      <c r="H160" s="1053"/>
      <c r="I160" s="1053"/>
    </row>
    <row r="161" spans="1:9" x14ac:dyDescent="0.2">
      <c r="A161" s="832"/>
      <c r="B161" s="1053"/>
      <c r="C161" s="1054"/>
      <c r="D161" s="1055"/>
      <c r="E161" s="1056"/>
      <c r="F161" s="1055"/>
      <c r="G161" s="1054"/>
      <c r="H161" s="1053"/>
      <c r="I161" s="1053"/>
    </row>
    <row r="162" spans="1:9" x14ac:dyDescent="0.2">
      <c r="A162" s="832"/>
      <c r="B162" s="1053"/>
      <c r="C162" s="1054"/>
      <c r="D162" s="1055"/>
      <c r="E162" s="1056"/>
      <c r="F162" s="1055"/>
      <c r="G162" s="1054"/>
      <c r="H162" s="1053"/>
      <c r="I162" s="1053"/>
    </row>
    <row r="163" spans="1:9" x14ac:dyDescent="0.2">
      <c r="A163" s="832"/>
      <c r="B163" s="1053"/>
      <c r="C163" s="1054"/>
      <c r="D163" s="1055"/>
      <c r="E163" s="1056"/>
      <c r="F163" s="1055"/>
      <c r="G163" s="1054"/>
      <c r="H163" s="1053"/>
      <c r="I163" s="1053"/>
    </row>
    <row r="164" spans="1:9" x14ac:dyDescent="0.2">
      <c r="A164" s="832"/>
      <c r="B164" s="1053"/>
      <c r="C164" s="1054"/>
      <c r="D164" s="1055"/>
      <c r="E164" s="1056"/>
      <c r="F164" s="1055"/>
      <c r="G164" s="1054"/>
      <c r="H164" s="1053"/>
      <c r="I164" s="1053"/>
    </row>
    <row r="165" spans="1:9" x14ac:dyDescent="0.2">
      <c r="A165" s="832"/>
      <c r="B165" s="1053"/>
      <c r="C165" s="1054"/>
      <c r="D165" s="1055"/>
      <c r="E165" s="1056"/>
      <c r="F165" s="1055"/>
      <c r="G165" s="1054"/>
      <c r="H165" s="1053"/>
      <c r="I165" s="1053"/>
    </row>
    <row r="166" spans="1:9" x14ac:dyDescent="0.2">
      <c r="A166" s="832"/>
      <c r="B166" s="1053"/>
      <c r="C166" s="1054"/>
      <c r="D166" s="1055"/>
      <c r="E166" s="1056"/>
      <c r="F166" s="1055"/>
      <c r="G166" s="1054"/>
      <c r="H166" s="1053"/>
      <c r="I166" s="1053"/>
    </row>
    <row r="167" spans="1:9" x14ac:dyDescent="0.2">
      <c r="A167" s="832"/>
      <c r="B167" s="1053"/>
      <c r="C167" s="1054"/>
      <c r="D167" s="1055"/>
      <c r="E167" s="1056"/>
      <c r="F167" s="1055"/>
      <c r="G167" s="1054"/>
      <c r="H167" s="1053"/>
      <c r="I167" s="1053"/>
    </row>
    <row r="168" spans="1:9" x14ac:dyDescent="0.2">
      <c r="A168" s="832"/>
      <c r="B168" s="1053"/>
      <c r="C168" s="1054"/>
      <c r="D168" s="1055"/>
      <c r="E168" s="1056"/>
      <c r="F168" s="1055"/>
      <c r="G168" s="1054"/>
      <c r="H168" s="1053"/>
      <c r="I168" s="1053"/>
    </row>
    <row r="169" spans="1:9" x14ac:dyDescent="0.2">
      <c r="A169" s="832"/>
      <c r="B169" s="1053"/>
      <c r="C169" s="1054"/>
      <c r="D169" s="1055"/>
      <c r="E169" s="1056"/>
      <c r="F169" s="1055"/>
      <c r="G169" s="1054"/>
      <c r="H169" s="1053"/>
      <c r="I169" s="1053"/>
    </row>
    <row r="170" spans="1:9" x14ac:dyDescent="0.2">
      <c r="A170" s="832"/>
      <c r="B170" s="1053"/>
      <c r="C170" s="1054"/>
      <c r="D170" s="1055"/>
      <c r="E170" s="1056"/>
      <c r="F170" s="1055"/>
      <c r="G170" s="1054"/>
      <c r="H170" s="1053"/>
      <c r="I170" s="1053"/>
    </row>
    <row r="171" spans="1:9" x14ac:dyDescent="0.2">
      <c r="A171" s="832"/>
      <c r="B171" s="1053"/>
      <c r="C171" s="1054"/>
      <c r="D171" s="1055"/>
      <c r="E171" s="1056"/>
      <c r="F171" s="1055"/>
      <c r="G171" s="1054"/>
      <c r="H171" s="1053"/>
      <c r="I171" s="1053"/>
    </row>
    <row r="172" spans="1:9" x14ac:dyDescent="0.2">
      <c r="A172" s="832"/>
      <c r="B172" s="1053"/>
      <c r="C172" s="1054"/>
      <c r="D172" s="1055"/>
      <c r="E172" s="1056"/>
      <c r="F172" s="1055"/>
      <c r="G172" s="1054"/>
      <c r="H172" s="1053"/>
      <c r="I172" s="1053"/>
    </row>
    <row r="173" spans="1:9" x14ac:dyDescent="0.2">
      <c r="A173" s="832"/>
      <c r="B173" s="1053"/>
      <c r="C173" s="1054"/>
      <c r="D173" s="1055"/>
      <c r="E173" s="1056"/>
      <c r="F173" s="1055"/>
      <c r="G173" s="1054"/>
      <c r="H173" s="1053"/>
      <c r="I173" s="1053"/>
    </row>
    <row r="174" spans="1:9" x14ac:dyDescent="0.2">
      <c r="A174" s="832"/>
      <c r="B174" s="1053"/>
      <c r="C174" s="1054"/>
      <c r="D174" s="1055"/>
      <c r="E174" s="1056"/>
      <c r="F174" s="1055"/>
      <c r="G174" s="1054"/>
      <c r="H174" s="1053"/>
      <c r="I174" s="1053"/>
    </row>
    <row r="175" spans="1:9" x14ac:dyDescent="0.2">
      <c r="A175" s="832"/>
      <c r="B175" s="1053"/>
      <c r="C175" s="1054"/>
      <c r="D175" s="1055"/>
      <c r="E175" s="1056"/>
      <c r="F175" s="1055"/>
      <c r="G175" s="1054"/>
      <c r="H175" s="1053"/>
      <c r="I175" s="1053"/>
    </row>
    <row r="176" spans="1:9" x14ac:dyDescent="0.2">
      <c r="A176" s="832"/>
      <c r="B176" s="1053"/>
      <c r="C176" s="1054"/>
      <c r="D176" s="1055"/>
      <c r="E176" s="1056"/>
      <c r="F176" s="1055"/>
      <c r="G176" s="1054"/>
      <c r="H176" s="1053"/>
      <c r="I176" s="1053"/>
    </row>
    <row r="177" spans="1:9" x14ac:dyDescent="0.2">
      <c r="A177" s="832"/>
      <c r="B177" s="1053"/>
      <c r="C177" s="1054"/>
      <c r="D177" s="1055"/>
      <c r="E177" s="1056"/>
      <c r="F177" s="1055"/>
      <c r="G177" s="1054"/>
      <c r="H177" s="1053"/>
      <c r="I177" s="1053"/>
    </row>
    <row r="178" spans="1:9" x14ac:dyDescent="0.2">
      <c r="A178" s="832"/>
      <c r="B178" s="1053"/>
      <c r="C178" s="1054"/>
      <c r="D178" s="1055"/>
      <c r="E178" s="1056"/>
      <c r="F178" s="1055"/>
      <c r="G178" s="1054"/>
      <c r="H178" s="1053"/>
      <c r="I178" s="1053"/>
    </row>
    <row r="179" spans="1:9" x14ac:dyDescent="0.2">
      <c r="A179" s="832"/>
      <c r="B179" s="1053"/>
      <c r="C179" s="1054"/>
      <c r="D179" s="1055"/>
      <c r="E179" s="1056"/>
      <c r="F179" s="1055"/>
      <c r="G179" s="1054"/>
      <c r="H179" s="1053"/>
      <c r="I179" s="1053"/>
    </row>
    <row r="180" spans="1:9" x14ac:dyDescent="0.2">
      <c r="A180" s="832"/>
      <c r="B180" s="1053"/>
      <c r="C180" s="1054"/>
      <c r="D180" s="1055"/>
      <c r="E180" s="1056"/>
      <c r="F180" s="1055"/>
      <c r="G180" s="1054"/>
      <c r="H180" s="1053"/>
      <c r="I180" s="1053"/>
    </row>
    <row r="181" spans="1:9" x14ac:dyDescent="0.2">
      <c r="A181" s="832"/>
      <c r="B181" s="1053"/>
      <c r="C181" s="1054"/>
      <c r="D181" s="1055"/>
      <c r="E181" s="1056"/>
      <c r="F181" s="1055"/>
      <c r="G181" s="1054"/>
      <c r="H181" s="1053"/>
      <c r="I181" s="1053"/>
    </row>
    <row r="182" spans="1:9" x14ac:dyDescent="0.2">
      <c r="A182" s="832"/>
      <c r="B182" s="1053"/>
      <c r="C182" s="1054"/>
      <c r="D182" s="1055"/>
      <c r="E182" s="1056"/>
      <c r="F182" s="1055"/>
      <c r="G182" s="1054"/>
      <c r="H182" s="1053"/>
      <c r="I182" s="1053"/>
    </row>
    <row r="183" spans="1:9" x14ac:dyDescent="0.2">
      <c r="A183" s="832"/>
      <c r="B183" s="1053"/>
      <c r="C183" s="1054"/>
      <c r="D183" s="1055"/>
      <c r="E183" s="1056"/>
      <c r="F183" s="1055"/>
      <c r="G183" s="1054"/>
      <c r="H183" s="1053"/>
      <c r="I183" s="1053"/>
    </row>
    <row r="184" spans="1:9" x14ac:dyDescent="0.2">
      <c r="A184" s="832"/>
      <c r="B184" s="1053"/>
      <c r="C184" s="1054"/>
      <c r="D184" s="1055"/>
      <c r="E184" s="1056"/>
      <c r="F184" s="1055"/>
      <c r="G184" s="1054"/>
      <c r="H184" s="1053"/>
      <c r="I184" s="1053"/>
    </row>
    <row r="185" spans="1:9" x14ac:dyDescent="0.2">
      <c r="A185" s="832"/>
      <c r="B185" s="1053"/>
      <c r="C185" s="1054"/>
      <c r="D185" s="1055"/>
      <c r="E185" s="1056"/>
      <c r="F185" s="1055"/>
      <c r="G185" s="1054"/>
      <c r="H185" s="1053"/>
      <c r="I185" s="1053"/>
    </row>
    <row r="186" spans="1:9" x14ac:dyDescent="0.2">
      <c r="A186" s="832"/>
      <c r="B186" s="1053"/>
      <c r="C186" s="1054"/>
      <c r="D186" s="1055"/>
      <c r="E186" s="1056"/>
      <c r="F186" s="1055"/>
      <c r="G186" s="1054"/>
      <c r="H186" s="1053"/>
      <c r="I186" s="1053"/>
    </row>
    <row r="187" spans="1:9" x14ac:dyDescent="0.2">
      <c r="A187" s="832"/>
      <c r="B187" s="1053"/>
      <c r="C187" s="1054"/>
      <c r="D187" s="1055"/>
      <c r="E187" s="1056"/>
      <c r="F187" s="1055"/>
      <c r="G187" s="1054"/>
      <c r="H187" s="1053"/>
      <c r="I187" s="1053"/>
    </row>
    <row r="188" spans="1:9" x14ac:dyDescent="0.2">
      <c r="A188" s="832"/>
      <c r="B188" s="1053"/>
      <c r="C188" s="1054"/>
      <c r="D188" s="1055"/>
      <c r="E188" s="1056"/>
      <c r="F188" s="1055"/>
      <c r="G188" s="1054"/>
      <c r="H188" s="1053"/>
      <c r="I188" s="1053"/>
    </row>
    <row r="189" spans="1:9" x14ac:dyDescent="0.2">
      <c r="A189" s="832"/>
      <c r="B189" s="1053"/>
      <c r="C189" s="1054"/>
      <c r="D189" s="1055"/>
      <c r="E189" s="1056"/>
      <c r="F189" s="1055"/>
      <c r="G189" s="1054"/>
      <c r="H189" s="1053"/>
      <c r="I189" s="1053"/>
    </row>
    <row r="190" spans="1:9" x14ac:dyDescent="0.2">
      <c r="A190" s="832"/>
      <c r="B190" s="1053"/>
      <c r="C190" s="1054"/>
      <c r="D190" s="1055"/>
      <c r="E190" s="1056"/>
      <c r="F190" s="1055"/>
      <c r="G190" s="1054"/>
      <c r="H190" s="1053"/>
      <c r="I190" s="1053"/>
    </row>
    <row r="191" spans="1:9" x14ac:dyDescent="0.2">
      <c r="A191" s="832"/>
      <c r="B191" s="1053"/>
      <c r="C191" s="1054"/>
      <c r="D191" s="1055"/>
      <c r="E191" s="1056"/>
      <c r="F191" s="1055"/>
      <c r="G191" s="1054"/>
      <c r="H191" s="1053"/>
      <c r="I191" s="1053"/>
    </row>
    <row r="192" spans="1:9" x14ac:dyDescent="0.2">
      <c r="A192" s="832"/>
      <c r="B192" s="1053"/>
      <c r="C192" s="1054"/>
      <c r="D192" s="1055"/>
      <c r="E192" s="1056"/>
      <c r="F192" s="1055"/>
      <c r="G192" s="1054"/>
      <c r="H192" s="1053"/>
      <c r="I192" s="1053"/>
    </row>
    <row r="193" spans="1:9" x14ac:dyDescent="0.2">
      <c r="A193" s="832"/>
      <c r="B193" s="1053"/>
      <c r="C193" s="1054"/>
      <c r="D193" s="1055"/>
      <c r="E193" s="1056"/>
      <c r="F193" s="1055"/>
      <c r="G193" s="1054"/>
      <c r="H193" s="1053"/>
      <c r="I193" s="1053"/>
    </row>
    <row r="194" spans="1:9" x14ac:dyDescent="0.2">
      <c r="A194" s="832"/>
      <c r="B194" s="1053"/>
      <c r="C194" s="1054"/>
      <c r="D194" s="1055"/>
      <c r="E194" s="1056"/>
      <c r="F194" s="1055"/>
      <c r="G194" s="1054"/>
      <c r="H194" s="1053"/>
      <c r="I194" s="1053"/>
    </row>
    <row r="195" spans="1:9" x14ac:dyDescent="0.2">
      <c r="A195" s="832"/>
      <c r="B195" s="1053"/>
      <c r="C195" s="1054"/>
      <c r="D195" s="1055"/>
      <c r="E195" s="1056"/>
      <c r="F195" s="1055"/>
      <c r="G195" s="1054"/>
      <c r="H195" s="1053"/>
      <c r="I195" s="1053"/>
    </row>
    <row r="196" spans="1:9" x14ac:dyDescent="0.2">
      <c r="A196" s="832"/>
      <c r="B196" s="1053"/>
      <c r="C196" s="1054"/>
      <c r="D196" s="1055"/>
      <c r="E196" s="1056"/>
      <c r="F196" s="1055"/>
      <c r="G196" s="1054"/>
      <c r="H196" s="1053"/>
      <c r="I196" s="1053"/>
    </row>
    <row r="197" spans="1:9" x14ac:dyDescent="0.2">
      <c r="A197" s="832"/>
      <c r="B197" s="1053"/>
      <c r="C197" s="1054"/>
      <c r="D197" s="1055"/>
      <c r="E197" s="1056"/>
      <c r="F197" s="1055"/>
      <c r="G197" s="1054"/>
      <c r="H197" s="1053"/>
      <c r="I197" s="1053"/>
    </row>
    <row r="198" spans="1:9" x14ac:dyDescent="0.2">
      <c r="A198" s="832"/>
      <c r="B198" s="1053"/>
      <c r="C198" s="1054"/>
      <c r="D198" s="1055"/>
      <c r="E198" s="1056"/>
      <c r="F198" s="1055"/>
      <c r="G198" s="1054"/>
      <c r="H198" s="1053"/>
      <c r="I198" s="1053"/>
    </row>
    <row r="199" spans="1:9" x14ac:dyDescent="0.2">
      <c r="A199" s="832"/>
      <c r="B199" s="1053"/>
      <c r="C199" s="1054"/>
      <c r="D199" s="1055"/>
      <c r="E199" s="1056"/>
      <c r="F199" s="1055"/>
      <c r="G199" s="1054"/>
      <c r="H199" s="1053"/>
      <c r="I199" s="1053"/>
    </row>
    <row r="200" spans="1:9" x14ac:dyDescent="0.2">
      <c r="A200" s="832"/>
      <c r="B200" s="1053"/>
      <c r="C200" s="1054"/>
      <c r="D200" s="1055"/>
      <c r="E200" s="1056"/>
      <c r="F200" s="1055"/>
      <c r="G200" s="1054"/>
      <c r="H200" s="1053"/>
      <c r="I200" s="1053"/>
    </row>
    <row r="201" spans="1:9" x14ac:dyDescent="0.2">
      <c r="A201" s="832"/>
      <c r="B201" s="1053"/>
      <c r="C201" s="1054"/>
      <c r="D201" s="1055"/>
      <c r="E201" s="1056"/>
      <c r="F201" s="1055"/>
      <c r="G201" s="1054"/>
      <c r="H201" s="1053"/>
      <c r="I201" s="1053"/>
    </row>
    <row r="202" spans="1:9" x14ac:dyDescent="0.2">
      <c r="A202" s="832"/>
      <c r="B202" s="1053"/>
      <c r="C202" s="1054"/>
      <c r="D202" s="1055"/>
      <c r="E202" s="1056"/>
      <c r="F202" s="1055"/>
      <c r="G202" s="1054"/>
      <c r="H202" s="1053"/>
      <c r="I202" s="1053"/>
    </row>
    <row r="203" spans="1:9" x14ac:dyDescent="0.2">
      <c r="A203" s="832"/>
      <c r="B203" s="1053"/>
      <c r="C203" s="1054"/>
      <c r="D203" s="1055"/>
      <c r="E203" s="1056"/>
      <c r="F203" s="1055"/>
      <c r="G203" s="1054"/>
      <c r="H203" s="1053"/>
      <c r="I203" s="1053"/>
    </row>
    <row r="204" spans="1:9" x14ac:dyDescent="0.2">
      <c r="A204" s="832"/>
      <c r="B204" s="1053"/>
      <c r="C204" s="1054"/>
      <c r="D204" s="1055"/>
      <c r="E204" s="1056"/>
      <c r="F204" s="1055"/>
      <c r="G204" s="1054"/>
      <c r="H204" s="1053"/>
      <c r="I204" s="1053"/>
    </row>
  </sheetData>
  <mergeCells count="2">
    <mergeCell ref="D84:K84"/>
    <mergeCell ref="D123:K123"/>
  </mergeCells>
  <phoneticPr fontId="3" type="noConversion"/>
  <printOptions horizontalCentered="1"/>
  <pageMargins left="0.25" right="0.25" top="1" bottom="0.5" header="0.5" footer="0.5"/>
  <pageSetup orientation="landscape" r:id="rId1"/>
  <headerFooter alignWithMargins="0"/>
  <rowBreaks count="4" manualBreakCount="4">
    <brk id="26" max="16383" man="1"/>
    <brk id="52" max="16383" man="1"/>
    <brk id="77" max="10" man="1"/>
    <brk id="115" max="10" man="1"/>
  </rowBreak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73"/>
  <sheetViews>
    <sheetView zoomScale="90" zoomScaleNormal="90" zoomScaleSheetLayoutView="85" workbookViewId="0">
      <selection activeCell="E25" sqref="E25"/>
    </sheetView>
  </sheetViews>
  <sheetFormatPr defaultColWidth="11.33203125" defaultRowHeight="12.75" x14ac:dyDescent="0.2"/>
  <cols>
    <col min="1" max="1" width="17.1640625" style="822" bestFit="1" customWidth="1"/>
    <col min="2" max="2" width="4.33203125" style="821" customWidth="1"/>
    <col min="3" max="3" width="19.83203125" style="821" bestFit="1" customWidth="1"/>
    <col min="4" max="4" width="4.33203125" style="821" customWidth="1"/>
    <col min="5" max="5" width="19.83203125" style="821" bestFit="1" customWidth="1"/>
    <col min="6" max="6" width="4.33203125" style="821" customWidth="1"/>
    <col min="7" max="7" width="18.5" style="821" bestFit="1" customWidth="1"/>
    <col min="8" max="8" width="4.33203125" style="821" customWidth="1"/>
    <col min="9" max="9" width="20.83203125" style="821" customWidth="1"/>
    <col min="10" max="12" width="11.33203125" style="821"/>
    <col min="13" max="13" width="14.5" style="1014" bestFit="1" customWidth="1"/>
    <col min="14" max="16384" width="11.33203125" style="821"/>
  </cols>
  <sheetData>
    <row r="1" spans="1:18" x14ac:dyDescent="0.2">
      <c r="A1" s="1420" t="s">
        <v>477</v>
      </c>
      <c r="B1" s="1420"/>
      <c r="C1" s="1420"/>
      <c r="D1" s="1420"/>
      <c r="E1" s="1420"/>
      <c r="F1" s="1420"/>
      <c r="G1" s="1420"/>
      <c r="H1" s="1420"/>
      <c r="I1" s="1420"/>
    </row>
    <row r="2" spans="1:18" x14ac:dyDescent="0.2">
      <c r="A2" s="1420" t="str">
        <f>+Input!C4</f>
        <v>CASE NO. 2017-xxxxx</v>
      </c>
      <c r="B2" s="1420"/>
      <c r="C2" s="1420"/>
      <c r="D2" s="1420"/>
      <c r="E2" s="1420"/>
      <c r="F2" s="1420"/>
      <c r="G2" s="1420"/>
      <c r="H2" s="1420"/>
      <c r="I2" s="1420"/>
    </row>
    <row r="3" spans="1:18" x14ac:dyDescent="0.2">
      <c r="A3" s="1420" t="s">
        <v>971</v>
      </c>
      <c r="B3" s="1420"/>
      <c r="C3" s="1420"/>
      <c r="D3" s="1420"/>
      <c r="E3" s="1420"/>
      <c r="F3" s="1420"/>
      <c r="G3" s="1420"/>
      <c r="H3" s="1420"/>
      <c r="I3" s="1420"/>
    </row>
    <row r="4" spans="1:18" x14ac:dyDescent="0.2">
      <c r="A4" s="1421" t="str">
        <f>+Input!C7</f>
        <v>AS OF DECEMBER 31, 2017</v>
      </c>
      <c r="B4" s="1421"/>
      <c r="C4" s="1421"/>
      <c r="D4" s="1421"/>
      <c r="E4" s="1421"/>
      <c r="F4" s="1421"/>
      <c r="G4" s="1421"/>
      <c r="H4" s="1421"/>
      <c r="I4" s="1421"/>
    </row>
    <row r="5" spans="1:18" x14ac:dyDescent="0.2">
      <c r="A5" s="856"/>
      <c r="B5" s="856"/>
      <c r="C5" s="856"/>
      <c r="D5" s="856"/>
      <c r="E5" s="856"/>
      <c r="F5" s="856"/>
      <c r="G5" s="856"/>
      <c r="H5" s="856"/>
      <c r="I5" s="856"/>
    </row>
    <row r="6" spans="1:18" x14ac:dyDescent="0.2">
      <c r="A6" s="857"/>
      <c r="B6" s="858"/>
      <c r="C6" s="858"/>
      <c r="D6" s="858"/>
      <c r="E6" s="858"/>
      <c r="F6" s="858"/>
      <c r="G6" s="858"/>
      <c r="I6" s="881" t="s">
        <v>1052</v>
      </c>
    </row>
    <row r="7" spans="1:18" x14ac:dyDescent="0.2">
      <c r="A7" s="858"/>
      <c r="B7" s="858"/>
      <c r="C7" s="858"/>
      <c r="D7" s="858"/>
      <c r="E7" s="858"/>
      <c r="F7" s="858"/>
      <c r="G7" s="858"/>
      <c r="I7" s="881" t="s">
        <v>1019</v>
      </c>
    </row>
    <row r="8" spans="1:18" x14ac:dyDescent="0.2">
      <c r="A8" s="859"/>
      <c r="B8" s="859"/>
      <c r="C8" s="859"/>
      <c r="D8" s="859"/>
      <c r="E8" s="859"/>
      <c r="F8" s="859"/>
      <c r="G8" s="859"/>
      <c r="H8" s="823"/>
      <c r="I8" s="882" t="s">
        <v>1053</v>
      </c>
      <c r="K8" s="824"/>
      <c r="L8" s="824"/>
      <c r="M8" s="1015"/>
      <c r="N8" s="824"/>
      <c r="O8" s="824"/>
      <c r="P8" s="824"/>
      <c r="Q8" s="824"/>
      <c r="R8" s="824"/>
    </row>
    <row r="9" spans="1:18" x14ac:dyDescent="0.2">
      <c r="A9" s="860"/>
      <c r="B9" s="860"/>
      <c r="C9" s="860"/>
      <c r="D9" s="856"/>
      <c r="E9" s="860"/>
      <c r="F9" s="860"/>
      <c r="G9" s="1418" t="s">
        <v>1054</v>
      </c>
      <c r="H9" s="1418"/>
      <c r="I9" s="1418"/>
      <c r="J9" s="825"/>
      <c r="K9" s="824"/>
      <c r="L9" s="824"/>
      <c r="M9" s="1015"/>
      <c r="N9" s="824"/>
      <c r="O9" s="824"/>
      <c r="P9" s="824"/>
      <c r="Q9" s="824"/>
      <c r="R9" s="824"/>
    </row>
    <row r="10" spans="1:18" x14ac:dyDescent="0.2">
      <c r="A10" s="858"/>
      <c r="B10" s="858"/>
      <c r="C10" s="862" t="s">
        <v>1055</v>
      </c>
      <c r="D10" s="858"/>
      <c r="E10" s="862" t="s">
        <v>1056</v>
      </c>
      <c r="F10" s="858"/>
      <c r="G10" s="1419" t="s">
        <v>1057</v>
      </c>
      <c r="H10" s="1419"/>
      <c r="I10" s="1419"/>
      <c r="J10" s="826"/>
    </row>
    <row r="11" spans="1:18" x14ac:dyDescent="0.2">
      <c r="A11" s="858"/>
      <c r="B11" s="858"/>
      <c r="C11" s="862" t="s">
        <v>1058</v>
      </c>
      <c r="D11" s="858"/>
      <c r="E11" s="862" t="s">
        <v>1059</v>
      </c>
      <c r="F11" s="858"/>
      <c r="G11" s="862" t="s">
        <v>1060</v>
      </c>
      <c r="H11" s="858"/>
      <c r="I11" s="862" t="s">
        <v>1061</v>
      </c>
    </row>
    <row r="12" spans="1:18" x14ac:dyDescent="0.2">
      <c r="A12" s="858"/>
      <c r="B12" s="858"/>
      <c r="C12" s="862" t="s">
        <v>1062</v>
      </c>
      <c r="D12" s="858"/>
      <c r="E12" s="862" t="s">
        <v>1063</v>
      </c>
      <c r="F12" s="858"/>
      <c r="G12" s="862" t="s">
        <v>1064</v>
      </c>
      <c r="H12" s="858"/>
      <c r="I12" s="862" t="s">
        <v>1064</v>
      </c>
      <c r="L12" s="1013"/>
    </row>
    <row r="13" spans="1:18" x14ac:dyDescent="0.2">
      <c r="A13" s="858"/>
      <c r="B13" s="858"/>
      <c r="C13" s="862" t="s">
        <v>1065</v>
      </c>
      <c r="D13" s="858"/>
      <c r="E13" s="862" t="s">
        <v>1066</v>
      </c>
      <c r="F13" s="858"/>
      <c r="G13" s="862" t="s">
        <v>1067</v>
      </c>
      <c r="H13" s="858"/>
      <c r="I13" s="862" t="s">
        <v>1067</v>
      </c>
      <c r="L13" s="1013"/>
    </row>
    <row r="14" spans="1:18" x14ac:dyDescent="0.2">
      <c r="A14" s="858"/>
      <c r="B14" s="858"/>
      <c r="C14" s="863" t="s">
        <v>1069</v>
      </c>
      <c r="D14" s="858"/>
      <c r="E14" s="863" t="s">
        <v>1069</v>
      </c>
      <c r="F14" s="858"/>
      <c r="G14" s="863" t="s">
        <v>1070</v>
      </c>
      <c r="H14" s="858"/>
      <c r="I14" s="863" t="s">
        <v>1071</v>
      </c>
      <c r="L14" s="1013"/>
    </row>
    <row r="15" spans="1:18" x14ac:dyDescent="0.2">
      <c r="A15" s="858"/>
      <c r="B15" s="864"/>
      <c r="C15" s="865" t="s">
        <v>500</v>
      </c>
      <c r="D15" s="866"/>
      <c r="E15" s="865" t="s">
        <v>500</v>
      </c>
      <c r="F15" s="866"/>
      <c r="G15" s="865" t="s">
        <v>500</v>
      </c>
      <c r="H15" s="858"/>
      <c r="I15" s="862" t="s">
        <v>500</v>
      </c>
      <c r="L15" s="1013"/>
    </row>
    <row r="16" spans="1:18" ht="6" customHeight="1" x14ac:dyDescent="0.2">
      <c r="A16" s="858"/>
      <c r="B16" s="864"/>
      <c r="C16" s="865"/>
      <c r="D16" s="866"/>
      <c r="E16" s="865"/>
      <c r="F16" s="866"/>
      <c r="G16" s="865"/>
      <c r="H16" s="858"/>
      <c r="I16" s="858"/>
    </row>
    <row r="17" spans="1:9" x14ac:dyDescent="0.2">
      <c r="A17" s="845" t="s">
        <v>1798</v>
      </c>
      <c r="B17" s="858"/>
      <c r="C17" s="1317">
        <v>-9889515</v>
      </c>
      <c r="D17" s="867"/>
      <c r="E17" s="1317">
        <v>-163698</v>
      </c>
      <c r="F17" s="868"/>
      <c r="G17" s="1317">
        <v>-96369</v>
      </c>
      <c r="H17" s="858"/>
      <c r="I17" s="1317">
        <v>-17575</v>
      </c>
    </row>
    <row r="18" spans="1:9" x14ac:dyDescent="0.2">
      <c r="A18" s="845" t="s">
        <v>1799</v>
      </c>
      <c r="B18" s="858"/>
      <c r="C18" s="1317">
        <v>-9889515</v>
      </c>
      <c r="D18" s="867"/>
      <c r="E18" s="1317">
        <v>-163698</v>
      </c>
      <c r="F18" s="868"/>
      <c r="G18" s="1317">
        <v>-93724</v>
      </c>
      <c r="H18" s="858"/>
      <c r="I18" s="1317">
        <v>-17093</v>
      </c>
    </row>
    <row r="19" spans="1:9" x14ac:dyDescent="0.2">
      <c r="A19" s="845" t="s">
        <v>1033</v>
      </c>
      <c r="B19" s="858"/>
      <c r="C19" s="1317">
        <v>-9889515</v>
      </c>
      <c r="D19" s="867"/>
      <c r="E19" s="1317">
        <v>-163698</v>
      </c>
      <c r="F19" s="868"/>
      <c r="G19" s="1317">
        <v>-90898</v>
      </c>
      <c r="H19" s="858"/>
      <c r="I19" s="1317">
        <v>-16577</v>
      </c>
    </row>
    <row r="20" spans="1:9" x14ac:dyDescent="0.2">
      <c r="A20" s="845" t="s">
        <v>1034</v>
      </c>
      <c r="B20" s="858"/>
      <c r="C20" s="1317">
        <v>-9889515</v>
      </c>
      <c r="D20" s="867"/>
      <c r="E20" s="1317">
        <v>-130111</v>
      </c>
      <c r="F20" s="868"/>
      <c r="G20" s="1317">
        <v>-88578</v>
      </c>
      <c r="H20" s="858"/>
      <c r="I20" s="1317">
        <v>-16154</v>
      </c>
    </row>
    <row r="21" spans="1:9" x14ac:dyDescent="0.2">
      <c r="A21" s="845" t="s">
        <v>1035</v>
      </c>
      <c r="B21" s="858"/>
      <c r="C21" s="1317">
        <v>-9889515</v>
      </c>
      <c r="D21" s="867"/>
      <c r="E21" s="1317">
        <v>-130111</v>
      </c>
      <c r="F21" s="868"/>
      <c r="G21" s="1317">
        <v>-86822</v>
      </c>
      <c r="H21" s="858"/>
      <c r="I21" s="1317">
        <v>-15834</v>
      </c>
    </row>
    <row r="22" spans="1:9" x14ac:dyDescent="0.2">
      <c r="A22" s="845" t="s">
        <v>1036</v>
      </c>
      <c r="B22" s="858"/>
      <c r="C22" s="1317">
        <v>-9889515</v>
      </c>
      <c r="D22" s="867"/>
      <c r="E22" s="1317">
        <v>-130111</v>
      </c>
      <c r="F22" s="868"/>
      <c r="G22" s="1317">
        <v>-85519</v>
      </c>
      <c r="H22" s="858"/>
      <c r="I22" s="1317">
        <v>-15596</v>
      </c>
    </row>
    <row r="23" spans="1:9" x14ac:dyDescent="0.2">
      <c r="A23" s="845" t="s">
        <v>1037</v>
      </c>
      <c r="B23" s="858"/>
      <c r="C23" s="1317">
        <v>-9889515</v>
      </c>
      <c r="D23" s="867"/>
      <c r="E23" s="1317">
        <v>-130111</v>
      </c>
      <c r="F23" s="868"/>
      <c r="G23" s="1317">
        <v>-84594</v>
      </c>
      <c r="H23" s="858"/>
      <c r="I23" s="1317">
        <v>-15427</v>
      </c>
    </row>
    <row r="24" spans="1:9" x14ac:dyDescent="0.2">
      <c r="A24" s="845" t="s">
        <v>1038</v>
      </c>
      <c r="B24" s="858"/>
      <c r="C24" s="1317">
        <v>-9889515</v>
      </c>
      <c r="D24" s="867"/>
      <c r="E24" s="1317">
        <v>-130111</v>
      </c>
      <c r="F24" s="868"/>
      <c r="G24" s="1317">
        <v>-83718</v>
      </c>
      <c r="H24" s="858"/>
      <c r="I24" s="1317">
        <v>-15268</v>
      </c>
    </row>
    <row r="25" spans="1:9" x14ac:dyDescent="0.2">
      <c r="A25" s="845" t="s">
        <v>1039</v>
      </c>
      <c r="B25" s="858"/>
      <c r="C25" s="1317">
        <v>-9889515</v>
      </c>
      <c r="D25" s="867"/>
      <c r="E25" s="1317">
        <v>-130111</v>
      </c>
      <c r="F25" s="868"/>
      <c r="G25" s="1317">
        <v>-82860</v>
      </c>
      <c r="H25" s="858"/>
      <c r="I25" s="1317">
        <v>-15111</v>
      </c>
    </row>
    <row r="26" spans="1:9" x14ac:dyDescent="0.2">
      <c r="A26" s="845" t="s">
        <v>1051</v>
      </c>
      <c r="B26" s="858"/>
      <c r="C26" s="1317">
        <v>-9889515</v>
      </c>
      <c r="D26" s="867"/>
      <c r="E26" s="1317">
        <v>-130111</v>
      </c>
      <c r="F26" s="868"/>
      <c r="G26" s="1317">
        <v>-81966</v>
      </c>
      <c r="H26" s="858"/>
      <c r="I26" s="1317">
        <v>-14948</v>
      </c>
    </row>
    <row r="27" spans="1:9" x14ac:dyDescent="0.2">
      <c r="A27" s="845" t="s">
        <v>1031</v>
      </c>
      <c r="B27" s="868"/>
      <c r="C27" s="1317">
        <v>-9889515</v>
      </c>
      <c r="D27" s="871"/>
      <c r="E27" s="1317">
        <v>-130111</v>
      </c>
      <c r="F27" s="872"/>
      <c r="G27" s="1317">
        <v>-81124</v>
      </c>
      <c r="H27" s="860"/>
      <c r="I27" s="1317">
        <v>-14795</v>
      </c>
    </row>
    <row r="28" spans="1:9" x14ac:dyDescent="0.2">
      <c r="A28" s="845" t="s">
        <v>1032</v>
      </c>
      <c r="B28" s="868"/>
      <c r="C28" s="1317">
        <v>-9889515</v>
      </c>
      <c r="D28" s="871"/>
      <c r="E28" s="1317">
        <v>-130111</v>
      </c>
      <c r="F28" s="872"/>
      <c r="G28" s="1317">
        <v>-79734</v>
      </c>
      <c r="H28" s="860"/>
      <c r="I28" s="1317">
        <v>-14541</v>
      </c>
    </row>
    <row r="29" spans="1:9" x14ac:dyDescent="0.2">
      <c r="A29" s="845" t="s">
        <v>1800</v>
      </c>
      <c r="B29" s="858"/>
      <c r="C29" s="1318">
        <v>-9889515</v>
      </c>
      <c r="D29" s="873"/>
      <c r="E29" s="1319">
        <v>-130111</v>
      </c>
      <c r="F29" s="873"/>
      <c r="G29" s="1319">
        <v>-77627</v>
      </c>
      <c r="H29" s="873"/>
      <c r="I29" s="1319">
        <v>-14157</v>
      </c>
    </row>
    <row r="30" spans="1:9" ht="6" customHeight="1" x14ac:dyDescent="0.2">
      <c r="A30" s="874"/>
      <c r="B30" s="868"/>
      <c r="C30" s="871"/>
      <c r="D30" s="868"/>
      <c r="E30" s="871"/>
      <c r="F30" s="868"/>
      <c r="G30" s="871"/>
      <c r="H30" s="858"/>
      <c r="I30" s="871"/>
    </row>
    <row r="31" spans="1:9" x14ac:dyDescent="0.2">
      <c r="A31" s="875" t="s">
        <v>1072</v>
      </c>
      <c r="B31" s="876"/>
      <c r="C31" s="858"/>
      <c r="D31" s="858"/>
      <c r="E31" s="858"/>
      <c r="F31" s="858"/>
      <c r="G31" s="858"/>
      <c r="H31" s="858"/>
      <c r="I31" s="858"/>
    </row>
    <row r="32" spans="1:9" x14ac:dyDescent="0.2">
      <c r="A32" s="875" t="s">
        <v>1073</v>
      </c>
      <c r="B32" s="868"/>
      <c r="C32" s="877">
        <f>AVERAGE(C17:C29)</f>
        <v>-9889515</v>
      </c>
      <c r="D32" s="876"/>
      <c r="E32" s="877">
        <f>AVERAGE(E17:E29)</f>
        <v>-137861.84615384616</v>
      </c>
      <c r="F32" s="876"/>
      <c r="G32" s="877">
        <f>AVERAGE(G17:G29)</f>
        <v>-85656.38461538461</v>
      </c>
      <c r="H32" s="864"/>
      <c r="I32" s="877">
        <f>AVERAGE(I17:I29)</f>
        <v>-15621.23076923077</v>
      </c>
    </row>
    <row r="33" spans="1:9" x14ac:dyDescent="0.2">
      <c r="A33" s="858"/>
      <c r="B33" s="858"/>
      <c r="C33" s="858"/>
      <c r="D33" s="858"/>
      <c r="E33" s="858"/>
      <c r="F33" s="858"/>
      <c r="G33" s="858"/>
      <c r="H33" s="858"/>
      <c r="I33" s="858"/>
    </row>
    <row r="34" spans="1:9" x14ac:dyDescent="0.2">
      <c r="A34" s="858"/>
      <c r="B34" s="858"/>
      <c r="C34" s="858"/>
      <c r="D34" s="858"/>
      <c r="E34" s="858"/>
      <c r="F34" s="858"/>
      <c r="G34" s="858"/>
      <c r="H34" s="858"/>
      <c r="I34" s="858"/>
    </row>
    <row r="35" spans="1:9" x14ac:dyDescent="0.2">
      <c r="A35" s="858"/>
      <c r="B35" s="858"/>
      <c r="C35" s="858"/>
      <c r="D35" s="858"/>
      <c r="E35" s="858">
        <v>25200000</v>
      </c>
      <c r="F35" s="858"/>
      <c r="G35" s="858">
        <v>28305000</v>
      </c>
      <c r="H35" s="858"/>
      <c r="I35" s="858">
        <v>28306000</v>
      </c>
    </row>
    <row r="36" spans="1:9" x14ac:dyDescent="0.2">
      <c r="A36" s="858"/>
      <c r="B36" s="858"/>
      <c r="C36" s="858"/>
      <c r="D36" s="858"/>
      <c r="E36" s="858"/>
      <c r="F36" s="858"/>
      <c r="G36" s="858"/>
      <c r="H36" s="858"/>
      <c r="I36" s="858"/>
    </row>
    <row r="37" spans="1:9" x14ac:dyDescent="0.2">
      <c r="A37" s="858"/>
      <c r="B37" s="858"/>
      <c r="C37" s="858"/>
      <c r="D37" s="858"/>
      <c r="E37" s="858"/>
      <c r="F37" s="858"/>
      <c r="G37" s="858"/>
      <c r="H37" s="858"/>
      <c r="I37" s="858"/>
    </row>
    <row r="38" spans="1:9" x14ac:dyDescent="0.2">
      <c r="A38" s="858"/>
      <c r="B38" s="858"/>
      <c r="C38" s="858"/>
      <c r="D38" s="858"/>
      <c r="E38" s="858"/>
      <c r="F38" s="858"/>
      <c r="G38" s="858"/>
      <c r="H38" s="858"/>
      <c r="I38" s="858"/>
    </row>
    <row r="39" spans="1:9" x14ac:dyDescent="0.2">
      <c r="A39" s="858"/>
      <c r="B39" s="858"/>
      <c r="C39" s="858"/>
      <c r="D39" s="858"/>
      <c r="E39" s="858"/>
      <c r="F39" s="858"/>
      <c r="G39" s="858"/>
      <c r="H39" s="858"/>
      <c r="I39" s="858"/>
    </row>
    <row r="40" spans="1:9" x14ac:dyDescent="0.2">
      <c r="A40" s="858"/>
      <c r="B40" s="858"/>
      <c r="C40" s="858"/>
      <c r="D40" s="858"/>
      <c r="E40" s="858"/>
      <c r="F40" s="858"/>
      <c r="G40" s="858"/>
      <c r="H40" s="858"/>
      <c r="I40" s="858"/>
    </row>
    <row r="41" spans="1:9" x14ac:dyDescent="0.2">
      <c r="A41" s="858"/>
      <c r="B41" s="858"/>
      <c r="C41" s="858"/>
      <c r="D41" s="858"/>
      <c r="E41" s="858"/>
      <c r="F41" s="858"/>
      <c r="G41" s="858"/>
      <c r="H41" s="858"/>
      <c r="I41" s="858"/>
    </row>
    <row r="42" spans="1:9" x14ac:dyDescent="0.2">
      <c r="A42" s="858"/>
      <c r="B42" s="858"/>
      <c r="C42" s="858"/>
      <c r="D42" s="858"/>
      <c r="E42" s="858"/>
      <c r="F42" s="858"/>
      <c r="G42" s="858"/>
      <c r="H42" s="858"/>
      <c r="I42" s="858"/>
    </row>
    <row r="43" spans="1:9" x14ac:dyDescent="0.2">
      <c r="A43" s="858"/>
      <c r="B43" s="858"/>
      <c r="C43" s="858"/>
      <c r="D43" s="858"/>
      <c r="E43" s="858"/>
      <c r="F43" s="858"/>
      <c r="G43" s="858"/>
      <c r="H43" s="858"/>
      <c r="I43" s="858"/>
    </row>
    <row r="44" spans="1:9" x14ac:dyDescent="0.2">
      <c r="A44" s="858"/>
      <c r="B44" s="858"/>
      <c r="C44" s="858"/>
      <c r="D44" s="858"/>
      <c r="E44" s="858"/>
      <c r="F44" s="858"/>
      <c r="G44" s="858"/>
      <c r="H44" s="858"/>
      <c r="I44" s="858"/>
    </row>
    <row r="45" spans="1:9" x14ac:dyDescent="0.2">
      <c r="A45" s="858"/>
      <c r="B45" s="858"/>
      <c r="C45" s="858"/>
      <c r="D45" s="858"/>
      <c r="E45" s="858"/>
      <c r="F45" s="858"/>
      <c r="G45" s="858"/>
      <c r="H45" s="858"/>
      <c r="I45" s="858"/>
    </row>
    <row r="46" spans="1:9" x14ac:dyDescent="0.2">
      <c r="A46" s="858"/>
      <c r="B46" s="858"/>
      <c r="C46" s="858"/>
      <c r="D46" s="858"/>
      <c r="E46" s="858"/>
      <c r="F46" s="858"/>
      <c r="G46" s="858"/>
      <c r="H46" s="858"/>
      <c r="I46" s="858"/>
    </row>
    <row r="47" spans="1:9" x14ac:dyDescent="0.2">
      <c r="A47" s="858"/>
      <c r="B47" s="858"/>
      <c r="C47" s="858"/>
      <c r="D47" s="858"/>
      <c r="E47" s="858"/>
      <c r="F47" s="858"/>
      <c r="G47" s="858"/>
      <c r="H47" s="858"/>
      <c r="I47" s="858"/>
    </row>
    <row r="48" spans="1:9" x14ac:dyDescent="0.2">
      <c r="A48" s="858"/>
      <c r="B48" s="858"/>
      <c r="C48" s="858"/>
      <c r="D48" s="858"/>
      <c r="E48" s="858"/>
      <c r="F48" s="858"/>
      <c r="G48" s="858"/>
      <c r="H48" s="858"/>
      <c r="I48" s="858"/>
    </row>
    <row r="49" spans="1:9" x14ac:dyDescent="0.2">
      <c r="A49" s="858"/>
      <c r="B49" s="858"/>
      <c r="C49" s="858"/>
      <c r="D49" s="858"/>
      <c r="E49" s="858"/>
      <c r="F49" s="858"/>
      <c r="G49" s="858"/>
      <c r="H49" s="858"/>
      <c r="I49" s="858"/>
    </row>
    <row r="50" spans="1:9" x14ac:dyDescent="0.2">
      <c r="A50" s="858"/>
      <c r="B50" s="858"/>
      <c r="C50" s="858"/>
      <c r="D50" s="858"/>
      <c r="E50" s="858"/>
      <c r="F50" s="858"/>
      <c r="G50" s="858"/>
      <c r="H50" s="858"/>
      <c r="I50" s="858"/>
    </row>
    <row r="51" spans="1:9" x14ac:dyDescent="0.2">
      <c r="A51" s="858"/>
      <c r="B51" s="858"/>
      <c r="C51" s="858"/>
      <c r="D51" s="858"/>
      <c r="E51" s="858"/>
      <c r="F51" s="858"/>
      <c r="G51" s="858"/>
      <c r="H51" s="858"/>
      <c r="I51" s="858"/>
    </row>
    <row r="52" spans="1:9" x14ac:dyDescent="0.2">
      <c r="A52" s="858"/>
      <c r="B52" s="858"/>
      <c r="C52" s="858"/>
      <c r="D52" s="858"/>
      <c r="E52" s="858"/>
      <c r="F52" s="858"/>
      <c r="G52" s="858"/>
      <c r="H52" s="858"/>
      <c r="I52" s="858"/>
    </row>
    <row r="53" spans="1:9" x14ac:dyDescent="0.2">
      <c r="A53" s="858"/>
      <c r="B53" s="858"/>
      <c r="C53" s="858"/>
      <c r="D53" s="858"/>
      <c r="E53" s="858"/>
      <c r="F53" s="858"/>
      <c r="G53" s="858"/>
      <c r="H53" s="858"/>
      <c r="I53" s="858"/>
    </row>
    <row r="54" spans="1:9" x14ac:dyDescent="0.2">
      <c r="A54" s="858"/>
      <c r="B54" s="858"/>
      <c r="C54" s="858"/>
      <c r="D54" s="858"/>
      <c r="E54" s="858"/>
      <c r="F54" s="858"/>
      <c r="G54" s="858"/>
      <c r="H54" s="858"/>
      <c r="I54" s="858"/>
    </row>
    <row r="55" spans="1:9" x14ac:dyDescent="0.2">
      <c r="A55" s="858"/>
      <c r="B55" s="858"/>
      <c r="C55" s="858"/>
      <c r="D55" s="858"/>
      <c r="E55" s="858"/>
      <c r="F55" s="858"/>
      <c r="G55" s="858"/>
      <c r="H55" s="858"/>
      <c r="I55" s="858"/>
    </row>
    <row r="56" spans="1:9" x14ac:dyDescent="0.2">
      <c r="A56" s="858"/>
      <c r="B56" s="858"/>
      <c r="C56" s="858"/>
      <c r="D56" s="858"/>
      <c r="E56" s="858"/>
      <c r="F56" s="858"/>
      <c r="G56" s="858"/>
      <c r="H56" s="858"/>
      <c r="I56" s="858"/>
    </row>
    <row r="57" spans="1:9" x14ac:dyDescent="0.2">
      <c r="A57" s="858"/>
      <c r="B57" s="858"/>
      <c r="C57" s="858"/>
      <c r="D57" s="858"/>
      <c r="E57" s="858"/>
      <c r="F57" s="858"/>
      <c r="G57" s="858"/>
      <c r="H57" s="858"/>
      <c r="I57" s="858"/>
    </row>
    <row r="58" spans="1:9" x14ac:dyDescent="0.2">
      <c r="A58" s="858"/>
      <c r="B58" s="858"/>
      <c r="C58" s="858"/>
      <c r="D58" s="858"/>
      <c r="E58" s="858"/>
      <c r="F58" s="858"/>
      <c r="G58" s="858"/>
      <c r="H58" s="858"/>
      <c r="I58" s="858"/>
    </row>
    <row r="59" spans="1:9" x14ac:dyDescent="0.2">
      <c r="A59" s="858"/>
      <c r="B59" s="858"/>
      <c r="C59" s="858"/>
      <c r="D59" s="858"/>
      <c r="E59" s="858"/>
      <c r="F59" s="858"/>
      <c r="G59" s="858"/>
      <c r="H59" s="858"/>
      <c r="I59" s="858"/>
    </row>
    <row r="60" spans="1:9" x14ac:dyDescent="0.2">
      <c r="A60" s="858"/>
      <c r="B60" s="858"/>
      <c r="C60" s="858"/>
      <c r="D60" s="858"/>
      <c r="E60" s="858"/>
      <c r="F60" s="858"/>
      <c r="G60" s="858"/>
      <c r="H60" s="858"/>
      <c r="I60" s="858"/>
    </row>
    <row r="61" spans="1:9" x14ac:dyDescent="0.2">
      <c r="A61" s="858"/>
      <c r="B61" s="858"/>
      <c r="C61" s="858"/>
      <c r="D61" s="858"/>
      <c r="E61" s="858"/>
      <c r="F61" s="858"/>
      <c r="G61" s="858"/>
      <c r="H61" s="858"/>
      <c r="I61" s="858"/>
    </row>
    <row r="62" spans="1:9" x14ac:dyDescent="0.2">
      <c r="A62" s="858"/>
      <c r="B62" s="858"/>
      <c r="C62" s="858"/>
      <c r="D62" s="858"/>
      <c r="E62" s="858"/>
      <c r="F62" s="858"/>
      <c r="G62" s="858"/>
      <c r="H62" s="858"/>
      <c r="I62" s="858"/>
    </row>
    <row r="63" spans="1:9" x14ac:dyDescent="0.2">
      <c r="A63" s="858"/>
      <c r="B63" s="858"/>
      <c r="C63" s="858"/>
      <c r="D63" s="858"/>
      <c r="E63" s="858"/>
      <c r="F63" s="858"/>
      <c r="G63" s="858"/>
      <c r="H63" s="858"/>
      <c r="I63" s="858"/>
    </row>
    <row r="64" spans="1:9" x14ac:dyDescent="0.2">
      <c r="A64" s="858"/>
      <c r="B64" s="858"/>
      <c r="C64" s="858"/>
      <c r="D64" s="858"/>
      <c r="E64" s="858"/>
      <c r="F64" s="858"/>
      <c r="G64" s="858"/>
      <c r="H64" s="858"/>
      <c r="I64" s="858"/>
    </row>
    <row r="65" spans="1:9" x14ac:dyDescent="0.2">
      <c r="A65" s="858"/>
      <c r="B65" s="858"/>
      <c r="C65" s="858"/>
      <c r="D65" s="858"/>
      <c r="E65" s="858"/>
      <c r="F65" s="858"/>
      <c r="G65" s="858"/>
      <c r="H65" s="858"/>
      <c r="I65" s="858"/>
    </row>
    <row r="66" spans="1:9" x14ac:dyDescent="0.2">
      <c r="A66" s="858"/>
      <c r="B66" s="858"/>
      <c r="C66" s="858"/>
      <c r="D66" s="858"/>
      <c r="E66" s="858"/>
      <c r="F66" s="858"/>
      <c r="G66" s="858"/>
      <c r="H66" s="858"/>
      <c r="I66" s="858"/>
    </row>
    <row r="67" spans="1:9" x14ac:dyDescent="0.2">
      <c r="A67" s="858"/>
      <c r="B67" s="858"/>
      <c r="C67" s="858"/>
      <c r="D67" s="858"/>
      <c r="E67" s="858"/>
      <c r="F67" s="858"/>
      <c r="G67" s="858"/>
      <c r="H67" s="858"/>
      <c r="I67" s="858"/>
    </row>
    <row r="68" spans="1:9" x14ac:dyDescent="0.2">
      <c r="A68" s="858"/>
      <c r="B68" s="858"/>
      <c r="C68" s="858"/>
      <c r="D68" s="858"/>
      <c r="E68" s="858"/>
      <c r="F68" s="858"/>
      <c r="G68" s="858"/>
      <c r="H68" s="858"/>
      <c r="I68" s="858"/>
    </row>
    <row r="69" spans="1:9" x14ac:dyDescent="0.2">
      <c r="A69" s="858"/>
      <c r="B69" s="858"/>
      <c r="C69" s="858"/>
      <c r="D69" s="858"/>
      <c r="E69" s="858"/>
      <c r="F69" s="858"/>
      <c r="G69" s="858"/>
      <c r="H69" s="858"/>
      <c r="I69" s="858"/>
    </row>
    <row r="70" spans="1:9" x14ac:dyDescent="0.2">
      <c r="A70" s="858"/>
      <c r="B70" s="858"/>
      <c r="C70" s="858"/>
      <c r="D70" s="858"/>
      <c r="E70" s="858"/>
      <c r="F70" s="858"/>
      <c r="G70" s="858"/>
      <c r="H70" s="858"/>
      <c r="I70" s="858"/>
    </row>
    <row r="71" spans="1:9" x14ac:dyDescent="0.2">
      <c r="A71" s="858"/>
      <c r="B71" s="858"/>
      <c r="C71" s="858"/>
      <c r="D71" s="858"/>
      <c r="E71" s="858"/>
      <c r="F71" s="858"/>
      <c r="G71" s="858"/>
      <c r="H71" s="858"/>
      <c r="I71" s="858"/>
    </row>
    <row r="72" spans="1:9" x14ac:dyDescent="0.2">
      <c r="A72" s="858"/>
      <c r="B72" s="858"/>
      <c r="C72" s="858"/>
      <c r="D72" s="858"/>
      <c r="E72" s="858"/>
      <c r="F72" s="858"/>
      <c r="G72" s="858"/>
      <c r="H72" s="858"/>
      <c r="I72" s="858"/>
    </row>
    <row r="73" spans="1:9" x14ac:dyDescent="0.2">
      <c r="A73" s="858"/>
      <c r="B73" s="858"/>
      <c r="C73" s="858"/>
      <c r="D73" s="858"/>
      <c r="E73" s="858"/>
      <c r="F73" s="858"/>
      <c r="G73" s="858"/>
      <c r="H73" s="858"/>
      <c r="I73" s="858"/>
    </row>
  </sheetData>
  <mergeCells count="6">
    <mergeCell ref="G9:I9"/>
    <mergeCell ref="G10:I10"/>
    <mergeCell ref="A1:I1"/>
    <mergeCell ref="A2:I2"/>
    <mergeCell ref="A3:I3"/>
    <mergeCell ref="A4:I4"/>
  </mergeCells>
  <phoneticPr fontId="9" type="noConversion"/>
  <printOptions horizontalCentered="1"/>
  <pageMargins left="0.25" right="0.25" top="1" bottom="0.2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M22"/>
  <sheetViews>
    <sheetView workbookViewId="0">
      <selection activeCell="E25" sqref="E25"/>
    </sheetView>
  </sheetViews>
  <sheetFormatPr defaultColWidth="9.83203125" defaultRowHeight="10.5" x14ac:dyDescent="0.15"/>
  <cols>
    <col min="1" max="1" width="26" style="2" customWidth="1"/>
    <col min="2" max="2" width="10.83203125" style="2" customWidth="1"/>
    <col min="3" max="3" width="51.83203125" style="2" bestFit="1" customWidth="1"/>
    <col min="4" max="4" width="10.83203125" style="2" customWidth="1"/>
    <col min="5" max="9" width="9.83203125" style="2"/>
    <col min="10" max="10" width="9.83203125" style="2" customWidth="1"/>
    <col min="11" max="11" width="9.83203125" style="2"/>
    <col min="12" max="12" width="1.83203125" style="2" customWidth="1"/>
    <col min="13" max="13" width="7.83203125" style="2" customWidth="1"/>
    <col min="14" max="14" width="6.83203125" style="2" customWidth="1"/>
    <col min="15" max="16384" width="9.83203125" style="2"/>
  </cols>
  <sheetData>
    <row r="1" spans="1:13" ht="12.75" customHeight="1" x14ac:dyDescent="0.2">
      <c r="A1" s="90"/>
      <c r="B1" s="90"/>
      <c r="C1" s="90"/>
      <c r="D1" s="90"/>
      <c r="E1" s="90"/>
      <c r="F1" s="91"/>
      <c r="G1" s="91"/>
      <c r="H1"/>
      <c r="I1"/>
      <c r="J1"/>
      <c r="K1"/>
      <c r="L1"/>
      <c r="M1"/>
    </row>
    <row r="2" spans="1:13" ht="12.75" customHeight="1" x14ac:dyDescent="0.2">
      <c r="A2" s="90"/>
      <c r="B2" s="90"/>
      <c r="C2" s="90"/>
      <c r="D2" s="90"/>
      <c r="E2" s="90"/>
      <c r="F2" s="91"/>
      <c r="G2" s="91"/>
      <c r="H2"/>
      <c r="I2"/>
      <c r="J2"/>
      <c r="K2"/>
      <c r="L2"/>
      <c r="M2"/>
    </row>
    <row r="3" spans="1:13" ht="12.75" customHeight="1" x14ac:dyDescent="0.2">
      <c r="A3" s="90"/>
      <c r="B3" s="90"/>
      <c r="C3" s="92" t="s">
        <v>871</v>
      </c>
      <c r="D3" s="90"/>
      <c r="E3" s="90"/>
      <c r="F3" s="91"/>
      <c r="G3" s="91"/>
      <c r="H3"/>
      <c r="I3"/>
      <c r="J3"/>
      <c r="K3"/>
      <c r="L3"/>
      <c r="M3"/>
    </row>
    <row r="4" spans="1:13" ht="12.75" customHeight="1" x14ac:dyDescent="0.2">
      <c r="A4" s="90"/>
      <c r="B4" s="90"/>
      <c r="C4" s="90"/>
      <c r="D4" s="90"/>
      <c r="E4" s="90"/>
      <c r="F4" s="91"/>
      <c r="G4" s="91"/>
      <c r="H4"/>
      <c r="I4"/>
      <c r="J4"/>
      <c r="K4"/>
      <c r="L4"/>
      <c r="M4"/>
    </row>
    <row r="5" spans="1:13" ht="12.75" customHeight="1" x14ac:dyDescent="0.2">
      <c r="A5" s="90"/>
      <c r="B5" s="90"/>
      <c r="C5" s="92" t="s">
        <v>869</v>
      </c>
      <c r="D5" s="90"/>
      <c r="E5" s="90"/>
      <c r="F5" s="91"/>
      <c r="G5" s="91"/>
      <c r="H5"/>
      <c r="I5"/>
      <c r="J5"/>
      <c r="K5"/>
      <c r="L5"/>
      <c r="M5"/>
    </row>
    <row r="6" spans="1:13" ht="12.75" customHeight="1" x14ac:dyDescent="0.2">
      <c r="A6" s="90"/>
      <c r="B6" s="90"/>
      <c r="C6" s="90"/>
      <c r="D6" s="90"/>
      <c r="E6" s="90"/>
      <c r="F6" s="91"/>
      <c r="G6" s="91"/>
      <c r="H6"/>
      <c r="I6"/>
      <c r="J6"/>
      <c r="K6"/>
      <c r="L6"/>
      <c r="M6"/>
    </row>
    <row r="7" spans="1:13" ht="12.75" customHeight="1" x14ac:dyDescent="0.2">
      <c r="A7" s="90" t="s">
        <v>476</v>
      </c>
      <c r="B7" s="90"/>
      <c r="C7" s="92" t="s">
        <v>477</v>
      </c>
      <c r="D7" s="90"/>
      <c r="E7" s="90"/>
      <c r="F7" s="91"/>
      <c r="G7" s="91"/>
      <c r="H7"/>
      <c r="I7"/>
      <c r="J7"/>
      <c r="K7"/>
      <c r="L7"/>
      <c r="M7"/>
    </row>
    <row r="8" spans="1:13" ht="12.75" customHeight="1" x14ac:dyDescent="0.2">
      <c r="A8" s="90"/>
      <c r="B8" s="90"/>
      <c r="C8" s="90"/>
      <c r="D8" s="90"/>
      <c r="E8" s="90"/>
      <c r="F8" s="91"/>
      <c r="G8" s="91"/>
      <c r="H8"/>
      <c r="I8"/>
      <c r="J8"/>
      <c r="K8"/>
      <c r="L8"/>
      <c r="M8"/>
    </row>
    <row r="9" spans="1:13" ht="12.75" customHeight="1" x14ac:dyDescent="0.2">
      <c r="A9" s="90"/>
      <c r="B9" s="90"/>
      <c r="C9" s="92" t="str">
        <f>+Input!C4</f>
        <v>CASE NO. 2017-xxxxx</v>
      </c>
      <c r="D9" s="90"/>
      <c r="E9" s="90"/>
      <c r="F9" s="91"/>
      <c r="G9" s="91"/>
      <c r="H9"/>
      <c r="I9"/>
      <c r="J9"/>
      <c r="K9"/>
      <c r="L9"/>
      <c r="M9"/>
    </row>
    <row r="10" spans="1:13" ht="12.75" customHeight="1" x14ac:dyDescent="0.2">
      <c r="A10" s="90"/>
      <c r="B10" s="90"/>
      <c r="C10" s="90"/>
      <c r="D10" s="90"/>
      <c r="E10" s="90"/>
      <c r="F10" s="91"/>
      <c r="G10" s="91"/>
      <c r="H10"/>
      <c r="I10"/>
      <c r="J10"/>
      <c r="K10"/>
      <c r="L10"/>
      <c r="M10"/>
    </row>
    <row r="11" spans="1:13" ht="12.75" customHeight="1" x14ac:dyDescent="0.2">
      <c r="A11" s="90" t="s">
        <v>843</v>
      </c>
      <c r="B11" s="90"/>
      <c r="C11" s="92" t="str">
        <f>+Input!C6</f>
        <v>TWELVE MONTHS ENDED DECEMBER 31, 2017</v>
      </c>
      <c r="D11" s="90"/>
      <c r="E11" s="90"/>
      <c r="F11" s="91"/>
      <c r="G11" s="91"/>
      <c r="H11"/>
      <c r="I11"/>
      <c r="J11"/>
      <c r="K11"/>
      <c r="L11"/>
      <c r="M11"/>
    </row>
    <row r="12" spans="1:13" ht="12.75" customHeight="1" x14ac:dyDescent="0.2">
      <c r="A12" s="90"/>
      <c r="B12" s="90"/>
      <c r="C12" s="90"/>
      <c r="D12" s="90"/>
      <c r="E12" s="90"/>
      <c r="F12" s="91"/>
      <c r="G12" s="91"/>
      <c r="H12"/>
      <c r="I12"/>
      <c r="J12"/>
      <c r="K12"/>
      <c r="L12"/>
      <c r="M12"/>
    </row>
    <row r="13" spans="1:13" ht="12.75" customHeight="1" x14ac:dyDescent="0.2">
      <c r="A13" s="90" t="s">
        <v>478</v>
      </c>
      <c r="B13" s="90"/>
      <c r="C13" s="92" t="str">
        <f>+Input!C6</f>
        <v>TWELVE MONTHS ENDED DECEMBER 31, 2017</v>
      </c>
      <c r="D13" s="90"/>
      <c r="E13" s="90"/>
      <c r="F13" s="91"/>
      <c r="G13" s="91"/>
      <c r="H13"/>
      <c r="I13"/>
      <c r="J13"/>
      <c r="K13"/>
      <c r="L13"/>
      <c r="M13"/>
    </row>
    <row r="14" spans="1:13" ht="12.75" customHeight="1" x14ac:dyDescent="0.2">
      <c r="A14" s="90"/>
      <c r="B14" s="90"/>
      <c r="C14" s="90"/>
      <c r="D14" s="90"/>
      <c r="E14" s="90"/>
      <c r="F14" s="91"/>
      <c r="G14" s="91"/>
      <c r="H14"/>
      <c r="I14"/>
      <c r="J14"/>
      <c r="K14"/>
      <c r="L14"/>
      <c r="M14"/>
    </row>
    <row r="15" spans="1:13" ht="12.75" customHeight="1" x14ac:dyDescent="0.2">
      <c r="A15" s="93" t="s">
        <v>479</v>
      </c>
      <c r="B15" s="90"/>
      <c r="C15" s="94" t="s">
        <v>480</v>
      </c>
      <c r="D15" s="90"/>
      <c r="E15" s="90"/>
      <c r="F15" s="91"/>
      <c r="G15" s="91"/>
      <c r="H15"/>
      <c r="I15"/>
      <c r="J15"/>
      <c r="K15"/>
      <c r="L15"/>
      <c r="M15"/>
    </row>
    <row r="16" spans="1:13" ht="12.75" customHeight="1" x14ac:dyDescent="0.2">
      <c r="A16" s="90"/>
      <c r="B16" s="90"/>
      <c r="C16" s="90"/>
      <c r="D16" s="90"/>
      <c r="E16" s="90"/>
      <c r="F16" s="91"/>
      <c r="G16" s="91"/>
      <c r="H16"/>
      <c r="I16"/>
      <c r="J16"/>
      <c r="K16"/>
      <c r="L16"/>
      <c r="M16"/>
    </row>
    <row r="17" spans="1:13" ht="12.75" customHeight="1" x14ac:dyDescent="0.2">
      <c r="A17" s="90"/>
      <c r="B17" s="90"/>
      <c r="C17" s="90"/>
      <c r="D17" s="90"/>
      <c r="E17" s="90"/>
      <c r="F17" s="91"/>
      <c r="G17" s="91"/>
      <c r="H17"/>
      <c r="I17"/>
      <c r="J17"/>
      <c r="K17"/>
      <c r="L17"/>
      <c r="M17"/>
    </row>
    <row r="18" spans="1:13" ht="12.75" customHeight="1" x14ac:dyDescent="0.2">
      <c r="A18" s="90" t="s">
        <v>870</v>
      </c>
      <c r="B18" s="90"/>
      <c r="C18" s="92" t="s">
        <v>845</v>
      </c>
      <c r="D18" s="90"/>
      <c r="E18" s="90"/>
      <c r="F18" s="91"/>
      <c r="G18" s="91"/>
      <c r="H18"/>
      <c r="I18"/>
      <c r="J18"/>
      <c r="K18"/>
      <c r="L18"/>
      <c r="M18"/>
    </row>
    <row r="19" spans="1:13" ht="12.75" customHeight="1" x14ac:dyDescent="0.2">
      <c r="A19" s="90"/>
      <c r="B19" s="90"/>
      <c r="C19" s="90"/>
      <c r="D19" s="90"/>
      <c r="E19" s="90"/>
      <c r="F19" s="91"/>
      <c r="G19" s="91"/>
      <c r="H19"/>
      <c r="I19"/>
      <c r="J19"/>
      <c r="K19"/>
      <c r="L19"/>
      <c r="M19"/>
    </row>
    <row r="20" spans="1:13" ht="12.75" customHeight="1" x14ac:dyDescent="0.2">
      <c r="A20" s="91"/>
      <c r="B20" s="91"/>
      <c r="C20" s="91"/>
      <c r="D20" s="91"/>
      <c r="E20" s="91"/>
      <c r="F20" s="91"/>
      <c r="G20" s="91"/>
      <c r="H20"/>
      <c r="I20"/>
      <c r="J20"/>
      <c r="K20"/>
      <c r="L20"/>
      <c r="M20"/>
    </row>
    <row r="21" spans="1:13" ht="11.25" x14ac:dyDescent="0.2">
      <c r="A21" s="91"/>
      <c r="B21" s="91"/>
      <c r="C21" s="91"/>
      <c r="D21" s="91"/>
      <c r="E21" s="91"/>
      <c r="F21" s="91"/>
      <c r="G21" s="91"/>
      <c r="H21"/>
      <c r="I21"/>
      <c r="J21"/>
      <c r="K21"/>
      <c r="L21"/>
      <c r="M21"/>
    </row>
    <row r="22" spans="1:13" ht="11.25" x14ac:dyDescent="0.2">
      <c r="A22" s="91"/>
      <c r="B22" s="91"/>
      <c r="C22" s="91"/>
      <c r="D22" s="91"/>
      <c r="E22" s="91"/>
      <c r="F22" s="91"/>
      <c r="G22" s="91"/>
      <c r="H22"/>
      <c r="I22"/>
      <c r="J22"/>
      <c r="K22"/>
      <c r="L22"/>
      <c r="M22"/>
    </row>
  </sheetData>
  <phoneticPr fontId="3" type="noConversion"/>
  <printOptions horizontalCentered="1"/>
  <pageMargins left="0" right="1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" transitionEvaluation="1"/>
  <dimension ref="A1:Z78"/>
  <sheetViews>
    <sheetView topLeftCell="A6" zoomScaleNormal="100" zoomScaleSheetLayoutView="85" workbookViewId="0">
      <selection activeCell="E25" sqref="E25"/>
    </sheetView>
  </sheetViews>
  <sheetFormatPr defaultColWidth="11.33203125" defaultRowHeight="12.75" x14ac:dyDescent="0.2"/>
  <cols>
    <col min="1" max="1" width="17.1640625" style="822" bestFit="1" customWidth="1"/>
    <col min="2" max="2" width="4.33203125" style="821" customWidth="1"/>
    <col min="3" max="3" width="19.1640625" style="821" customWidth="1"/>
    <col min="4" max="4" width="3.1640625" style="821" customWidth="1"/>
    <col min="5" max="5" width="19.1640625" style="821" bestFit="1" customWidth="1"/>
    <col min="6" max="6" width="3.1640625" style="821" customWidth="1"/>
    <col min="7" max="7" width="19.1640625" style="821" bestFit="1" customWidth="1"/>
    <col min="8" max="8" width="3.1640625" style="821" customWidth="1"/>
    <col min="9" max="9" width="19.1640625" style="821" bestFit="1" customWidth="1"/>
    <col min="10" max="10" width="3" style="821" customWidth="1"/>
    <col min="11" max="11" width="19.1640625" style="821" bestFit="1" customWidth="1"/>
    <col min="12" max="12" width="3.33203125" style="821" customWidth="1"/>
    <col min="13" max="13" width="19.1640625" style="821" bestFit="1" customWidth="1"/>
    <col min="14" max="14" width="3.1640625" style="821" customWidth="1"/>
    <col min="15" max="15" width="19.1640625" style="821" bestFit="1" customWidth="1"/>
    <col min="16" max="16" width="3.1640625" style="821" customWidth="1"/>
    <col min="17" max="17" width="19.1640625" style="821" bestFit="1" customWidth="1"/>
    <col min="18" max="18" width="3.1640625" style="821" customWidth="1"/>
    <col min="19" max="16384" width="11.33203125" style="821"/>
  </cols>
  <sheetData>
    <row r="1" spans="1:21" x14ac:dyDescent="0.2">
      <c r="A1" s="1420" t="s">
        <v>477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</row>
    <row r="2" spans="1:21" x14ac:dyDescent="0.2">
      <c r="A2" s="1420" t="str">
        <f>+Input!C4</f>
        <v>CASE NO. 2017-xxxxx</v>
      </c>
      <c r="B2" s="1420"/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  <c r="R2" s="1420"/>
    </row>
    <row r="3" spans="1:21" x14ac:dyDescent="0.2">
      <c r="A3" s="1420" t="s">
        <v>971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1420"/>
      <c r="M3" s="1420"/>
      <c r="N3" s="1420"/>
      <c r="O3" s="1420"/>
      <c r="P3" s="1420"/>
      <c r="Q3" s="1420"/>
      <c r="R3" s="1420"/>
    </row>
    <row r="4" spans="1:21" x14ac:dyDescent="0.2">
      <c r="A4" s="1421" t="str">
        <f>+Input!C7</f>
        <v>AS OF DECEMBER 31, 2017</v>
      </c>
      <c r="B4" s="1421"/>
      <c r="C4" s="1421"/>
      <c r="D4" s="1421"/>
      <c r="E4" s="1421"/>
      <c r="F4" s="1421"/>
      <c r="G4" s="1421"/>
      <c r="H4" s="1421"/>
      <c r="I4" s="1421"/>
      <c r="J4" s="1421"/>
      <c r="K4" s="1421"/>
      <c r="L4" s="1421"/>
      <c r="M4" s="1421"/>
      <c r="N4" s="1421"/>
      <c r="O4" s="1421"/>
      <c r="P4" s="1421"/>
      <c r="Q4" s="1421"/>
      <c r="R4" s="1421"/>
    </row>
    <row r="5" spans="1:21" x14ac:dyDescent="0.2">
      <c r="A5" s="857"/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  <c r="N5" s="858"/>
      <c r="O5" s="858"/>
      <c r="P5" s="858"/>
      <c r="Q5" s="881" t="s">
        <v>1052</v>
      </c>
      <c r="R5" s="858"/>
    </row>
    <row r="6" spans="1:21" x14ac:dyDescent="0.2">
      <c r="A6" s="858"/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81" t="s">
        <v>1044</v>
      </c>
      <c r="R6" s="858"/>
    </row>
    <row r="7" spans="1:21" x14ac:dyDescent="0.2">
      <c r="A7" s="859"/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8"/>
      <c r="Q7" s="882" t="s">
        <v>1053</v>
      </c>
      <c r="R7" s="859"/>
      <c r="S7" s="824"/>
      <c r="T7" s="824"/>
      <c r="U7" s="824"/>
    </row>
    <row r="8" spans="1:21" x14ac:dyDescent="0.2">
      <c r="A8" s="1422" t="s">
        <v>1100</v>
      </c>
      <c r="B8" s="1422"/>
      <c r="C8" s="1422"/>
      <c r="D8" s="1422"/>
      <c r="E8" s="1422"/>
      <c r="F8" s="1422"/>
      <c r="G8" s="1422"/>
      <c r="H8" s="1422"/>
      <c r="I8" s="1422"/>
      <c r="J8" s="1422"/>
      <c r="K8" s="1422"/>
      <c r="L8" s="1422"/>
      <c r="M8" s="1422"/>
      <c r="N8" s="1422"/>
      <c r="O8" s="1422"/>
      <c r="P8" s="1422"/>
      <c r="Q8" s="1422"/>
      <c r="R8" s="1422"/>
    </row>
    <row r="9" spans="1:21" x14ac:dyDescent="0.2">
      <c r="A9" s="858"/>
      <c r="B9" s="858"/>
      <c r="C9" s="862" t="s">
        <v>1101</v>
      </c>
      <c r="D9" s="858"/>
      <c r="E9" s="862" t="s">
        <v>1102</v>
      </c>
      <c r="F9" s="858"/>
      <c r="G9" s="862" t="s">
        <v>1103</v>
      </c>
      <c r="H9" s="858"/>
      <c r="I9" s="862" t="s">
        <v>1104</v>
      </c>
      <c r="J9" s="861"/>
      <c r="K9" s="861" t="s">
        <v>1105</v>
      </c>
      <c r="L9" s="861"/>
      <c r="M9" s="861" t="s">
        <v>1106</v>
      </c>
      <c r="N9" s="858"/>
      <c r="O9" s="861" t="s">
        <v>1107</v>
      </c>
      <c r="P9" s="861"/>
      <c r="Q9" s="861" t="s">
        <v>1108</v>
      </c>
      <c r="R9" s="858"/>
    </row>
    <row r="10" spans="1:21" x14ac:dyDescent="0.2">
      <c r="A10" s="858"/>
      <c r="B10" s="858"/>
      <c r="C10" s="862" t="s">
        <v>1109</v>
      </c>
      <c r="D10" s="858"/>
      <c r="E10" s="862" t="s">
        <v>1109</v>
      </c>
      <c r="F10" s="858"/>
      <c r="G10" s="862" t="s">
        <v>1110</v>
      </c>
      <c r="H10" s="858"/>
      <c r="I10" s="862" t="s">
        <v>1110</v>
      </c>
      <c r="J10" s="858"/>
      <c r="K10" s="862" t="s">
        <v>1111</v>
      </c>
      <c r="L10" s="858"/>
      <c r="M10" s="862" t="s">
        <v>1111</v>
      </c>
      <c r="N10" s="858"/>
      <c r="O10" s="862" t="s">
        <v>1062</v>
      </c>
      <c r="P10" s="858"/>
      <c r="Q10" s="862" t="s">
        <v>1062</v>
      </c>
      <c r="R10" s="858"/>
    </row>
    <row r="11" spans="1:21" x14ac:dyDescent="0.2">
      <c r="A11" s="858"/>
      <c r="B11" s="858"/>
      <c r="C11" s="862" t="s">
        <v>1112</v>
      </c>
      <c r="D11" s="858"/>
      <c r="E11" s="862" t="s">
        <v>1112</v>
      </c>
      <c r="F11" s="858"/>
      <c r="G11" s="862" t="s">
        <v>1113</v>
      </c>
      <c r="H11" s="858"/>
      <c r="I11" s="862" t="s">
        <v>1113</v>
      </c>
      <c r="J11" s="858"/>
      <c r="K11" s="862" t="s">
        <v>1114</v>
      </c>
      <c r="L11" s="858"/>
      <c r="M11" s="862" t="s">
        <v>1114</v>
      </c>
      <c r="N11" s="858"/>
      <c r="O11" s="862" t="s">
        <v>1080</v>
      </c>
      <c r="P11" s="858"/>
      <c r="Q11" s="862" t="s">
        <v>1080</v>
      </c>
      <c r="R11" s="858"/>
    </row>
    <row r="12" spans="1:21" x14ac:dyDescent="0.2">
      <c r="A12" s="858"/>
      <c r="B12" s="858"/>
      <c r="C12" s="862" t="s">
        <v>22</v>
      </c>
      <c r="D12" s="858"/>
      <c r="E12" s="862" t="s">
        <v>22</v>
      </c>
      <c r="F12" s="858"/>
      <c r="G12" s="862" t="s">
        <v>1115</v>
      </c>
      <c r="H12" s="858"/>
      <c r="I12" s="862" t="s">
        <v>1115</v>
      </c>
      <c r="J12" s="858"/>
      <c r="K12" s="862" t="s">
        <v>1116</v>
      </c>
      <c r="L12" s="858"/>
      <c r="M12" s="862" t="s">
        <v>1116</v>
      </c>
      <c r="N12" s="858"/>
      <c r="O12" s="862" t="s">
        <v>1069</v>
      </c>
      <c r="P12" s="858"/>
      <c r="Q12" s="862" t="s">
        <v>1069</v>
      </c>
      <c r="R12" s="858"/>
    </row>
    <row r="13" spans="1:21" x14ac:dyDescent="0.2">
      <c r="A13" s="858"/>
      <c r="B13" s="858"/>
      <c r="C13" s="878" t="s">
        <v>1098</v>
      </c>
      <c r="D13" s="858"/>
      <c r="E13" s="878" t="s">
        <v>1099</v>
      </c>
      <c r="F13" s="858"/>
      <c r="G13" s="878" t="s">
        <v>1098</v>
      </c>
      <c r="H13" s="858"/>
      <c r="I13" s="878" t="s">
        <v>1099</v>
      </c>
      <c r="J13" s="858"/>
      <c r="K13" s="878" t="s">
        <v>1098</v>
      </c>
      <c r="L13" s="858"/>
      <c r="M13" s="878" t="s">
        <v>1099</v>
      </c>
      <c r="N13" s="858"/>
      <c r="O13" s="878" t="s">
        <v>1098</v>
      </c>
      <c r="P13" s="858"/>
      <c r="Q13" s="878" t="s">
        <v>1099</v>
      </c>
      <c r="R13" s="858"/>
    </row>
    <row r="14" spans="1:21" x14ac:dyDescent="0.2">
      <c r="A14" s="858"/>
      <c r="B14" s="864"/>
      <c r="C14" s="865" t="s">
        <v>500</v>
      </c>
      <c r="D14" s="866"/>
      <c r="E14" s="865" t="s">
        <v>500</v>
      </c>
      <c r="F14" s="866"/>
      <c r="G14" s="865" t="s">
        <v>500</v>
      </c>
      <c r="H14" s="866"/>
      <c r="I14" s="865" t="s">
        <v>500</v>
      </c>
      <c r="J14" s="858"/>
      <c r="K14" s="862" t="s">
        <v>500</v>
      </c>
      <c r="L14" s="858"/>
      <c r="M14" s="862" t="s">
        <v>500</v>
      </c>
      <c r="N14" s="858"/>
      <c r="O14" s="865" t="s">
        <v>500</v>
      </c>
      <c r="P14" s="866"/>
      <c r="Q14" s="865" t="s">
        <v>500</v>
      </c>
      <c r="R14" s="858"/>
    </row>
    <row r="15" spans="1:21" ht="6" customHeight="1" x14ac:dyDescent="0.2">
      <c r="A15" s="858"/>
      <c r="B15" s="864"/>
      <c r="C15" s="865"/>
      <c r="D15" s="866"/>
      <c r="E15" s="865"/>
      <c r="F15" s="866"/>
      <c r="G15" s="865"/>
      <c r="H15" s="866"/>
      <c r="I15" s="865"/>
      <c r="J15" s="858"/>
      <c r="K15" s="858"/>
      <c r="L15" s="858"/>
      <c r="M15" s="858"/>
      <c r="N15" s="858"/>
      <c r="O15" s="858"/>
      <c r="P15" s="858"/>
      <c r="Q15" s="858"/>
      <c r="R15" s="858"/>
    </row>
    <row r="16" spans="1:21" x14ac:dyDescent="0.2">
      <c r="A16" s="845" t="s">
        <v>1798</v>
      </c>
      <c r="B16" s="858"/>
      <c r="C16" s="1317">
        <f>-13855619-3208983-209090-226665</f>
        <v>-17500357</v>
      </c>
      <c r="D16" s="883"/>
      <c r="E16" s="1317">
        <f>-3377865-824418-51729</f>
        <v>-4254012</v>
      </c>
      <c r="F16" s="883"/>
      <c r="G16" s="1317">
        <v>-3960758</v>
      </c>
      <c r="H16" s="883"/>
      <c r="I16" s="1317">
        <v>-959546</v>
      </c>
      <c r="J16" s="869"/>
      <c r="K16" s="1317">
        <v>-350138</v>
      </c>
      <c r="L16" s="869"/>
      <c r="M16" s="1317">
        <v>-85623</v>
      </c>
      <c r="N16" s="869"/>
      <c r="O16" s="1317">
        <v>1075782</v>
      </c>
      <c r="P16" s="884"/>
      <c r="Q16" s="1317">
        <v>263992</v>
      </c>
      <c r="R16" s="858"/>
    </row>
    <row r="17" spans="1:26" x14ac:dyDescent="0.2">
      <c r="A17" s="845" t="s">
        <v>1799</v>
      </c>
      <c r="B17" s="858"/>
      <c r="C17" s="1317">
        <f>-14037536-3208983-207536-228942</f>
        <v>-17682997</v>
      </c>
      <c r="D17" s="883"/>
      <c r="E17" s="1317">
        <f>-3413883-824418-52144</f>
        <v>-4290445</v>
      </c>
      <c r="F17" s="883"/>
      <c r="G17" s="1317">
        <v>-4010318</v>
      </c>
      <c r="H17" s="883"/>
      <c r="I17" s="1317">
        <v>-968850</v>
      </c>
      <c r="J17" s="869"/>
      <c r="K17" s="1317">
        <v>-352302</v>
      </c>
      <c r="L17" s="869"/>
      <c r="M17" s="1317">
        <v>-86029</v>
      </c>
      <c r="N17" s="869"/>
      <c r="O17" s="1317">
        <v>1079453</v>
      </c>
      <c r="P17" s="884"/>
      <c r="Q17" s="1317">
        <v>264681</v>
      </c>
      <c r="R17" s="858"/>
    </row>
    <row r="18" spans="1:26" x14ac:dyDescent="0.2">
      <c r="A18" s="845" t="s">
        <v>1033</v>
      </c>
      <c r="B18" s="858"/>
      <c r="C18" s="1317">
        <f>-14231958-3208983-205875-231376</f>
        <v>-17878192</v>
      </c>
      <c r="D18" s="883"/>
      <c r="E18" s="1317">
        <f>-3452375-824418-52588</f>
        <v>-4329381</v>
      </c>
      <c r="F18" s="883"/>
      <c r="G18" s="1317">
        <v>-4071961</v>
      </c>
      <c r="H18" s="883"/>
      <c r="I18" s="1317">
        <v>-980423</v>
      </c>
      <c r="J18" s="869"/>
      <c r="K18" s="1317">
        <v>-356855</v>
      </c>
      <c r="L18" s="869"/>
      <c r="M18" s="1317">
        <v>-86884</v>
      </c>
      <c r="N18" s="869"/>
      <c r="O18" s="1317">
        <v>1083376</v>
      </c>
      <c r="P18" s="884"/>
      <c r="Q18" s="1317">
        <v>265418</v>
      </c>
      <c r="R18" s="858"/>
    </row>
    <row r="19" spans="1:26" x14ac:dyDescent="0.2">
      <c r="A19" s="845" t="s">
        <v>1034</v>
      </c>
      <c r="B19" s="858"/>
      <c r="C19" s="1317">
        <f>-14353016-3913454-247284-233374</f>
        <v>-18747128</v>
      </c>
      <c r="D19" s="883"/>
      <c r="E19" s="1317">
        <f>-3476544-952893-52952</f>
        <v>-4482389</v>
      </c>
      <c r="F19" s="883"/>
      <c r="G19" s="1317">
        <v>-4119124</v>
      </c>
      <c r="H19" s="883"/>
      <c r="I19" s="1317">
        <v>-989277</v>
      </c>
      <c r="J19" s="869"/>
      <c r="K19" s="1317">
        <v>-359703</v>
      </c>
      <c r="L19" s="869"/>
      <c r="M19" s="1317">
        <v>-87419</v>
      </c>
      <c r="N19" s="869"/>
      <c r="O19" s="1317">
        <v>1086597</v>
      </c>
      <c r="P19" s="884"/>
      <c r="Q19" s="1317">
        <v>266022</v>
      </c>
      <c r="R19" s="858"/>
    </row>
    <row r="20" spans="1:26" x14ac:dyDescent="0.2">
      <c r="A20" s="845" t="s">
        <v>1035</v>
      </c>
      <c r="B20" s="858"/>
      <c r="C20" s="1317">
        <f>-14465132-4072244-255893-234886</f>
        <v>-19028155</v>
      </c>
      <c r="D20" s="883"/>
      <c r="E20" s="1317">
        <f>-3498785-981852-53228</f>
        <v>-4533865</v>
      </c>
      <c r="F20" s="883"/>
      <c r="G20" s="1317">
        <v>-4154821</v>
      </c>
      <c r="H20" s="883"/>
      <c r="I20" s="1317">
        <v>-995978</v>
      </c>
      <c r="J20" s="869"/>
      <c r="K20" s="1317">
        <v>-361860</v>
      </c>
      <c r="L20" s="869"/>
      <c r="M20" s="1317">
        <v>-87824</v>
      </c>
      <c r="N20" s="869"/>
      <c r="O20" s="1317">
        <v>1089034</v>
      </c>
      <c r="P20" s="884"/>
      <c r="Q20" s="1317">
        <v>266480</v>
      </c>
      <c r="R20" s="858"/>
    </row>
    <row r="21" spans="1:26" x14ac:dyDescent="0.2">
      <c r="A21" s="845" t="s">
        <v>1036</v>
      </c>
      <c r="B21" s="858"/>
      <c r="C21" s="1317">
        <f>-14548291-4190023-262279-236007</f>
        <v>-19236600</v>
      </c>
      <c r="D21" s="883"/>
      <c r="E21" s="1317">
        <f>-3515284-1003331-53433</f>
        <v>-4572048</v>
      </c>
      <c r="F21" s="883"/>
      <c r="G21" s="1317">
        <v>-4181297</v>
      </c>
      <c r="H21" s="883"/>
      <c r="I21" s="1317">
        <v>-1000949</v>
      </c>
      <c r="J21" s="869"/>
      <c r="K21" s="1317">
        <v>-363459</v>
      </c>
      <c r="L21" s="869"/>
      <c r="M21" s="1317">
        <v>-88124</v>
      </c>
      <c r="N21" s="869"/>
      <c r="O21" s="1317">
        <v>1090842</v>
      </c>
      <c r="P21" s="884"/>
      <c r="Q21" s="1317">
        <v>266819</v>
      </c>
      <c r="R21" s="858"/>
    </row>
    <row r="22" spans="1:26" x14ac:dyDescent="0.2">
      <c r="A22" s="845" t="s">
        <v>1037</v>
      </c>
      <c r="B22" s="858"/>
      <c r="C22" s="1317">
        <f>-14607400-4273739-266818-236805</f>
        <v>-19384762</v>
      </c>
      <c r="D22" s="883"/>
      <c r="E22" s="1317">
        <f>-3527010-1018599-53578</f>
        <v>-4599187</v>
      </c>
      <c r="F22" s="883"/>
      <c r="G22" s="1317">
        <v>-4200116</v>
      </c>
      <c r="H22" s="883"/>
      <c r="I22" s="1317">
        <v>-1004482</v>
      </c>
      <c r="J22" s="869"/>
      <c r="K22" s="1317">
        <v>-364596</v>
      </c>
      <c r="L22" s="869"/>
      <c r="M22" s="1317">
        <v>-88337</v>
      </c>
      <c r="N22" s="869"/>
      <c r="O22" s="1317">
        <v>1092127</v>
      </c>
      <c r="P22" s="884"/>
      <c r="Q22" s="1317">
        <v>267061</v>
      </c>
      <c r="R22" s="858"/>
    </row>
    <row r="23" spans="1:26" x14ac:dyDescent="0.2">
      <c r="A23" s="845" t="s">
        <v>1038</v>
      </c>
      <c r="B23" s="858"/>
      <c r="C23" s="1317">
        <f>-14663277-4352880-271109-237558</f>
        <v>-19524824</v>
      </c>
      <c r="D23" s="883"/>
      <c r="E23" s="1317">
        <f>-3538096-1033031-53716</f>
        <v>-4624843</v>
      </c>
      <c r="F23" s="883"/>
      <c r="G23" s="1317">
        <v>-4217907</v>
      </c>
      <c r="H23" s="883"/>
      <c r="I23" s="1317">
        <v>-1007822</v>
      </c>
      <c r="J23" s="869"/>
      <c r="K23" s="1317">
        <v>-365670</v>
      </c>
      <c r="L23" s="869"/>
      <c r="M23" s="1317">
        <v>-88539</v>
      </c>
      <c r="N23" s="869"/>
      <c r="O23" s="1317">
        <v>1093242</v>
      </c>
      <c r="P23" s="884"/>
      <c r="Q23" s="1317">
        <v>267289</v>
      </c>
      <c r="R23" s="858"/>
    </row>
    <row r="24" spans="1:26" x14ac:dyDescent="0.2">
      <c r="A24" s="845" t="s">
        <v>1039</v>
      </c>
      <c r="B24" s="858"/>
      <c r="C24" s="1317">
        <f>-14718078-4430496-275317-238298</f>
        <v>-19662189</v>
      </c>
      <c r="D24" s="883"/>
      <c r="E24" s="1317">
        <f>-3548968-1047186-53850</f>
        <v>-4650004</v>
      </c>
      <c r="F24" s="883"/>
      <c r="G24" s="1317">
        <v>-4235356</v>
      </c>
      <c r="H24" s="883"/>
      <c r="I24" s="1317">
        <v>-1011098</v>
      </c>
      <c r="J24" s="869"/>
      <c r="K24" s="1317">
        <v>-366724</v>
      </c>
      <c r="L24" s="869"/>
      <c r="M24" s="1317">
        <v>-88737</v>
      </c>
      <c r="N24" s="869"/>
      <c r="O24" s="1317">
        <v>1094534</v>
      </c>
      <c r="P24" s="884"/>
      <c r="Q24" s="1317">
        <v>267512</v>
      </c>
      <c r="R24" s="858"/>
    </row>
    <row r="25" spans="1:26" x14ac:dyDescent="0.2">
      <c r="A25" s="845" t="s">
        <v>1051</v>
      </c>
      <c r="B25" s="858"/>
      <c r="C25" s="1317">
        <f>-14775153-4511331-279700-239067</f>
        <v>-19805251</v>
      </c>
      <c r="D25" s="883"/>
      <c r="E25" s="1317">
        <f>-3560291-1061928-53991</f>
        <v>-4676210</v>
      </c>
      <c r="F25" s="883"/>
      <c r="G25" s="1317">
        <v>-4253528</v>
      </c>
      <c r="H25" s="883"/>
      <c r="I25" s="1317">
        <v>-1014509</v>
      </c>
      <c r="J25" s="869"/>
      <c r="K25" s="1317">
        <v>-367822</v>
      </c>
      <c r="L25" s="869"/>
      <c r="M25" s="1317">
        <v>-88943</v>
      </c>
      <c r="N25" s="869"/>
      <c r="O25" s="1317">
        <v>1095775</v>
      </c>
      <c r="P25" s="884"/>
      <c r="Q25" s="1317">
        <v>267745</v>
      </c>
      <c r="R25" s="858"/>
    </row>
    <row r="26" spans="1:26" x14ac:dyDescent="0.2">
      <c r="A26" s="845" t="s">
        <v>1031</v>
      </c>
      <c r="B26" s="876"/>
      <c r="C26" s="1320">
        <f>-14793287-4587422-282705-238212</f>
        <v>-19901626</v>
      </c>
      <c r="D26" s="885"/>
      <c r="E26" s="1320">
        <f>-3563111-1075805-53835</f>
        <v>-4692751</v>
      </c>
      <c r="F26" s="885"/>
      <c r="G26" s="1320">
        <v>-4120107</v>
      </c>
      <c r="H26" s="885"/>
      <c r="I26" s="1320">
        <v>-989470</v>
      </c>
      <c r="J26" s="886"/>
      <c r="K26" s="1320">
        <v>-360794</v>
      </c>
      <c r="L26" s="886"/>
      <c r="M26" s="1320">
        <v>-87624</v>
      </c>
      <c r="N26" s="886"/>
      <c r="O26" s="1320">
        <v>1095611</v>
      </c>
      <c r="P26" s="887"/>
      <c r="Q26" s="1320">
        <v>267715</v>
      </c>
      <c r="R26" s="858"/>
    </row>
    <row r="27" spans="1:26" x14ac:dyDescent="0.2">
      <c r="A27" s="845" t="s">
        <v>1032</v>
      </c>
      <c r="B27" s="876"/>
      <c r="C27" s="1320">
        <f>-14882070-4713165-289522-239409</f>
        <v>-20124166</v>
      </c>
      <c r="D27" s="885"/>
      <c r="E27" s="1320">
        <f>-3580725-1098737-54053</f>
        <v>-4733515</v>
      </c>
      <c r="F27" s="885"/>
      <c r="G27" s="1320">
        <v>-4148374</v>
      </c>
      <c r="H27" s="885"/>
      <c r="I27" s="1320">
        <v>-994777</v>
      </c>
      <c r="J27" s="886"/>
      <c r="K27" s="1320">
        <v>-362502</v>
      </c>
      <c r="L27" s="886"/>
      <c r="M27" s="1320">
        <v>-87944</v>
      </c>
      <c r="N27" s="886"/>
      <c r="O27" s="1320">
        <v>1097542</v>
      </c>
      <c r="P27" s="887"/>
      <c r="Q27" s="1320">
        <v>268077</v>
      </c>
      <c r="R27" s="860"/>
      <c r="S27" s="824"/>
      <c r="T27" s="824"/>
      <c r="U27" s="824"/>
      <c r="V27" s="824"/>
      <c r="W27" s="824"/>
      <c r="X27" s="824"/>
      <c r="Y27" s="824"/>
      <c r="Z27" s="824"/>
    </row>
    <row r="28" spans="1:26" x14ac:dyDescent="0.2">
      <c r="A28" s="845" t="s">
        <v>1800</v>
      </c>
      <c r="B28" s="858"/>
      <c r="C28" s="1319">
        <f>-15024447-4920379-303245-227106</f>
        <v>-20475177</v>
      </c>
      <c r="D28" s="884"/>
      <c r="E28" s="1319">
        <f>-3612473-1136527-51810</f>
        <v>-4800810</v>
      </c>
      <c r="F28" s="884"/>
      <c r="G28" s="1319">
        <v>-3997686</v>
      </c>
      <c r="H28" s="884"/>
      <c r="I28" s="1319">
        <v>-966488</v>
      </c>
      <c r="J28" s="884"/>
      <c r="K28" s="1319">
        <v>-348516</v>
      </c>
      <c r="L28" s="884"/>
      <c r="M28" s="1319">
        <v>-85319</v>
      </c>
      <c r="N28" s="884"/>
      <c r="O28" s="1319">
        <v>1106960</v>
      </c>
      <c r="P28" s="884"/>
      <c r="Q28" s="1319">
        <v>269845</v>
      </c>
      <c r="R28" s="858"/>
    </row>
    <row r="29" spans="1:26" ht="6" customHeight="1" x14ac:dyDescent="0.2">
      <c r="A29" s="874"/>
      <c r="B29" s="868"/>
      <c r="C29" s="867"/>
      <c r="D29" s="868"/>
      <c r="E29" s="867"/>
      <c r="F29" s="868"/>
      <c r="G29" s="867"/>
      <c r="H29" s="868"/>
      <c r="I29" s="867"/>
      <c r="J29" s="858"/>
      <c r="K29" s="867"/>
      <c r="L29" s="858"/>
      <c r="M29" s="867"/>
      <c r="N29" s="858"/>
      <c r="O29" s="867"/>
      <c r="P29" s="873"/>
      <c r="Q29" s="867"/>
      <c r="R29" s="858"/>
    </row>
    <row r="30" spans="1:26" x14ac:dyDescent="0.2">
      <c r="A30" s="875" t="s">
        <v>1072</v>
      </c>
      <c r="B30" s="876"/>
      <c r="C30" s="858"/>
      <c r="D30" s="858"/>
      <c r="E30" s="858"/>
      <c r="F30" s="858"/>
      <c r="G30" s="858"/>
      <c r="H30" s="858"/>
      <c r="I30" s="858"/>
      <c r="J30" s="858"/>
      <c r="K30" s="858"/>
      <c r="L30" s="858"/>
      <c r="M30" s="858"/>
      <c r="N30" s="858"/>
      <c r="O30" s="858"/>
      <c r="P30" s="873"/>
      <c r="Q30" s="858"/>
      <c r="R30" s="858"/>
    </row>
    <row r="31" spans="1:26" x14ac:dyDescent="0.2">
      <c r="A31" s="875" t="s">
        <v>1073</v>
      </c>
      <c r="B31" s="868"/>
      <c r="C31" s="877">
        <f>AVERAGE(C16:C28)</f>
        <v>-19150109.53846154</v>
      </c>
      <c r="D31" s="876"/>
      <c r="E31" s="877">
        <f>AVERAGE(E16:E28)</f>
        <v>-4556881.538461538</v>
      </c>
      <c r="F31" s="876"/>
      <c r="G31" s="877">
        <f>AVERAGE(G16:G28)</f>
        <v>-4128565.6153846155</v>
      </c>
      <c r="H31" s="876"/>
      <c r="I31" s="877">
        <f>AVERAGE(I16:I28)</f>
        <v>-991051.4615384615</v>
      </c>
      <c r="J31" s="864"/>
      <c r="K31" s="877">
        <f>AVERAGE(K16:K28)</f>
        <v>-360072.38461538462</v>
      </c>
      <c r="L31" s="864"/>
      <c r="M31" s="877">
        <f>AVERAGE(M16:M28)</f>
        <v>-87488.153846153844</v>
      </c>
      <c r="N31" s="858"/>
      <c r="O31" s="877">
        <f>AVERAGE(O16:O28)</f>
        <v>1090836.5384615385</v>
      </c>
      <c r="P31" s="873"/>
      <c r="Q31" s="877">
        <f>AVERAGE(Q16:Q28)</f>
        <v>266819.69230769231</v>
      </c>
      <c r="R31" s="858"/>
    </row>
    <row r="32" spans="1:26" x14ac:dyDescent="0.2">
      <c r="A32" s="858"/>
      <c r="B32" s="858"/>
      <c r="C32" s="858"/>
      <c r="D32" s="858"/>
      <c r="E32" s="858"/>
      <c r="F32" s="858"/>
      <c r="G32" s="858"/>
      <c r="H32" s="858"/>
      <c r="I32" s="858"/>
      <c r="J32" s="858"/>
      <c r="K32" s="858"/>
      <c r="L32" s="858"/>
      <c r="M32" s="858"/>
      <c r="N32" s="858"/>
      <c r="O32" s="858"/>
      <c r="P32" s="858"/>
      <c r="Q32" s="858"/>
      <c r="R32" s="858"/>
    </row>
    <row r="33" spans="1:18" x14ac:dyDescent="0.2">
      <c r="A33" s="858"/>
      <c r="B33" s="858"/>
      <c r="C33" s="858">
        <v>28205300</v>
      </c>
      <c r="D33" s="858"/>
      <c r="E33" s="858">
        <v>28206300</v>
      </c>
      <c r="F33" s="858"/>
      <c r="G33" s="858">
        <v>28205000</v>
      </c>
      <c r="H33" s="858"/>
      <c r="I33" s="858">
        <v>28206000</v>
      </c>
      <c r="J33" s="858"/>
      <c r="K33" s="858">
        <v>28205000</v>
      </c>
      <c r="L33" s="858"/>
      <c r="M33" s="858">
        <v>28206000</v>
      </c>
      <c r="N33" s="858"/>
      <c r="O33" s="858">
        <v>28205000</v>
      </c>
      <c r="P33" s="858"/>
      <c r="Q33" s="858">
        <v>28206000</v>
      </c>
      <c r="R33" s="858"/>
    </row>
    <row r="34" spans="1:18" x14ac:dyDescent="0.2">
      <c r="A34" s="858"/>
      <c r="B34" s="858"/>
      <c r="C34" s="858"/>
      <c r="D34" s="858"/>
      <c r="E34" s="858"/>
      <c r="F34" s="858"/>
      <c r="G34" s="858"/>
      <c r="H34" s="858"/>
      <c r="I34" s="858"/>
      <c r="J34" s="858"/>
      <c r="K34" s="858"/>
      <c r="L34" s="858"/>
      <c r="M34" s="858"/>
      <c r="N34" s="858"/>
      <c r="O34" s="858"/>
      <c r="P34" s="858"/>
      <c r="Q34" s="858"/>
      <c r="R34" s="858"/>
    </row>
    <row r="35" spans="1:18" x14ac:dyDescent="0.2">
      <c r="M35" s="940"/>
      <c r="N35" s="940"/>
      <c r="O35" s="940"/>
      <c r="P35" s="940"/>
      <c r="Q35" s="940"/>
      <c r="R35" s="940"/>
    </row>
    <row r="36" spans="1:18" x14ac:dyDescent="0.2">
      <c r="M36" s="940"/>
      <c r="N36" s="940"/>
      <c r="O36" s="940"/>
      <c r="P36" s="940"/>
      <c r="Q36" s="940"/>
      <c r="R36" s="940"/>
    </row>
    <row r="37" spans="1:18" x14ac:dyDescent="0.2">
      <c r="M37" s="940"/>
      <c r="N37" s="940"/>
      <c r="O37" s="940"/>
      <c r="P37" s="940"/>
      <c r="Q37" s="940"/>
      <c r="R37" s="940"/>
    </row>
    <row r="38" spans="1:18" x14ac:dyDescent="0.2">
      <c r="M38" s="941"/>
      <c r="N38" s="941"/>
      <c r="O38" s="941"/>
      <c r="P38" s="941"/>
      <c r="Q38" s="941"/>
      <c r="R38" s="941"/>
    </row>
    <row r="39" spans="1:18" x14ac:dyDescent="0.2">
      <c r="M39" s="858"/>
      <c r="N39" s="858"/>
      <c r="O39" s="858"/>
      <c r="P39" s="858"/>
      <c r="R39" s="858"/>
    </row>
    <row r="40" spans="1:18" x14ac:dyDescent="0.2">
      <c r="M40" s="858"/>
      <c r="N40" s="858"/>
      <c r="O40" s="858"/>
      <c r="P40" s="858"/>
      <c r="R40" s="860"/>
    </row>
    <row r="41" spans="1:18" x14ac:dyDescent="0.2">
      <c r="M41" s="860"/>
      <c r="N41" s="860"/>
      <c r="O41" s="860"/>
      <c r="P41" s="860"/>
      <c r="R41" s="860"/>
    </row>
    <row r="42" spans="1:18" x14ac:dyDescent="0.2">
      <c r="M42" s="942"/>
      <c r="N42" s="942"/>
      <c r="O42" s="942"/>
      <c r="P42" s="942"/>
      <c r="Q42" s="942"/>
      <c r="R42" s="942"/>
    </row>
    <row r="43" spans="1:18" x14ac:dyDescent="0.2">
      <c r="M43" s="861"/>
      <c r="N43" s="860"/>
      <c r="O43" s="861"/>
      <c r="P43" s="861"/>
      <c r="Q43" s="861"/>
      <c r="R43" s="860"/>
    </row>
    <row r="44" spans="1:18" x14ac:dyDescent="0.2">
      <c r="M44" s="861"/>
      <c r="N44" s="860"/>
      <c r="O44" s="861"/>
      <c r="P44" s="860"/>
      <c r="Q44" s="861"/>
      <c r="R44" s="860"/>
    </row>
    <row r="45" spans="1:18" x14ac:dyDescent="0.2">
      <c r="M45" s="861"/>
      <c r="N45" s="860"/>
      <c r="O45" s="861"/>
      <c r="P45" s="860"/>
      <c r="Q45" s="861"/>
      <c r="R45" s="860"/>
    </row>
    <row r="46" spans="1:18" x14ac:dyDescent="0.2">
      <c r="M46" s="861"/>
      <c r="N46" s="860"/>
      <c r="O46" s="861"/>
      <c r="P46" s="860"/>
      <c r="Q46" s="861"/>
      <c r="R46" s="860"/>
    </row>
    <row r="47" spans="1:18" x14ac:dyDescent="0.2">
      <c r="M47" s="932"/>
      <c r="N47" s="860"/>
      <c r="O47" s="932"/>
      <c r="P47" s="860"/>
      <c r="Q47" s="932"/>
      <c r="R47" s="860"/>
    </row>
    <row r="48" spans="1:18" x14ac:dyDescent="0.2">
      <c r="M48" s="861"/>
      <c r="N48" s="860"/>
      <c r="O48" s="933"/>
      <c r="P48" s="934"/>
      <c r="Q48" s="933"/>
      <c r="R48" s="860"/>
    </row>
    <row r="49" spans="13:18" x14ac:dyDescent="0.2">
      <c r="M49" s="860"/>
      <c r="N49" s="860"/>
      <c r="O49" s="860"/>
      <c r="P49" s="860"/>
      <c r="Q49" s="860"/>
      <c r="R49" s="860"/>
    </row>
    <row r="50" spans="13:18" x14ac:dyDescent="0.2">
      <c r="M50" s="870"/>
      <c r="N50" s="886"/>
      <c r="O50" s="870"/>
      <c r="P50" s="887"/>
      <c r="Q50" s="870"/>
      <c r="R50" s="860"/>
    </row>
    <row r="51" spans="13:18" ht="6" customHeight="1" x14ac:dyDescent="0.2">
      <c r="M51" s="935"/>
      <c r="N51" s="886"/>
      <c r="O51" s="935"/>
      <c r="P51" s="887"/>
      <c r="Q51" s="935"/>
      <c r="R51" s="860"/>
    </row>
    <row r="52" spans="13:18" x14ac:dyDescent="0.2">
      <c r="M52" s="870"/>
      <c r="N52" s="886"/>
      <c r="O52" s="870"/>
      <c r="P52" s="887"/>
      <c r="Q52" s="870"/>
      <c r="R52" s="860"/>
    </row>
    <row r="53" spans="13:18" ht="6" customHeight="1" x14ac:dyDescent="0.2">
      <c r="M53" s="870"/>
      <c r="N53" s="886"/>
      <c r="O53" s="870"/>
      <c r="P53" s="887"/>
      <c r="Q53" s="870"/>
      <c r="R53" s="860"/>
    </row>
    <row r="54" spans="13:18" x14ac:dyDescent="0.2">
      <c r="M54" s="870"/>
      <c r="N54" s="886"/>
      <c r="O54" s="870"/>
      <c r="P54" s="887"/>
      <c r="Q54" s="870"/>
      <c r="R54" s="860"/>
    </row>
    <row r="55" spans="13:18" ht="6" customHeight="1" x14ac:dyDescent="0.2">
      <c r="M55" s="870"/>
      <c r="N55" s="886"/>
      <c r="O55" s="870"/>
      <c r="P55" s="887"/>
      <c r="Q55" s="870"/>
      <c r="R55" s="860"/>
    </row>
    <row r="56" spans="13:18" x14ac:dyDescent="0.2">
      <c r="M56" s="870"/>
      <c r="N56" s="886"/>
      <c r="O56" s="870"/>
      <c r="P56" s="887"/>
      <c r="Q56" s="870"/>
      <c r="R56" s="860"/>
    </row>
    <row r="57" spans="13:18" ht="6" customHeight="1" x14ac:dyDescent="0.2">
      <c r="M57" s="935"/>
      <c r="N57" s="886"/>
      <c r="O57" s="935"/>
      <c r="P57" s="887"/>
      <c r="Q57" s="935"/>
      <c r="R57" s="860"/>
    </row>
    <row r="58" spans="13:18" x14ac:dyDescent="0.2">
      <c r="M58" s="870"/>
      <c r="N58" s="886"/>
      <c r="O58" s="870"/>
      <c r="P58" s="887"/>
      <c r="Q58" s="870"/>
      <c r="R58" s="860"/>
    </row>
    <row r="59" spans="13:18" ht="6" customHeight="1" x14ac:dyDescent="0.2">
      <c r="M59" s="870"/>
      <c r="N59" s="886"/>
      <c r="O59" s="870"/>
      <c r="P59" s="887"/>
      <c r="Q59" s="870"/>
      <c r="R59" s="860"/>
    </row>
    <row r="60" spans="13:18" x14ac:dyDescent="0.2">
      <c r="M60" s="870"/>
      <c r="N60" s="886"/>
      <c r="O60" s="870"/>
      <c r="P60" s="887"/>
      <c r="Q60" s="870"/>
      <c r="R60" s="860"/>
    </row>
    <row r="61" spans="13:18" ht="6" customHeight="1" x14ac:dyDescent="0.2">
      <c r="M61" s="870"/>
      <c r="N61" s="886"/>
      <c r="O61" s="870"/>
      <c r="P61" s="887"/>
      <c r="Q61" s="870"/>
      <c r="R61" s="860"/>
    </row>
    <row r="62" spans="13:18" x14ac:dyDescent="0.2">
      <c r="M62" s="870"/>
      <c r="N62" s="886"/>
      <c r="O62" s="870"/>
      <c r="P62" s="887"/>
      <c r="Q62" s="870"/>
      <c r="R62" s="860"/>
    </row>
    <row r="63" spans="13:18" ht="6" customHeight="1" x14ac:dyDescent="0.2">
      <c r="M63" s="870"/>
      <c r="N63" s="886"/>
      <c r="O63" s="870"/>
      <c r="P63" s="887"/>
      <c r="Q63" s="870"/>
      <c r="R63" s="860"/>
    </row>
    <row r="64" spans="13:18" x14ac:dyDescent="0.2">
      <c r="M64" s="870"/>
      <c r="N64" s="886"/>
      <c r="O64" s="870"/>
      <c r="P64" s="887"/>
      <c r="Q64" s="870"/>
      <c r="R64" s="860"/>
    </row>
    <row r="65" spans="13:18" ht="6" customHeight="1" x14ac:dyDescent="0.2">
      <c r="M65" s="935"/>
      <c r="N65" s="886"/>
      <c r="O65" s="935"/>
      <c r="P65" s="887"/>
      <c r="Q65" s="935"/>
      <c r="R65" s="860"/>
    </row>
    <row r="66" spans="13:18" x14ac:dyDescent="0.2">
      <c r="M66" s="870"/>
      <c r="N66" s="886"/>
      <c r="O66" s="870"/>
      <c r="P66" s="887"/>
      <c r="Q66" s="870"/>
      <c r="R66" s="860"/>
    </row>
    <row r="67" spans="13:18" ht="6" customHeight="1" x14ac:dyDescent="0.2">
      <c r="M67" s="870"/>
      <c r="N67" s="886"/>
      <c r="O67" s="870"/>
      <c r="P67" s="887"/>
      <c r="Q67" s="870"/>
      <c r="R67" s="860"/>
    </row>
    <row r="68" spans="13:18" x14ac:dyDescent="0.2">
      <c r="M68" s="870"/>
      <c r="N68" s="886"/>
      <c r="O68" s="870"/>
      <c r="P68" s="887"/>
      <c r="Q68" s="870"/>
      <c r="R68" s="860"/>
    </row>
    <row r="69" spans="13:18" ht="6" customHeight="1" x14ac:dyDescent="0.2">
      <c r="M69" s="870"/>
      <c r="N69" s="886"/>
      <c r="O69" s="870"/>
      <c r="P69" s="887"/>
      <c r="Q69" s="870"/>
      <c r="R69" s="860"/>
    </row>
    <row r="70" spans="13:18" ht="12.75" customHeight="1" x14ac:dyDescent="0.2">
      <c r="M70" s="870"/>
      <c r="N70" s="886"/>
      <c r="O70" s="870"/>
      <c r="P70" s="887"/>
      <c r="Q70" s="870"/>
      <c r="R70" s="860"/>
    </row>
    <row r="71" spans="13:18" ht="6" customHeight="1" x14ac:dyDescent="0.2">
      <c r="M71" s="870"/>
      <c r="N71" s="886"/>
      <c r="O71" s="870"/>
      <c r="P71" s="887"/>
      <c r="Q71" s="870"/>
      <c r="R71" s="860"/>
    </row>
    <row r="72" spans="13:18" x14ac:dyDescent="0.2">
      <c r="M72" s="870"/>
      <c r="N72" s="886"/>
      <c r="O72" s="870"/>
      <c r="P72" s="887"/>
      <c r="Q72" s="870"/>
      <c r="R72" s="860"/>
    </row>
    <row r="73" spans="13:18" ht="6" customHeight="1" x14ac:dyDescent="0.2">
      <c r="M73" s="886"/>
      <c r="N73" s="886"/>
      <c r="O73" s="886"/>
      <c r="P73" s="886"/>
      <c r="Q73" s="886"/>
      <c r="R73" s="860"/>
    </row>
    <row r="74" spans="13:18" x14ac:dyDescent="0.2">
      <c r="M74" s="887"/>
      <c r="N74" s="887"/>
      <c r="O74" s="887"/>
      <c r="P74" s="887"/>
      <c r="Q74" s="887"/>
      <c r="R74" s="860"/>
    </row>
    <row r="75" spans="13:18" ht="6" customHeight="1" x14ac:dyDescent="0.2">
      <c r="M75" s="871"/>
      <c r="N75" s="860"/>
      <c r="O75" s="871"/>
      <c r="P75" s="936"/>
      <c r="Q75" s="871"/>
      <c r="R75" s="860"/>
    </row>
    <row r="76" spans="13:18" x14ac:dyDescent="0.2">
      <c r="M76" s="860"/>
      <c r="N76" s="860"/>
      <c r="O76" s="860"/>
      <c r="P76" s="936"/>
      <c r="Q76" s="860"/>
      <c r="R76" s="860"/>
    </row>
    <row r="77" spans="13:18" x14ac:dyDescent="0.2">
      <c r="M77" s="937"/>
      <c r="N77" s="860"/>
      <c r="O77" s="937"/>
      <c r="P77" s="936"/>
      <c r="Q77" s="937"/>
      <c r="R77" s="860"/>
    </row>
    <row r="78" spans="13:18" x14ac:dyDescent="0.2">
      <c r="M78" s="860"/>
      <c r="N78" s="860"/>
      <c r="O78" s="860"/>
      <c r="P78" s="860"/>
      <c r="Q78" s="860"/>
      <c r="R78" s="860"/>
    </row>
  </sheetData>
  <mergeCells count="5">
    <mergeCell ref="A8:R8"/>
    <mergeCell ref="A1:R1"/>
    <mergeCell ref="A2:R2"/>
    <mergeCell ref="A3:R3"/>
    <mergeCell ref="A4:R4"/>
  </mergeCells>
  <phoneticPr fontId="9" type="noConversion"/>
  <printOptions horizontalCentered="1"/>
  <pageMargins left="0" right="0" top="1" bottom="0.5" header="0.5" footer="0.5"/>
  <pageSetup scale="75" orientation="landscape" r:id="rId1"/>
  <headerFooter alignWithMargins="0"/>
  <rowBreaks count="1" manualBreakCount="1">
    <brk id="33" max="17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E25" sqref="E25"/>
    </sheetView>
  </sheetViews>
  <sheetFormatPr defaultRowHeight="10.5" x14ac:dyDescent="0.15"/>
  <cols>
    <col min="1" max="1" width="17.1640625" customWidth="1"/>
    <col min="2" max="2" width="1.83203125" customWidth="1"/>
    <col min="3" max="3" width="17.83203125" customWidth="1"/>
    <col min="4" max="4" width="1.83203125" customWidth="1"/>
    <col min="5" max="5" width="16.5" customWidth="1"/>
    <col min="6" max="6" width="1.83203125" customWidth="1"/>
    <col min="7" max="7" width="16.83203125" customWidth="1"/>
    <col min="8" max="8" width="1.83203125" customWidth="1"/>
    <col min="9" max="9" width="18.83203125" customWidth="1"/>
    <col min="10" max="10" width="1.83203125" customWidth="1"/>
    <col min="11" max="11" width="18.83203125" customWidth="1"/>
  </cols>
  <sheetData>
    <row r="1" spans="1:12" ht="12.75" x14ac:dyDescent="0.2">
      <c r="A1" s="1420" t="s">
        <v>477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</row>
    <row r="2" spans="1:12" ht="12.75" x14ac:dyDescent="0.2">
      <c r="A2" s="1420" t="str">
        <f>+Input!C4</f>
        <v>CASE NO. 2017-xxxxx</v>
      </c>
      <c r="B2" s="1420"/>
      <c r="C2" s="1420"/>
      <c r="D2" s="1420"/>
      <c r="E2" s="1420"/>
      <c r="F2" s="1420"/>
      <c r="G2" s="1420"/>
      <c r="H2" s="1420"/>
      <c r="I2" s="1420"/>
      <c r="J2" s="1420"/>
      <c r="K2" s="1420"/>
      <c r="L2" s="1420"/>
    </row>
    <row r="3" spans="1:12" ht="12.75" x14ac:dyDescent="0.2">
      <c r="A3" s="1420" t="s">
        <v>971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1420"/>
    </row>
    <row r="4" spans="1:12" ht="12.75" x14ac:dyDescent="0.2">
      <c r="A4" s="1421" t="str">
        <f>+Input!C7</f>
        <v>AS OF DECEMBER 31, 2017</v>
      </c>
      <c r="B4" s="1421"/>
      <c r="C4" s="1421"/>
      <c r="D4" s="1421"/>
      <c r="E4" s="1421"/>
      <c r="F4" s="1421"/>
      <c r="G4" s="1421"/>
      <c r="H4" s="1421"/>
      <c r="I4" s="1421"/>
      <c r="J4" s="1421"/>
      <c r="K4" s="1421"/>
      <c r="L4" s="1421"/>
    </row>
    <row r="5" spans="1:12" ht="12.75" x14ac:dyDescent="0.2">
      <c r="A5" s="857"/>
      <c r="B5" s="858"/>
      <c r="C5" s="858"/>
      <c r="D5" s="858"/>
      <c r="E5" s="858"/>
      <c r="F5" s="858"/>
      <c r="G5" s="858"/>
      <c r="H5" s="858"/>
      <c r="I5" s="881"/>
      <c r="J5" s="881"/>
      <c r="K5" s="858"/>
      <c r="L5" s="881" t="s">
        <v>1052</v>
      </c>
    </row>
    <row r="6" spans="1:12" ht="12.75" x14ac:dyDescent="0.2">
      <c r="A6" s="858"/>
      <c r="B6" s="858"/>
      <c r="C6" s="858"/>
      <c r="D6" s="858"/>
      <c r="E6" s="858"/>
      <c r="F6" s="858"/>
      <c r="G6" s="858"/>
      <c r="H6" s="858"/>
      <c r="I6" s="881"/>
      <c r="J6" s="881"/>
      <c r="K6" s="858"/>
      <c r="L6" s="881" t="s">
        <v>1047</v>
      </c>
    </row>
    <row r="7" spans="1:12" ht="12.75" x14ac:dyDescent="0.2">
      <c r="A7" s="859"/>
      <c r="B7" s="859"/>
      <c r="C7" s="859"/>
      <c r="D7" s="859"/>
      <c r="E7" s="859"/>
      <c r="F7" s="859"/>
      <c r="G7" s="859"/>
      <c r="H7" s="859"/>
      <c r="I7" s="939"/>
      <c r="J7" s="939"/>
      <c r="K7" s="859"/>
      <c r="L7" s="882" t="s">
        <v>1053</v>
      </c>
    </row>
    <row r="8" spans="1:12" ht="12.75" x14ac:dyDescent="0.2">
      <c r="A8" s="1423" t="s">
        <v>1100</v>
      </c>
      <c r="B8" s="1423"/>
      <c r="C8" s="1423"/>
      <c r="D8" s="1423"/>
      <c r="E8" s="1423"/>
      <c r="F8" s="1423"/>
      <c r="G8" s="1423"/>
      <c r="H8" s="1423"/>
      <c r="I8" s="1423"/>
      <c r="J8" s="1423"/>
      <c r="K8" s="1423"/>
      <c r="L8" s="1423"/>
    </row>
    <row r="9" spans="1:12" ht="12.75" x14ac:dyDescent="0.2">
      <c r="A9" s="858"/>
      <c r="B9" s="858"/>
      <c r="C9" s="862" t="s">
        <v>1347</v>
      </c>
      <c r="D9" s="858"/>
      <c r="E9" s="862" t="s">
        <v>1352</v>
      </c>
      <c r="F9" s="858"/>
      <c r="G9" s="862" t="s">
        <v>1060</v>
      </c>
      <c r="H9" s="858"/>
      <c r="I9" s="862" t="s">
        <v>1354</v>
      </c>
      <c r="J9" s="861"/>
      <c r="K9" s="862" t="s">
        <v>1358</v>
      </c>
      <c r="L9" s="861"/>
    </row>
    <row r="10" spans="1:12" ht="12.75" x14ac:dyDescent="0.2">
      <c r="A10" s="858"/>
      <c r="B10" s="858"/>
      <c r="C10" s="862" t="s">
        <v>1348</v>
      </c>
      <c r="D10" s="858"/>
      <c r="E10" s="862" t="s">
        <v>1348</v>
      </c>
      <c r="F10" s="858"/>
      <c r="G10" s="862" t="s">
        <v>1353</v>
      </c>
      <c r="H10" s="858"/>
      <c r="I10" s="862" t="s">
        <v>1355</v>
      </c>
      <c r="J10" s="858"/>
      <c r="K10" s="862" t="s">
        <v>1360</v>
      </c>
      <c r="L10" s="860"/>
    </row>
    <row r="11" spans="1:12" ht="12.75" x14ac:dyDescent="0.2">
      <c r="A11" s="858"/>
      <c r="B11" s="858"/>
      <c r="C11" s="862" t="s">
        <v>1351</v>
      </c>
      <c r="D11" s="858"/>
      <c r="E11" s="862" t="s">
        <v>1351</v>
      </c>
      <c r="F11" s="858"/>
      <c r="G11" s="862" t="s">
        <v>1356</v>
      </c>
      <c r="H11" s="858"/>
      <c r="I11" s="862" t="s">
        <v>1357</v>
      </c>
      <c r="J11" s="858"/>
      <c r="K11" s="862" t="s">
        <v>1359</v>
      </c>
      <c r="L11" s="860"/>
    </row>
    <row r="12" spans="1:12" ht="12.75" x14ac:dyDescent="0.2">
      <c r="A12" s="858"/>
      <c r="B12" s="858"/>
      <c r="C12" s="862"/>
      <c r="D12" s="858"/>
      <c r="E12" s="862"/>
      <c r="F12" s="858"/>
      <c r="G12" s="862"/>
      <c r="H12" s="858"/>
      <c r="I12" s="862"/>
      <c r="J12" s="858"/>
      <c r="K12" s="862" t="s">
        <v>22</v>
      </c>
      <c r="L12" s="860"/>
    </row>
    <row r="13" spans="1:12" ht="12.75" x14ac:dyDescent="0.2">
      <c r="A13" s="858"/>
      <c r="B13" s="858"/>
      <c r="C13" s="878" t="s">
        <v>1098</v>
      </c>
      <c r="D13" s="858"/>
      <c r="E13" s="878" t="s">
        <v>1099</v>
      </c>
      <c r="F13" s="858"/>
      <c r="G13" s="878" t="s">
        <v>1098</v>
      </c>
      <c r="H13" s="858"/>
      <c r="I13" s="878" t="s">
        <v>1098</v>
      </c>
      <c r="J13" s="858"/>
      <c r="K13" s="863"/>
      <c r="L13" s="860"/>
    </row>
    <row r="14" spans="1:12" ht="12.75" x14ac:dyDescent="0.2">
      <c r="A14" s="858"/>
      <c r="B14" s="864"/>
      <c r="C14" s="865" t="s">
        <v>500</v>
      </c>
      <c r="D14" s="866"/>
      <c r="E14" s="865" t="s">
        <v>500</v>
      </c>
      <c r="F14" s="866"/>
      <c r="G14" s="865" t="s">
        <v>500</v>
      </c>
      <c r="H14" s="866"/>
      <c r="I14" s="865" t="s">
        <v>500</v>
      </c>
      <c r="J14" s="858"/>
      <c r="K14" s="865" t="s">
        <v>500</v>
      </c>
      <c r="L14" s="860"/>
    </row>
    <row r="15" spans="1:12" ht="12.75" x14ac:dyDescent="0.2">
      <c r="A15" s="858"/>
      <c r="B15" s="864"/>
      <c r="C15" s="865"/>
      <c r="D15" s="866"/>
      <c r="E15" s="865"/>
      <c r="F15" s="866"/>
      <c r="G15" s="865"/>
      <c r="H15" s="866"/>
      <c r="I15" s="865"/>
      <c r="J15" s="858"/>
      <c r="K15" s="865"/>
      <c r="L15" s="860"/>
    </row>
    <row r="16" spans="1:12" ht="12.75" x14ac:dyDescent="0.2">
      <c r="A16" s="845" t="s">
        <v>1798</v>
      </c>
      <c r="B16" s="858"/>
      <c r="C16" s="1317">
        <v>43822</v>
      </c>
      <c r="D16" s="1321"/>
      <c r="E16" s="1317">
        <v>12937</v>
      </c>
      <c r="F16" s="1321"/>
      <c r="G16" s="1317">
        <v>-117161</v>
      </c>
      <c r="H16" s="1321"/>
      <c r="I16" s="1317">
        <v>-439988</v>
      </c>
      <c r="J16" s="1322"/>
      <c r="K16" s="1317">
        <v>596330</v>
      </c>
      <c r="L16" s="886"/>
    </row>
    <row r="17" spans="1:12" ht="12.75" x14ac:dyDescent="0.2">
      <c r="A17" s="845" t="s">
        <v>1799</v>
      </c>
      <c r="B17" s="858"/>
      <c r="C17" s="1317">
        <v>42786</v>
      </c>
      <c r="D17" s="1321"/>
      <c r="E17" s="1317">
        <v>12748</v>
      </c>
      <c r="F17" s="1321"/>
      <c r="G17" s="1317">
        <v>-117049</v>
      </c>
      <c r="H17" s="1321"/>
      <c r="I17" s="1317">
        <v>-447042</v>
      </c>
      <c r="J17" s="1322"/>
      <c r="K17" s="1317">
        <v>591889</v>
      </c>
      <c r="L17" s="886"/>
    </row>
    <row r="18" spans="1:12" ht="12.75" x14ac:dyDescent="0.2">
      <c r="A18" s="845" t="s">
        <v>1033</v>
      </c>
      <c r="B18" s="858"/>
      <c r="C18" s="1317">
        <v>41678</v>
      </c>
      <c r="D18" s="1321"/>
      <c r="E18" s="1317">
        <v>12546</v>
      </c>
      <c r="F18" s="1321"/>
      <c r="G18" s="1317">
        <v>-116929</v>
      </c>
      <c r="H18" s="1321"/>
      <c r="I18" s="1317">
        <v>-454902</v>
      </c>
      <c r="J18" s="1322"/>
      <c r="K18" s="1317">
        <v>587143</v>
      </c>
      <c r="L18" s="886"/>
    </row>
    <row r="19" spans="1:12" ht="12.75" x14ac:dyDescent="0.2">
      <c r="A19" s="845" t="s">
        <v>1034</v>
      </c>
      <c r="B19" s="858"/>
      <c r="C19" s="1317">
        <v>40768</v>
      </c>
      <c r="D19" s="1321"/>
      <c r="E19" s="1317">
        <v>12380</v>
      </c>
      <c r="F19" s="1321"/>
      <c r="G19" s="1317">
        <v>-116827</v>
      </c>
      <c r="H19" s="1321"/>
      <c r="I19" s="1317">
        <v>-460090</v>
      </c>
      <c r="J19" s="1322"/>
      <c r="K19" s="1317">
        <v>705457</v>
      </c>
      <c r="L19" s="886"/>
    </row>
    <row r="20" spans="1:12" ht="12.75" x14ac:dyDescent="0.2">
      <c r="A20" s="845" t="s">
        <v>1035</v>
      </c>
      <c r="B20" s="858"/>
      <c r="C20" s="1317">
        <v>40080</v>
      </c>
      <c r="D20" s="1321"/>
      <c r="E20" s="1317">
        <v>12255</v>
      </c>
      <c r="F20" s="1321"/>
      <c r="G20" s="1317">
        <v>-116752</v>
      </c>
      <c r="H20" s="1321"/>
      <c r="I20" s="1317">
        <v>-464620</v>
      </c>
      <c r="J20" s="1322"/>
      <c r="K20" s="1317">
        <v>730055</v>
      </c>
      <c r="L20" s="886"/>
    </row>
    <row r="21" spans="1:12" ht="12.75" x14ac:dyDescent="0.2">
      <c r="A21" s="845" t="s">
        <v>1036</v>
      </c>
      <c r="B21" s="858"/>
      <c r="C21" s="1317">
        <v>39569</v>
      </c>
      <c r="D21" s="1321"/>
      <c r="E21" s="1317">
        <v>12161</v>
      </c>
      <c r="F21" s="1321"/>
      <c r="G21" s="1317">
        <v>-116696</v>
      </c>
      <c r="H21" s="1321"/>
      <c r="I21" s="1317">
        <v>-467981</v>
      </c>
      <c r="J21" s="1322"/>
      <c r="K21" s="1317">
        <v>748300</v>
      </c>
      <c r="L21" s="886"/>
    </row>
    <row r="22" spans="1:12" ht="12.75" x14ac:dyDescent="0.2">
      <c r="A22" s="845" t="s">
        <v>1037</v>
      </c>
      <c r="B22" s="858"/>
      <c r="C22" s="1317">
        <v>39207</v>
      </c>
      <c r="D22" s="1321"/>
      <c r="E22" s="1317">
        <v>12095</v>
      </c>
      <c r="F22" s="1321"/>
      <c r="G22" s="1317">
        <v>-116656</v>
      </c>
      <c r="H22" s="1321"/>
      <c r="I22" s="1317">
        <v>-470370</v>
      </c>
      <c r="J22" s="1322"/>
      <c r="K22" s="1317">
        <v>761268</v>
      </c>
      <c r="L22" s="886"/>
    </row>
    <row r="23" spans="1:12" ht="12.75" x14ac:dyDescent="0.2">
      <c r="A23" s="845" t="s">
        <v>1038</v>
      </c>
      <c r="B23" s="858"/>
      <c r="C23" s="1317">
        <v>38864</v>
      </c>
      <c r="D23" s="1321"/>
      <c r="E23" s="1317">
        <v>12033</v>
      </c>
      <c r="F23" s="1321"/>
      <c r="G23" s="1317">
        <v>-116619</v>
      </c>
      <c r="H23" s="1321"/>
      <c r="I23" s="1317">
        <v>-472628</v>
      </c>
      <c r="J23" s="1322"/>
      <c r="K23" s="1317">
        <v>773528</v>
      </c>
      <c r="L23" s="886"/>
    </row>
    <row r="24" spans="1:12" ht="12.75" x14ac:dyDescent="0.2">
      <c r="A24" s="845" t="s">
        <v>1039</v>
      </c>
      <c r="B24" s="858"/>
      <c r="C24" s="1317">
        <v>38527</v>
      </c>
      <c r="D24" s="1321"/>
      <c r="E24" s="1317">
        <v>11971</v>
      </c>
      <c r="F24" s="1321"/>
      <c r="G24" s="1317">
        <v>-116582</v>
      </c>
      <c r="H24" s="1321"/>
      <c r="I24" s="1317">
        <v>-474843</v>
      </c>
      <c r="J24" s="1322"/>
      <c r="K24" s="1317">
        <v>785551</v>
      </c>
      <c r="L24" s="886"/>
    </row>
    <row r="25" spans="1:12" ht="12.75" x14ac:dyDescent="0.2">
      <c r="A25" s="845" t="s">
        <v>1051</v>
      </c>
      <c r="B25" s="858"/>
      <c r="C25" s="1317">
        <v>38177</v>
      </c>
      <c r="D25" s="1321"/>
      <c r="E25" s="1317">
        <v>11907</v>
      </c>
      <c r="F25" s="1321"/>
      <c r="G25" s="1317">
        <v>-116544</v>
      </c>
      <c r="H25" s="1321"/>
      <c r="I25" s="1317">
        <v>-477149</v>
      </c>
      <c r="J25" s="1322"/>
      <c r="K25" s="1317">
        <v>798073</v>
      </c>
      <c r="L25" s="886"/>
    </row>
    <row r="26" spans="1:12" ht="12.75" x14ac:dyDescent="0.2">
      <c r="A26" s="845" t="s">
        <v>1031</v>
      </c>
      <c r="B26" s="876"/>
      <c r="C26" s="1320">
        <v>37847</v>
      </c>
      <c r="D26" s="1323"/>
      <c r="E26" s="1320">
        <v>11847</v>
      </c>
      <c r="F26" s="1323"/>
      <c r="G26" s="1320">
        <v>-115665</v>
      </c>
      <c r="H26" s="1323"/>
      <c r="I26" s="1320">
        <v>-474507</v>
      </c>
      <c r="J26" s="1324"/>
      <c r="K26" s="1320">
        <v>806660</v>
      </c>
      <c r="L26" s="886"/>
    </row>
    <row r="27" spans="1:12" ht="12.75" x14ac:dyDescent="0.2">
      <c r="A27" s="845" t="s">
        <v>1032</v>
      </c>
      <c r="B27" s="876"/>
      <c r="C27" s="1320">
        <v>37302</v>
      </c>
      <c r="D27" s="1323"/>
      <c r="E27" s="1320">
        <v>11748</v>
      </c>
      <c r="F27" s="1323"/>
      <c r="G27" s="1320">
        <v>-115605</v>
      </c>
      <c r="H27" s="1323"/>
      <c r="I27" s="1320">
        <v>-478094</v>
      </c>
      <c r="J27" s="1324"/>
      <c r="K27" s="1320">
        <v>826138</v>
      </c>
      <c r="L27" s="886"/>
    </row>
    <row r="28" spans="1:12" ht="12.75" x14ac:dyDescent="0.2">
      <c r="A28" s="845" t="s">
        <v>1800</v>
      </c>
      <c r="B28" s="858"/>
      <c r="C28" s="1319">
        <v>38603</v>
      </c>
      <c r="D28" s="1325"/>
      <c r="E28" s="1319">
        <v>11985</v>
      </c>
      <c r="F28" s="1325"/>
      <c r="G28" s="1319">
        <v>-115928</v>
      </c>
      <c r="H28" s="1325"/>
      <c r="I28" s="1319">
        <v>-476747</v>
      </c>
      <c r="J28" s="1325"/>
      <c r="K28" s="1319">
        <v>865346</v>
      </c>
      <c r="L28" s="887"/>
    </row>
    <row r="29" spans="1:12" ht="6" customHeight="1" x14ac:dyDescent="0.2">
      <c r="A29" s="874"/>
      <c r="B29" s="868"/>
      <c r="C29" s="867"/>
      <c r="D29" s="868"/>
      <c r="E29" s="867"/>
      <c r="F29" s="868"/>
      <c r="G29" s="867"/>
      <c r="H29" s="868"/>
      <c r="I29" s="867"/>
      <c r="J29" s="858"/>
      <c r="K29" s="867"/>
      <c r="L29" s="860"/>
    </row>
    <row r="30" spans="1:12" ht="12.75" x14ac:dyDescent="0.2">
      <c r="A30" s="875" t="s">
        <v>1072</v>
      </c>
      <c r="B30" s="876"/>
      <c r="C30" s="858"/>
      <c r="D30" s="858"/>
      <c r="E30" s="858"/>
      <c r="F30" s="858"/>
      <c r="G30" s="858"/>
      <c r="H30" s="858"/>
      <c r="I30" s="858"/>
      <c r="J30" s="858"/>
      <c r="K30" s="858"/>
      <c r="L30" s="860"/>
    </row>
    <row r="31" spans="1:12" ht="12.75" x14ac:dyDescent="0.2">
      <c r="A31" s="875" t="s">
        <v>1073</v>
      </c>
      <c r="B31" s="868"/>
      <c r="C31" s="877">
        <f>AVERAGE(C16:C28)</f>
        <v>39786.923076923078</v>
      </c>
      <c r="D31" s="876"/>
      <c r="E31" s="877">
        <f>AVERAGE(E16:E28)</f>
        <v>12201</v>
      </c>
      <c r="F31" s="876"/>
      <c r="G31" s="877">
        <f>AVERAGE(G16:G28)</f>
        <v>-116539.46153846153</v>
      </c>
      <c r="H31" s="876"/>
      <c r="I31" s="877">
        <f>AVERAGE(I16:I28)</f>
        <v>-466073.92307692306</v>
      </c>
      <c r="J31" s="864"/>
      <c r="K31" s="877">
        <f>AVERAGE(K16:K28)</f>
        <v>736595.23076923075</v>
      </c>
      <c r="L31" s="938"/>
    </row>
    <row r="32" spans="1:12" ht="12.75" x14ac:dyDescent="0.2">
      <c r="A32" s="858"/>
      <c r="B32" s="858"/>
      <c r="C32" s="858"/>
      <c r="D32" s="858"/>
      <c r="E32" s="858"/>
      <c r="F32" s="858"/>
      <c r="G32" s="858"/>
      <c r="H32" s="858"/>
      <c r="I32" s="858"/>
      <c r="J32" s="858"/>
      <c r="K32" s="860"/>
      <c r="L32" s="860"/>
    </row>
  </sheetData>
  <mergeCells count="5">
    <mergeCell ref="A8:L8"/>
    <mergeCell ref="A1:L1"/>
    <mergeCell ref="A2:L2"/>
    <mergeCell ref="A3:L3"/>
    <mergeCell ref="A4:L4"/>
  </mergeCells>
  <phoneticPr fontId="0" type="noConversion"/>
  <printOptions horizontalCentered="1"/>
  <pageMargins left="0.75" right="0.75" top="1" bottom="0.5" header="0.5" footer="0.5"/>
  <pageSetup orientation="landscape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T36"/>
  <sheetViews>
    <sheetView topLeftCell="A7" zoomScaleNormal="85" zoomScaleSheetLayoutView="85" workbookViewId="0">
      <selection activeCell="E25" sqref="E25"/>
    </sheetView>
  </sheetViews>
  <sheetFormatPr defaultColWidth="11.33203125" defaultRowHeight="12.75" x14ac:dyDescent="0.2"/>
  <cols>
    <col min="1" max="1" width="17.1640625" style="822" bestFit="1" customWidth="1"/>
    <col min="2" max="2" width="1.83203125" style="821" customWidth="1"/>
    <col min="3" max="3" width="19.33203125" style="821" bestFit="1" customWidth="1"/>
    <col min="4" max="4" width="1.83203125" style="821" customWidth="1"/>
    <col min="5" max="5" width="19.33203125" style="821" bestFit="1" customWidth="1"/>
    <col min="6" max="6" width="1.83203125" style="821" customWidth="1"/>
    <col min="7" max="7" width="19.33203125" style="821" customWidth="1"/>
    <col min="8" max="8" width="1.83203125" style="821" customWidth="1"/>
    <col min="9" max="9" width="19.33203125" style="821" customWidth="1"/>
    <col min="10" max="10" width="1.83203125" style="821" customWidth="1"/>
    <col min="11" max="11" width="19.33203125" style="821" bestFit="1" customWidth="1"/>
    <col min="12" max="12" width="1.83203125" style="821" customWidth="1"/>
    <col min="13" max="13" width="19.33203125" style="821" bestFit="1" customWidth="1"/>
    <col min="14" max="14" width="1.83203125" style="821" customWidth="1"/>
    <col min="15" max="16384" width="11.33203125" style="821"/>
  </cols>
  <sheetData>
    <row r="1" spans="1:20" x14ac:dyDescent="0.2">
      <c r="A1" s="1420" t="s">
        <v>477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855"/>
    </row>
    <row r="2" spans="1:20" x14ac:dyDescent="0.2">
      <c r="A2" s="1420" t="str">
        <f>+Input!C4</f>
        <v>CASE NO. 2017-xxxxx</v>
      </c>
      <c r="B2" s="1420"/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858"/>
    </row>
    <row r="3" spans="1:20" x14ac:dyDescent="0.2">
      <c r="A3" s="1420" t="s">
        <v>971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1420"/>
      <c r="M3" s="1420"/>
      <c r="N3" s="858"/>
    </row>
    <row r="4" spans="1:20" x14ac:dyDescent="0.2">
      <c r="A4" s="1421" t="str">
        <f>+Input!C7</f>
        <v>AS OF DECEMBER 31, 2017</v>
      </c>
      <c r="B4" s="1421"/>
      <c r="C4" s="1421"/>
      <c r="D4" s="1421"/>
      <c r="E4" s="1421"/>
      <c r="F4" s="1421"/>
      <c r="G4" s="1421"/>
      <c r="H4" s="1421"/>
      <c r="I4" s="1421"/>
      <c r="J4" s="1421"/>
      <c r="K4" s="1421"/>
      <c r="L4" s="1421"/>
      <c r="M4" s="1421"/>
      <c r="N4" s="858"/>
    </row>
    <row r="5" spans="1:20" x14ac:dyDescent="0.2">
      <c r="A5" s="856"/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8"/>
    </row>
    <row r="6" spans="1:20" x14ac:dyDescent="0.2">
      <c r="A6" s="857"/>
      <c r="B6" s="858"/>
      <c r="C6" s="858"/>
      <c r="D6" s="858"/>
      <c r="E6" s="858"/>
      <c r="F6" s="858"/>
      <c r="G6" s="858"/>
      <c r="H6" s="858"/>
      <c r="I6" s="858"/>
      <c r="J6" s="858"/>
      <c r="K6" s="858"/>
      <c r="M6" s="881" t="s">
        <v>1052</v>
      </c>
      <c r="N6" s="858"/>
    </row>
    <row r="7" spans="1:20" x14ac:dyDescent="0.2">
      <c r="A7" s="858"/>
      <c r="B7" s="858"/>
      <c r="C7" s="858"/>
      <c r="D7" s="858"/>
      <c r="E7" s="858"/>
      <c r="F7" s="858"/>
      <c r="G7" s="858"/>
      <c r="H7" s="858"/>
      <c r="I7" s="858"/>
      <c r="J7" s="858"/>
      <c r="K7" s="858"/>
      <c r="M7" s="881" t="s">
        <v>1040</v>
      </c>
      <c r="N7" s="858"/>
    </row>
    <row r="8" spans="1:20" x14ac:dyDescent="0.2">
      <c r="A8" s="859"/>
      <c r="B8" s="859"/>
      <c r="C8" s="859"/>
      <c r="D8" s="859"/>
      <c r="E8" s="859"/>
      <c r="F8" s="858"/>
      <c r="G8" s="858"/>
      <c r="H8" s="858"/>
      <c r="I8" s="858"/>
      <c r="J8" s="858"/>
      <c r="K8" s="859"/>
      <c r="M8" s="882" t="s">
        <v>1053</v>
      </c>
      <c r="N8" s="858"/>
      <c r="O8" s="824"/>
      <c r="P8" s="824"/>
      <c r="Q8" s="824"/>
      <c r="R8" s="824"/>
      <c r="S8" s="824"/>
      <c r="T8" s="824"/>
    </row>
    <row r="9" spans="1:20" x14ac:dyDescent="0.2">
      <c r="A9" s="860"/>
      <c r="B9" s="860"/>
      <c r="C9" s="1422" t="s">
        <v>361</v>
      </c>
      <c r="D9" s="1422"/>
      <c r="E9" s="1422"/>
      <c r="F9" s="1422"/>
      <c r="G9" s="1422"/>
      <c r="H9" s="1422"/>
      <c r="I9" s="1422"/>
      <c r="J9" s="1422"/>
      <c r="K9" s="1422"/>
      <c r="L9" s="1422"/>
      <c r="M9" s="1422"/>
      <c r="N9" s="1422"/>
      <c r="O9" s="824"/>
      <c r="P9" s="824"/>
      <c r="Q9" s="824"/>
      <c r="R9" s="824"/>
      <c r="S9" s="824"/>
      <c r="T9" s="824"/>
    </row>
    <row r="10" spans="1:20" x14ac:dyDescent="0.2">
      <c r="A10" s="858"/>
      <c r="B10" s="858"/>
      <c r="C10" s="862" t="s">
        <v>1074</v>
      </c>
      <c r="D10" s="858"/>
      <c r="E10" s="862" t="s">
        <v>1075</v>
      </c>
      <c r="F10" s="858"/>
      <c r="G10" s="862" t="s">
        <v>1340</v>
      </c>
      <c r="H10" s="858"/>
      <c r="I10" s="862" t="s">
        <v>1344</v>
      </c>
      <c r="J10" s="858"/>
      <c r="K10" s="862" t="s">
        <v>1076</v>
      </c>
      <c r="L10" s="858"/>
      <c r="M10" s="862" t="s">
        <v>1077</v>
      </c>
      <c r="N10" s="861"/>
    </row>
    <row r="11" spans="1:20" x14ac:dyDescent="0.2">
      <c r="A11" s="858"/>
      <c r="B11" s="858"/>
      <c r="C11" s="862" t="s">
        <v>1062</v>
      </c>
      <c r="D11" s="858"/>
      <c r="E11" s="862" t="s">
        <v>1062</v>
      </c>
      <c r="F11" s="858"/>
      <c r="G11" s="862" t="s">
        <v>1341</v>
      </c>
      <c r="H11" s="858"/>
      <c r="I11" s="862" t="s">
        <v>1341</v>
      </c>
      <c r="J11" s="858"/>
      <c r="K11" s="862" t="s">
        <v>1078</v>
      </c>
      <c r="L11" s="858"/>
      <c r="M11" s="862" t="s">
        <v>1079</v>
      </c>
      <c r="N11" s="858"/>
    </row>
    <row r="12" spans="1:20" x14ac:dyDescent="0.2">
      <c r="A12" s="858"/>
      <c r="B12" s="858"/>
      <c r="C12" s="862" t="s">
        <v>1080</v>
      </c>
      <c r="D12" s="858"/>
      <c r="E12" s="862" t="s">
        <v>1080</v>
      </c>
      <c r="F12" s="858"/>
      <c r="G12" s="862" t="s">
        <v>1342</v>
      </c>
      <c r="H12" s="858"/>
      <c r="I12" s="862" t="s">
        <v>1342</v>
      </c>
      <c r="J12" s="858"/>
      <c r="K12" s="862" t="s">
        <v>1095</v>
      </c>
      <c r="L12" s="858"/>
      <c r="M12" s="862" t="s">
        <v>1095</v>
      </c>
      <c r="N12" s="858"/>
    </row>
    <row r="13" spans="1:20" x14ac:dyDescent="0.2">
      <c r="A13" s="858"/>
      <c r="B13" s="858"/>
      <c r="C13" s="862" t="s">
        <v>1096</v>
      </c>
      <c r="D13" s="858"/>
      <c r="E13" s="862" t="s">
        <v>1096</v>
      </c>
      <c r="F13" s="858"/>
      <c r="G13" s="862" t="s">
        <v>1343</v>
      </c>
      <c r="H13" s="858"/>
      <c r="I13" s="862" t="s">
        <v>1343</v>
      </c>
      <c r="J13" s="858"/>
      <c r="K13" s="862" t="s">
        <v>1097</v>
      </c>
      <c r="L13" s="858"/>
      <c r="M13" s="862" t="s">
        <v>1097</v>
      </c>
      <c r="N13" s="858"/>
    </row>
    <row r="14" spans="1:20" x14ac:dyDescent="0.2">
      <c r="A14" s="858"/>
      <c r="B14" s="858"/>
      <c r="C14" s="878" t="s">
        <v>1098</v>
      </c>
      <c r="D14" s="858"/>
      <c r="E14" s="878" t="s">
        <v>1099</v>
      </c>
      <c r="F14" s="858"/>
      <c r="G14" s="878" t="s">
        <v>1098</v>
      </c>
      <c r="H14" s="858"/>
      <c r="I14" s="878" t="s">
        <v>1099</v>
      </c>
      <c r="J14" s="858"/>
      <c r="K14" s="878" t="s">
        <v>1098</v>
      </c>
      <c r="L14" s="858"/>
      <c r="M14" s="878" t="s">
        <v>1099</v>
      </c>
      <c r="N14" s="858"/>
    </row>
    <row r="15" spans="1:20" x14ac:dyDescent="0.2">
      <c r="A15" s="858"/>
      <c r="B15" s="864"/>
      <c r="C15" s="865" t="s">
        <v>500</v>
      </c>
      <c r="D15" s="866"/>
      <c r="E15" s="865" t="s">
        <v>500</v>
      </c>
      <c r="F15" s="866"/>
      <c r="G15" s="865" t="s">
        <v>500</v>
      </c>
      <c r="H15" s="866"/>
      <c r="I15" s="865" t="s">
        <v>500</v>
      </c>
      <c r="J15" s="866"/>
      <c r="K15" s="865" t="s">
        <v>500</v>
      </c>
      <c r="L15" s="866"/>
      <c r="M15" s="865" t="s">
        <v>500</v>
      </c>
      <c r="N15" s="858"/>
    </row>
    <row r="16" spans="1:20" ht="6" customHeight="1" x14ac:dyDescent="0.2">
      <c r="A16" s="858"/>
      <c r="B16" s="864"/>
      <c r="C16" s="865"/>
      <c r="D16" s="866"/>
      <c r="E16" s="865"/>
      <c r="F16" s="866"/>
      <c r="G16" s="866"/>
      <c r="H16" s="866"/>
      <c r="I16" s="866"/>
      <c r="J16" s="866"/>
      <c r="K16" s="865"/>
      <c r="L16" s="866"/>
      <c r="M16" s="865"/>
      <c r="N16" s="858"/>
    </row>
    <row r="17" spans="1:14" x14ac:dyDescent="0.2">
      <c r="A17" s="845" t="s">
        <v>1798</v>
      </c>
      <c r="B17" s="858"/>
      <c r="C17" s="1317">
        <v>492218</v>
      </c>
      <c r="D17" s="1326"/>
      <c r="E17" s="1317">
        <v>91815</v>
      </c>
      <c r="F17" s="1326"/>
      <c r="G17" s="1317">
        <v>135494</v>
      </c>
      <c r="H17" s="1326"/>
      <c r="I17" s="1317">
        <v>24710</v>
      </c>
      <c r="J17" s="1326"/>
      <c r="K17" s="1317">
        <v>2753370</v>
      </c>
      <c r="L17" s="1326"/>
      <c r="M17" s="1317">
        <v>502134</v>
      </c>
      <c r="N17" s="858"/>
    </row>
    <row r="18" spans="1:14" x14ac:dyDescent="0.2">
      <c r="A18" s="845" t="s">
        <v>1799</v>
      </c>
      <c r="B18" s="858"/>
      <c r="C18" s="1317">
        <v>513075</v>
      </c>
      <c r="D18" s="1326"/>
      <c r="E18" s="1317">
        <v>95730</v>
      </c>
      <c r="F18" s="1326"/>
      <c r="G18" s="1317">
        <v>135494</v>
      </c>
      <c r="H18" s="1326"/>
      <c r="I18" s="1317">
        <v>24710</v>
      </c>
      <c r="J18" s="1326"/>
      <c r="K18" s="1317">
        <v>2776270</v>
      </c>
      <c r="L18" s="1326"/>
      <c r="M18" s="1317">
        <v>506310</v>
      </c>
      <c r="N18" s="858"/>
    </row>
    <row r="19" spans="1:14" x14ac:dyDescent="0.2">
      <c r="A19" s="845" t="s">
        <v>1033</v>
      </c>
      <c r="B19" s="858"/>
      <c r="C19" s="1317">
        <v>535365</v>
      </c>
      <c r="D19" s="1326"/>
      <c r="E19" s="1317">
        <v>99915</v>
      </c>
      <c r="F19" s="1326"/>
      <c r="G19" s="1317">
        <v>135494</v>
      </c>
      <c r="H19" s="1326"/>
      <c r="I19" s="1317">
        <v>24710</v>
      </c>
      <c r="J19" s="1326"/>
      <c r="K19" s="1317">
        <v>2785000</v>
      </c>
      <c r="L19" s="1326"/>
      <c r="M19" s="1317">
        <v>507902</v>
      </c>
      <c r="N19" s="858"/>
    </row>
    <row r="20" spans="1:14" x14ac:dyDescent="0.2">
      <c r="A20" s="845" t="s">
        <v>1034</v>
      </c>
      <c r="B20" s="858"/>
      <c r="C20" s="1317">
        <v>553664</v>
      </c>
      <c r="D20" s="1326"/>
      <c r="E20" s="1317">
        <v>103351</v>
      </c>
      <c r="F20" s="1326"/>
      <c r="G20" s="1317">
        <v>135494</v>
      </c>
      <c r="H20" s="1326"/>
      <c r="I20" s="1317">
        <v>24710</v>
      </c>
      <c r="J20" s="1326"/>
      <c r="K20" s="1317">
        <v>2808112</v>
      </c>
      <c r="L20" s="1326"/>
      <c r="M20" s="1317">
        <v>512117</v>
      </c>
      <c r="N20" s="858"/>
    </row>
    <row r="21" spans="1:14" x14ac:dyDescent="0.2">
      <c r="A21" s="845" t="s">
        <v>1035</v>
      </c>
      <c r="B21" s="858"/>
      <c r="C21" s="1317">
        <v>567515</v>
      </c>
      <c r="D21" s="1326"/>
      <c r="E21" s="1317">
        <v>105951</v>
      </c>
      <c r="F21" s="1326"/>
      <c r="G21" s="1317">
        <v>135494</v>
      </c>
      <c r="H21" s="1326"/>
      <c r="I21" s="1317">
        <v>24710</v>
      </c>
      <c r="J21" s="1326"/>
      <c r="K21" s="1317">
        <v>2781886</v>
      </c>
      <c r="L21" s="1326"/>
      <c r="M21" s="1317">
        <v>507334</v>
      </c>
      <c r="N21" s="858"/>
    </row>
    <row r="22" spans="1:14" x14ac:dyDescent="0.2">
      <c r="A22" s="845" t="s">
        <v>1036</v>
      </c>
      <c r="B22" s="858"/>
      <c r="C22" s="1317">
        <v>577788</v>
      </c>
      <c r="D22" s="1326"/>
      <c r="E22" s="1317">
        <v>107879</v>
      </c>
      <c r="F22" s="1326"/>
      <c r="G22" s="1317">
        <v>135494</v>
      </c>
      <c r="H22" s="1326"/>
      <c r="I22" s="1317">
        <v>24710</v>
      </c>
      <c r="J22" s="1326"/>
      <c r="K22" s="1317">
        <v>2828997</v>
      </c>
      <c r="L22" s="1326"/>
      <c r="M22" s="1317">
        <v>515926</v>
      </c>
      <c r="N22" s="858"/>
    </row>
    <row r="23" spans="1:14" x14ac:dyDescent="0.2">
      <c r="A23" s="845" t="s">
        <v>1037</v>
      </c>
      <c r="B23" s="858"/>
      <c r="C23" s="1317">
        <v>585090</v>
      </c>
      <c r="D23" s="1326"/>
      <c r="E23" s="1317">
        <v>109250</v>
      </c>
      <c r="F23" s="1326"/>
      <c r="G23" s="1317">
        <v>135494</v>
      </c>
      <c r="H23" s="1326"/>
      <c r="I23" s="1317">
        <v>24710</v>
      </c>
      <c r="J23" s="1326"/>
      <c r="K23" s="1317">
        <v>2837356</v>
      </c>
      <c r="L23" s="1326"/>
      <c r="M23" s="1317">
        <v>517451</v>
      </c>
      <c r="N23" s="858"/>
    </row>
    <row r="24" spans="1:14" x14ac:dyDescent="0.2">
      <c r="A24" s="845" t="s">
        <v>1038</v>
      </c>
      <c r="B24" s="858"/>
      <c r="C24" s="1317">
        <v>591993</v>
      </c>
      <c r="D24" s="1326"/>
      <c r="E24" s="1317">
        <v>110546</v>
      </c>
      <c r="F24" s="1326"/>
      <c r="G24" s="1317">
        <v>135494</v>
      </c>
      <c r="H24" s="1326"/>
      <c r="I24" s="1317">
        <v>24710</v>
      </c>
      <c r="J24" s="1326"/>
      <c r="K24" s="1317">
        <v>2813825</v>
      </c>
      <c r="L24" s="1326"/>
      <c r="M24" s="1317">
        <v>513159</v>
      </c>
      <c r="N24" s="858"/>
    </row>
    <row r="25" spans="1:14" x14ac:dyDescent="0.2">
      <c r="A25" s="845" t="s">
        <v>1039</v>
      </c>
      <c r="B25" s="858"/>
      <c r="C25" s="1317">
        <v>598763</v>
      </c>
      <c r="D25" s="1326"/>
      <c r="E25" s="1317">
        <v>111817</v>
      </c>
      <c r="F25" s="1326"/>
      <c r="G25" s="1317">
        <v>135494</v>
      </c>
      <c r="H25" s="1326"/>
      <c r="I25" s="1317">
        <v>24710</v>
      </c>
      <c r="J25" s="1326"/>
      <c r="K25" s="1317">
        <v>2774925</v>
      </c>
      <c r="L25" s="1326"/>
      <c r="M25" s="1317">
        <v>506065</v>
      </c>
      <c r="N25" s="858"/>
    </row>
    <row r="26" spans="1:14" x14ac:dyDescent="0.2">
      <c r="A26" s="845" t="s">
        <v>1051</v>
      </c>
      <c r="B26" s="858"/>
      <c r="C26" s="1317">
        <v>605814</v>
      </c>
      <c r="D26" s="1326"/>
      <c r="E26" s="1317">
        <v>113141</v>
      </c>
      <c r="F26" s="1326"/>
      <c r="G26" s="1317">
        <v>135494</v>
      </c>
      <c r="H26" s="1326"/>
      <c r="I26" s="1317">
        <v>24710</v>
      </c>
      <c r="J26" s="1326"/>
      <c r="K26" s="1317">
        <v>2766089</v>
      </c>
      <c r="L26" s="1326"/>
      <c r="M26" s="1317">
        <v>504454</v>
      </c>
      <c r="N26" s="858"/>
    </row>
    <row r="27" spans="1:14" x14ac:dyDescent="0.2">
      <c r="A27" s="845" t="s">
        <v>1031</v>
      </c>
      <c r="B27" s="876"/>
      <c r="C27" s="1320">
        <v>612451</v>
      </c>
      <c r="D27" s="1327"/>
      <c r="E27" s="1320">
        <v>114387</v>
      </c>
      <c r="F27" s="1327"/>
      <c r="G27" s="1320">
        <v>136208</v>
      </c>
      <c r="H27" s="1327"/>
      <c r="I27" s="1320">
        <v>24840</v>
      </c>
      <c r="J27" s="1327"/>
      <c r="K27" s="1320">
        <v>2725215</v>
      </c>
      <c r="L27" s="1327"/>
      <c r="M27" s="1320">
        <v>496999</v>
      </c>
      <c r="N27" s="858"/>
    </row>
    <row r="28" spans="1:14" x14ac:dyDescent="0.2">
      <c r="A28" s="845" t="s">
        <v>1032</v>
      </c>
      <c r="B28" s="876"/>
      <c r="C28" s="1320">
        <v>623418</v>
      </c>
      <c r="D28" s="1327"/>
      <c r="E28" s="1320">
        <v>116446</v>
      </c>
      <c r="F28" s="1327"/>
      <c r="G28" s="1320">
        <v>136208</v>
      </c>
      <c r="H28" s="1327"/>
      <c r="I28" s="1320">
        <v>24840</v>
      </c>
      <c r="J28" s="1327"/>
      <c r="K28" s="1320">
        <v>2792318</v>
      </c>
      <c r="L28" s="1327"/>
      <c r="M28" s="1320">
        <v>509237</v>
      </c>
      <c r="N28" s="858"/>
    </row>
    <row r="29" spans="1:14" x14ac:dyDescent="0.2">
      <c r="A29" s="845" t="s">
        <v>1800</v>
      </c>
      <c r="B29" s="858"/>
      <c r="C29" s="1319">
        <v>538571</v>
      </c>
      <c r="D29" s="1328"/>
      <c r="E29" s="1319">
        <v>100517</v>
      </c>
      <c r="F29" s="1328"/>
      <c r="G29" s="1319">
        <v>147466</v>
      </c>
      <c r="H29" s="1328"/>
      <c r="I29" s="1319">
        <v>26893</v>
      </c>
      <c r="J29" s="1328"/>
      <c r="K29" s="1319">
        <v>2792041</v>
      </c>
      <c r="L29" s="1328"/>
      <c r="M29" s="1319">
        <v>509186</v>
      </c>
      <c r="N29" s="858"/>
    </row>
    <row r="30" spans="1:14" ht="6" customHeight="1" x14ac:dyDescent="0.2">
      <c r="A30" s="874"/>
      <c r="B30" s="868"/>
      <c r="C30" s="867"/>
      <c r="D30" s="868"/>
      <c r="E30" s="867"/>
      <c r="F30" s="868"/>
      <c r="G30" s="867"/>
      <c r="H30" s="868"/>
      <c r="I30" s="867"/>
      <c r="J30" s="868"/>
      <c r="K30" s="867"/>
      <c r="L30" s="868"/>
      <c r="M30" s="867"/>
      <c r="N30" s="858"/>
    </row>
    <row r="31" spans="1:14" x14ac:dyDescent="0.2">
      <c r="A31" s="875" t="s">
        <v>1072</v>
      </c>
      <c r="B31" s="876"/>
      <c r="C31" s="858"/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</row>
    <row r="32" spans="1:14" x14ac:dyDescent="0.2">
      <c r="A32" s="875" t="s">
        <v>1073</v>
      </c>
      <c r="B32" s="868"/>
      <c r="C32" s="877">
        <f>AVERAGE(C17:C29)</f>
        <v>568901.92307692312</v>
      </c>
      <c r="D32" s="876"/>
      <c r="E32" s="877">
        <f>AVERAGE(E17:E29)</f>
        <v>106211.15384615384</v>
      </c>
      <c r="F32" s="876"/>
      <c r="G32" s="877">
        <f>AVERAGE(G17:G29)</f>
        <v>136524.76923076922</v>
      </c>
      <c r="H32" s="876"/>
      <c r="I32" s="877">
        <f>AVERAGE(I17:I29)</f>
        <v>24897.923076923078</v>
      </c>
      <c r="J32" s="876"/>
      <c r="K32" s="877">
        <f>AVERAGE(K17:K29)</f>
        <v>2787338.769230769</v>
      </c>
      <c r="L32" s="876"/>
      <c r="M32" s="877">
        <f>AVERAGE(M17:M29)</f>
        <v>508328.76923076925</v>
      </c>
      <c r="N32" s="864"/>
    </row>
    <row r="33" spans="1:14" x14ac:dyDescent="0.2">
      <c r="A33" s="858"/>
      <c r="B33" s="858"/>
      <c r="C33" s="858"/>
      <c r="D33" s="858"/>
      <c r="E33" s="858"/>
      <c r="F33" s="858"/>
      <c r="G33" s="858"/>
      <c r="H33" s="858"/>
      <c r="I33" s="858"/>
      <c r="J33" s="858"/>
      <c r="K33" s="858"/>
      <c r="L33" s="858"/>
      <c r="M33" s="858"/>
      <c r="N33" s="858"/>
    </row>
    <row r="34" spans="1:14" x14ac:dyDescent="0.2">
      <c r="A34" s="858"/>
      <c r="B34" s="858"/>
      <c r="C34" s="858"/>
      <c r="D34" s="858"/>
      <c r="E34" s="858"/>
      <c r="F34" s="858"/>
      <c r="G34" s="858"/>
      <c r="H34" s="858"/>
      <c r="I34" s="858"/>
      <c r="J34" s="858"/>
      <c r="K34" s="858"/>
      <c r="L34" s="858"/>
      <c r="M34" s="858"/>
      <c r="N34" s="858"/>
    </row>
    <row r="35" spans="1:14" x14ac:dyDescent="0.2">
      <c r="A35" s="858"/>
      <c r="B35" s="858"/>
      <c r="C35" s="858"/>
      <c r="D35" s="858"/>
      <c r="E35" s="858"/>
      <c r="F35" s="858"/>
      <c r="G35" s="858"/>
      <c r="H35" s="858"/>
      <c r="I35" s="858"/>
      <c r="J35" s="858"/>
      <c r="K35" s="858"/>
      <c r="L35" s="858"/>
      <c r="M35" s="858"/>
      <c r="N35" s="858"/>
    </row>
    <row r="36" spans="1:14" x14ac:dyDescent="0.2">
      <c r="A36" s="858"/>
      <c r="B36" s="858"/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</row>
  </sheetData>
  <mergeCells count="5">
    <mergeCell ref="C9:N9"/>
    <mergeCell ref="A1:M1"/>
    <mergeCell ref="A2:M2"/>
    <mergeCell ref="A3:M3"/>
    <mergeCell ref="A4:M4"/>
  </mergeCells>
  <phoneticPr fontId="9" type="noConversion"/>
  <printOptions horizontalCentered="1"/>
  <pageMargins left="0" right="0" top="1" bottom="0.25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24"/>
  <sheetViews>
    <sheetView workbookViewId="0">
      <selection activeCell="E25" sqref="E25"/>
    </sheetView>
  </sheetViews>
  <sheetFormatPr defaultColWidth="9.83203125" defaultRowHeight="10.5" x14ac:dyDescent="0.15"/>
  <cols>
    <col min="1" max="1" width="25.6640625" style="2" customWidth="1"/>
    <col min="2" max="2" width="4.83203125" style="2" customWidth="1"/>
    <col min="3" max="3" width="84.5" style="2" bestFit="1" customWidth="1"/>
    <col min="4" max="9" width="9.83203125" style="2"/>
    <col min="10" max="10" width="9.83203125" style="2" customWidth="1"/>
    <col min="11" max="11" width="9.83203125" style="2"/>
    <col min="12" max="12" width="1.83203125" style="2" customWidth="1"/>
    <col min="13" max="13" width="7.83203125" style="2" customWidth="1"/>
    <col min="14" max="14" width="6.83203125" style="2" customWidth="1"/>
    <col min="15" max="16384" width="9.83203125" style="2"/>
  </cols>
  <sheetData>
    <row r="1" spans="1:9" ht="12.75" x14ac:dyDescent="0.2">
      <c r="A1" s="400" t="s">
        <v>473</v>
      </c>
      <c r="B1" s="90"/>
      <c r="C1" s="90"/>
    </row>
    <row r="2" spans="1:9" ht="12.75" x14ac:dyDescent="0.2">
      <c r="A2" s="90"/>
      <c r="B2" s="90"/>
      <c r="C2" s="90"/>
    </row>
    <row r="3" spans="1:9" ht="12.75" x14ac:dyDescent="0.2">
      <c r="A3" s="90"/>
      <c r="B3" s="90"/>
      <c r="C3" s="113" t="s">
        <v>474</v>
      </c>
    </row>
    <row r="4" spans="1:9" ht="12.75" x14ac:dyDescent="0.2">
      <c r="A4" s="90"/>
      <c r="B4" s="90"/>
      <c r="C4" s="90"/>
    </row>
    <row r="5" spans="1:9" ht="12.75" x14ac:dyDescent="0.2">
      <c r="A5" s="90"/>
      <c r="B5" s="90"/>
      <c r="C5" s="113" t="s">
        <v>475</v>
      </c>
    </row>
    <row r="6" spans="1:9" ht="12.75" x14ac:dyDescent="0.2">
      <c r="A6" s="90"/>
      <c r="B6" s="90"/>
      <c r="C6" s="90"/>
    </row>
    <row r="7" spans="1:9" ht="12.75" x14ac:dyDescent="0.2">
      <c r="A7" s="112" t="s">
        <v>476</v>
      </c>
      <c r="B7" s="90"/>
      <c r="C7" s="113" t="s">
        <v>477</v>
      </c>
    </row>
    <row r="8" spans="1:9" ht="12.75" x14ac:dyDescent="0.2">
      <c r="A8" s="90"/>
      <c r="B8" s="90"/>
      <c r="C8" s="90"/>
    </row>
    <row r="9" spans="1:9" ht="12.75" x14ac:dyDescent="0.2">
      <c r="A9" s="112"/>
      <c r="B9" s="90"/>
      <c r="C9" s="113" t="str">
        <f>+Input!C4</f>
        <v>CASE NO. 2017-xxxxx</v>
      </c>
    </row>
    <row r="10" spans="1:9" ht="12.75" x14ac:dyDescent="0.2">
      <c r="A10" s="90"/>
      <c r="B10" s="90"/>
      <c r="C10" s="90"/>
    </row>
    <row r="11" spans="1:9" ht="12.75" x14ac:dyDescent="0.2">
      <c r="A11" s="90" t="s">
        <v>843</v>
      </c>
      <c r="B11" s="90"/>
      <c r="C11" s="113" t="str">
        <f>+Input!C6</f>
        <v>TWELVE MONTHS ENDED DECEMBER 31, 2017</v>
      </c>
    </row>
    <row r="12" spans="1:9" ht="12.75" x14ac:dyDescent="0.2">
      <c r="A12" s="90"/>
      <c r="B12" s="90"/>
      <c r="C12" s="90"/>
    </row>
    <row r="13" spans="1:9" ht="12.75" x14ac:dyDescent="0.2">
      <c r="A13" s="112" t="s">
        <v>478</v>
      </c>
      <c r="B13" s="90"/>
      <c r="C13" s="113" t="str">
        <f>+Input!C6</f>
        <v>TWELVE MONTHS ENDED DECEMBER 31, 2017</v>
      </c>
    </row>
    <row r="14" spans="1:9" ht="12.75" x14ac:dyDescent="0.2">
      <c r="A14" s="90"/>
      <c r="B14" s="90"/>
      <c r="C14" s="90"/>
    </row>
    <row r="15" spans="1:9" ht="12.75" x14ac:dyDescent="0.2">
      <c r="A15" s="90"/>
      <c r="B15" s="90"/>
      <c r="C15" s="90"/>
    </row>
    <row r="16" spans="1:9" ht="12.75" x14ac:dyDescent="0.2">
      <c r="A16" s="115" t="s">
        <v>479</v>
      </c>
      <c r="B16" s="116"/>
      <c r="C16" s="117" t="s">
        <v>480</v>
      </c>
      <c r="D16" s="66"/>
      <c r="E16" s="66"/>
      <c r="F16" s="66"/>
      <c r="G16" s="66"/>
      <c r="H16" s="66"/>
      <c r="I16" s="66"/>
    </row>
    <row r="17" spans="1:3" ht="12.75" x14ac:dyDescent="0.2">
      <c r="A17" s="90"/>
      <c r="B17" s="90"/>
      <c r="C17" s="90"/>
    </row>
    <row r="18" spans="1:3" ht="12.75" x14ac:dyDescent="0.2">
      <c r="A18" s="90"/>
      <c r="B18" s="90"/>
      <c r="C18" s="90"/>
    </row>
    <row r="19" spans="1:3" ht="12.75" x14ac:dyDescent="0.2">
      <c r="A19" s="112" t="s">
        <v>481</v>
      </c>
      <c r="B19" s="90"/>
      <c r="C19" s="112" t="s">
        <v>475</v>
      </c>
    </row>
    <row r="20" spans="1:3" ht="12.75" x14ac:dyDescent="0.2">
      <c r="A20" s="112" t="s">
        <v>482</v>
      </c>
      <c r="B20" s="90"/>
      <c r="C20" s="112" t="s">
        <v>483</v>
      </c>
    </row>
    <row r="21" spans="1:3" ht="12.75" x14ac:dyDescent="0.2">
      <c r="A21" s="112" t="s">
        <v>484</v>
      </c>
      <c r="B21" s="90"/>
      <c r="C21" s="112" t="s">
        <v>485</v>
      </c>
    </row>
    <row r="22" spans="1:3" ht="12.75" x14ac:dyDescent="0.2">
      <c r="A22" s="112" t="s">
        <v>486</v>
      </c>
      <c r="B22" s="90"/>
      <c r="C22" s="112" t="s">
        <v>487</v>
      </c>
    </row>
    <row r="23" spans="1:3" ht="12.75" x14ac:dyDescent="0.2">
      <c r="A23" s="90"/>
      <c r="B23" s="90"/>
      <c r="C23" s="90"/>
    </row>
    <row r="24" spans="1:3" ht="12.75" x14ac:dyDescent="0.2">
      <c r="A24" s="90"/>
      <c r="B24" s="90"/>
      <c r="C24" s="90"/>
    </row>
  </sheetData>
  <phoneticPr fontId="3" type="noConversion"/>
  <printOptions horizontalCentered="1"/>
  <pageMargins left="0.5" right="0.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opLeftCell="A7" zoomScaleNormal="100" workbookViewId="0">
      <selection activeCell="E25" sqref="E25"/>
    </sheetView>
  </sheetViews>
  <sheetFormatPr defaultColWidth="11.83203125" defaultRowHeight="10.5" x14ac:dyDescent="0.15"/>
  <cols>
    <col min="1" max="1" width="4.83203125" style="9" customWidth="1"/>
    <col min="2" max="2" width="3.83203125" style="9" customWidth="1"/>
    <col min="3" max="3" width="51.83203125" style="9" bestFit="1" customWidth="1"/>
    <col min="4" max="4" width="3.83203125" style="9" customWidth="1"/>
    <col min="5" max="5" width="20.83203125" style="9" bestFit="1" customWidth="1"/>
    <col min="6" max="6" width="3.83203125" style="9" customWidth="1"/>
    <col min="7" max="7" width="15.83203125" style="9" customWidth="1"/>
    <col min="8" max="8" width="3.83203125" style="9" customWidth="1"/>
    <col min="9" max="9" width="21.6640625" style="9" customWidth="1"/>
    <col min="10" max="10" width="6.83203125" style="9" customWidth="1"/>
    <col min="11" max="11" width="13.83203125" style="9" customWidth="1"/>
    <col min="12" max="12" width="5.83203125" style="9" customWidth="1"/>
    <col min="13" max="13" width="15.83203125" style="9" customWidth="1"/>
    <col min="14" max="14" width="10.83203125" style="9" customWidth="1"/>
    <col min="15" max="15" width="21.83203125" style="9" customWidth="1"/>
    <col min="16" max="16384" width="11.83203125" style="9"/>
  </cols>
  <sheetData>
    <row r="1" spans="1:20" s="2" customFormat="1" ht="12.75" x14ac:dyDescent="0.2">
      <c r="A1" s="1391" t="s">
        <v>488</v>
      </c>
      <c r="B1" s="1391"/>
      <c r="C1" s="1391"/>
      <c r="D1" s="1391"/>
      <c r="E1" s="1391"/>
      <c r="F1" s="1391"/>
      <c r="G1" s="1391"/>
      <c r="H1" s="1391"/>
      <c r="I1" s="1391"/>
      <c r="J1" s="1"/>
      <c r="K1" s="1"/>
      <c r="L1" s="1"/>
    </row>
    <row r="2" spans="1:20" s="2" customFormat="1" ht="12.75" x14ac:dyDescent="0.2">
      <c r="A2" s="1391" t="str">
        <f>+Input!C4</f>
        <v>CASE NO. 2017-xxxxx</v>
      </c>
      <c r="B2" s="1391"/>
      <c r="C2" s="1391"/>
      <c r="D2" s="1391"/>
      <c r="E2" s="1391"/>
      <c r="F2" s="1391"/>
      <c r="G2" s="1391"/>
      <c r="H2" s="1391"/>
      <c r="I2" s="1391"/>
      <c r="J2" s="1"/>
      <c r="K2" s="1"/>
      <c r="L2" s="1"/>
    </row>
    <row r="3" spans="1:20" s="2" customFormat="1" ht="12.75" x14ac:dyDescent="0.2">
      <c r="A3" s="1391" t="s">
        <v>475</v>
      </c>
      <c r="B3" s="1391"/>
      <c r="C3" s="1391"/>
      <c r="D3" s="1391"/>
      <c r="E3" s="1391"/>
      <c r="F3" s="1391"/>
      <c r="G3" s="1391"/>
      <c r="H3" s="1391"/>
      <c r="I3" s="1391"/>
      <c r="J3" s="1"/>
      <c r="K3" s="1"/>
      <c r="L3" s="1"/>
    </row>
    <row r="4" spans="1:20" s="2" customFormat="1" ht="12.75" x14ac:dyDescent="0.2">
      <c r="A4" s="1391" t="str">
        <f>+Input!C8</f>
        <v>FOR THE TWELVE MONTHS ENDED DECEMBER 31, 2017</v>
      </c>
      <c r="B4" s="1391"/>
      <c r="C4" s="1391"/>
      <c r="D4" s="1391"/>
      <c r="E4" s="1391"/>
      <c r="F4" s="1391"/>
      <c r="G4" s="1391"/>
      <c r="H4" s="1391"/>
      <c r="I4" s="1391"/>
      <c r="J4" s="1"/>
      <c r="K4" s="1"/>
      <c r="L4" s="1"/>
    </row>
    <row r="5" spans="1:20" ht="12.75" x14ac:dyDescent="0.2">
      <c r="A5" s="90"/>
      <c r="B5" s="90"/>
      <c r="C5" s="90"/>
      <c r="D5" s="90"/>
      <c r="E5" s="90"/>
      <c r="F5" s="90"/>
      <c r="G5" s="90"/>
      <c r="H5" s="90"/>
      <c r="I5" s="90"/>
    </row>
    <row r="6" spans="1:20" ht="12.75" x14ac:dyDescent="0.2">
      <c r="A6" s="90"/>
      <c r="B6" s="90"/>
      <c r="C6" s="90"/>
      <c r="D6" s="90"/>
      <c r="E6" s="90"/>
      <c r="F6" s="90"/>
      <c r="G6" s="90"/>
      <c r="H6" s="90"/>
      <c r="I6" s="90"/>
    </row>
    <row r="7" spans="1:20" s="2" customFormat="1" ht="12.75" x14ac:dyDescent="0.2">
      <c r="A7" s="112" t="s">
        <v>839</v>
      </c>
      <c r="B7" s="90"/>
      <c r="C7" s="90"/>
      <c r="D7" s="90"/>
      <c r="E7" s="90"/>
      <c r="F7" s="90"/>
      <c r="G7" s="91"/>
      <c r="H7" s="90"/>
      <c r="I7" s="119" t="s">
        <v>489</v>
      </c>
    </row>
    <row r="8" spans="1:20" s="2" customFormat="1" ht="12.75" x14ac:dyDescent="0.2">
      <c r="A8" s="112" t="s">
        <v>490</v>
      </c>
      <c r="B8" s="90"/>
      <c r="C8" s="90"/>
      <c r="D8" s="90"/>
      <c r="E8" s="90"/>
      <c r="F8" s="90"/>
      <c r="G8" s="91"/>
      <c r="H8" s="90"/>
      <c r="I8" s="119" t="s">
        <v>491</v>
      </c>
    </row>
    <row r="9" spans="1:20" s="2" customFormat="1" ht="12.75" x14ac:dyDescent="0.2">
      <c r="A9" s="120" t="s">
        <v>840</v>
      </c>
      <c r="B9" s="121"/>
      <c r="C9" s="121"/>
      <c r="D9" s="121"/>
      <c r="E9" s="121"/>
      <c r="F9" s="122"/>
      <c r="G9" s="346"/>
      <c r="H9" s="122"/>
      <c r="I9" s="361" t="str">
        <f>+Input!E27</f>
        <v>WITNESS:  C. Y. LAI</v>
      </c>
    </row>
    <row r="10" spans="1:20" s="10" customFormat="1" ht="12.75" x14ac:dyDescent="0.2">
      <c r="A10" s="92"/>
      <c r="B10" s="92"/>
      <c r="C10" s="92"/>
      <c r="D10" s="92"/>
      <c r="E10" s="113"/>
      <c r="F10" s="92"/>
      <c r="G10" s="92"/>
      <c r="H10" s="92"/>
      <c r="I10" s="113" t="s">
        <v>492</v>
      </c>
    </row>
    <row r="11" spans="1:20" s="10" customFormat="1" ht="12.75" x14ac:dyDescent="0.2">
      <c r="A11" s="113" t="s">
        <v>493</v>
      </c>
      <c r="B11" s="92"/>
      <c r="C11" s="92"/>
      <c r="D11" s="92"/>
      <c r="E11" s="113" t="s">
        <v>494</v>
      </c>
      <c r="F11" s="92"/>
      <c r="G11" s="113" t="s">
        <v>495</v>
      </c>
      <c r="H11" s="92"/>
      <c r="I11" s="113" t="s">
        <v>494</v>
      </c>
    </row>
    <row r="12" spans="1:20" s="10" customFormat="1" ht="12.75" x14ac:dyDescent="0.2">
      <c r="A12" s="124" t="s">
        <v>496</v>
      </c>
      <c r="B12" s="126"/>
      <c r="C12" s="124" t="s">
        <v>480</v>
      </c>
      <c r="D12" s="126"/>
      <c r="E12" s="124" t="s">
        <v>497</v>
      </c>
      <c r="F12" s="126"/>
      <c r="G12" s="124" t="s">
        <v>498</v>
      </c>
      <c r="H12" s="126"/>
      <c r="I12" s="124" t="s">
        <v>499</v>
      </c>
    </row>
    <row r="13" spans="1:20" s="2" customFormat="1" ht="12.75" x14ac:dyDescent="0.2">
      <c r="A13" s="90"/>
      <c r="B13" s="90"/>
      <c r="C13" s="90"/>
      <c r="D13" s="90"/>
      <c r="E13" s="113" t="s">
        <v>500</v>
      </c>
      <c r="F13" s="90"/>
      <c r="G13" s="113" t="s">
        <v>500</v>
      </c>
      <c r="H13" s="90"/>
      <c r="I13" s="113" t="s">
        <v>500</v>
      </c>
    </row>
    <row r="14" spans="1:20" ht="12.75" x14ac:dyDescent="0.2">
      <c r="A14" s="90"/>
      <c r="B14" s="90"/>
      <c r="C14" s="90"/>
      <c r="D14" s="90"/>
      <c r="E14" s="90"/>
      <c r="F14" s="90"/>
      <c r="G14" s="90"/>
      <c r="H14" s="90"/>
      <c r="I14" s="90"/>
    </row>
    <row r="15" spans="1:20" s="2" customFormat="1" ht="12.75" x14ac:dyDescent="0.2">
      <c r="A15" s="113" t="s">
        <v>501</v>
      </c>
      <c r="B15" s="90"/>
      <c r="C15" s="112" t="s">
        <v>502</v>
      </c>
      <c r="D15" s="90"/>
      <c r="E15" s="129" t="e">
        <f>+'Attachment CYL - 1'!#REF!</f>
        <v>#REF!</v>
      </c>
      <c r="F15" s="128"/>
      <c r="G15" s="129" t="e">
        <f>ROUND(G29*'Gross Conversion Factor H-1'!F30,0)</f>
        <v>#REF!</v>
      </c>
      <c r="H15" s="128"/>
      <c r="I15" s="128" t="e">
        <f>E15+G15</f>
        <v>#REF!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2" customFormat="1" ht="12.75" x14ac:dyDescent="0.2">
      <c r="A16" s="90"/>
      <c r="B16" s="90"/>
      <c r="C16" s="90"/>
      <c r="D16" s="90"/>
      <c r="E16" s="128"/>
      <c r="F16" s="128"/>
      <c r="G16" s="128"/>
      <c r="H16" s="128"/>
      <c r="I16" s="12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x14ac:dyDescent="0.2">
      <c r="A17" s="113" t="s">
        <v>503</v>
      </c>
      <c r="B17" s="90"/>
      <c r="C17" s="112" t="s">
        <v>504</v>
      </c>
      <c r="D17" s="401"/>
      <c r="E17" s="128"/>
      <c r="F17" s="128"/>
      <c r="G17" s="128"/>
      <c r="H17" s="128"/>
      <c r="I17" s="12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2.75" x14ac:dyDescent="0.2">
      <c r="A18" s="113" t="s">
        <v>505</v>
      </c>
      <c r="B18" s="90"/>
      <c r="C18" s="112" t="s">
        <v>835</v>
      </c>
      <c r="D18" s="401"/>
      <c r="E18" s="129" t="e">
        <f>+'Attachment CYL - 1'!#REF!</f>
        <v>#REF!</v>
      </c>
      <c r="F18" s="128"/>
      <c r="G18" s="129"/>
      <c r="H18" s="128"/>
      <c r="I18" s="128" t="e">
        <f t="shared" ref="I18:I26" si="0">E18+G18</f>
        <v>#REF!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 x14ac:dyDescent="0.2">
      <c r="A19" s="113" t="s">
        <v>506</v>
      </c>
      <c r="B19" s="90"/>
      <c r="C19" s="112" t="s">
        <v>507</v>
      </c>
      <c r="D19" s="90"/>
      <c r="E19" s="129" t="e">
        <f>SUM('Attachment CYL - 1'!#REF!)</f>
        <v>#REF!</v>
      </c>
      <c r="F19" s="128"/>
      <c r="G19" s="129" t="e">
        <f>ROUND(G15*(+'Gross Conversion Factor H-1'!F15+'Gross Conversion Factor H-1'!F17),0)</f>
        <v>#REF!</v>
      </c>
      <c r="H19" s="128"/>
      <c r="I19" s="128" t="e">
        <f t="shared" si="0"/>
        <v>#REF!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2.75" x14ac:dyDescent="0.2">
      <c r="A20" s="113" t="s">
        <v>508</v>
      </c>
      <c r="B20" s="90"/>
      <c r="C20" s="112" t="s">
        <v>509</v>
      </c>
      <c r="D20" s="90"/>
      <c r="E20" s="129" t="e">
        <f>+'Attachment CYL - 1'!#REF!</f>
        <v>#REF!</v>
      </c>
      <c r="F20" s="128"/>
      <c r="G20" s="129"/>
      <c r="H20" s="128"/>
      <c r="I20" s="128" t="e">
        <f t="shared" si="0"/>
        <v>#REF!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2.75" x14ac:dyDescent="0.2">
      <c r="A21" s="113" t="s">
        <v>510</v>
      </c>
      <c r="B21" s="90"/>
      <c r="C21" s="112" t="s">
        <v>511</v>
      </c>
      <c r="D21" s="90"/>
      <c r="E21" s="356" t="e">
        <f>SUM('Attachment CYL - 1'!#REF!)</f>
        <v>#REF!</v>
      </c>
      <c r="F21" s="128"/>
      <c r="G21" s="356"/>
      <c r="H21" s="128"/>
      <c r="I21" s="357" t="e">
        <f t="shared" si="0"/>
        <v>#REF!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 x14ac:dyDescent="0.2">
      <c r="A22" s="113"/>
      <c r="B22" s="90"/>
      <c r="C22" s="112"/>
      <c r="D22" s="90"/>
      <c r="E22" s="129"/>
      <c r="F22" s="128"/>
      <c r="G22" s="129"/>
      <c r="H22" s="128"/>
      <c r="I22" s="128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.75" x14ac:dyDescent="0.2">
      <c r="A23" s="113">
        <v>7</v>
      </c>
      <c r="B23" s="90"/>
      <c r="C23" s="112" t="s">
        <v>837</v>
      </c>
      <c r="D23" s="90"/>
      <c r="E23" s="129" t="e">
        <f>+E15-SUM(E18:E21)</f>
        <v>#REF!</v>
      </c>
      <c r="F23" s="128"/>
      <c r="G23" s="129" t="e">
        <f>+G15-SUM(G18:G21)</f>
        <v>#REF!</v>
      </c>
      <c r="H23" s="128"/>
      <c r="I23" s="129" t="e">
        <f>+I15-SUM(I18:I21)</f>
        <v>#REF!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2.75" x14ac:dyDescent="0.2">
      <c r="A24" s="113"/>
      <c r="B24" s="90"/>
      <c r="C24" s="112"/>
      <c r="D24" s="90"/>
      <c r="E24" s="129"/>
      <c r="F24" s="128"/>
      <c r="G24" s="129"/>
      <c r="H24" s="128"/>
      <c r="I24" s="128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2.75" x14ac:dyDescent="0.2">
      <c r="A25" s="113">
        <v>8</v>
      </c>
      <c r="B25" s="90"/>
      <c r="C25" s="112" t="s">
        <v>513</v>
      </c>
      <c r="D25" s="90"/>
      <c r="E25" s="129" t="e">
        <f>+'Attachment CYL - 1'!#REF!</f>
        <v>#REF!</v>
      </c>
      <c r="F25" s="128"/>
      <c r="G25" s="129" t="e">
        <f>ROUND(G15*'Gross Conversion Factor H-1'!F25,0)</f>
        <v>#REF!</v>
      </c>
      <c r="H25" s="128"/>
      <c r="I25" s="128" t="e">
        <f t="shared" si="0"/>
        <v>#REF!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2.75" x14ac:dyDescent="0.2">
      <c r="A26" s="113">
        <v>9</v>
      </c>
      <c r="B26" s="90"/>
      <c r="C26" s="112" t="s">
        <v>512</v>
      </c>
      <c r="D26" s="90"/>
      <c r="E26" s="130" t="e">
        <f>+'Attachment CYL - 1'!#REF!</f>
        <v>#REF!</v>
      </c>
      <c r="F26" s="128"/>
      <c r="G26" s="130" t="e">
        <f>ROUND(G15*'Gross Conversion Factor H-1'!F21,0)</f>
        <v>#REF!</v>
      </c>
      <c r="H26" s="128"/>
      <c r="I26" s="357" t="e">
        <f t="shared" si="0"/>
        <v>#REF!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2.75" x14ac:dyDescent="0.2">
      <c r="A27" s="113">
        <v>10</v>
      </c>
      <c r="B27" s="90"/>
      <c r="C27" s="112" t="s">
        <v>838</v>
      </c>
      <c r="D27" s="90"/>
      <c r="E27" s="128" t="e">
        <f>+E25+E26</f>
        <v>#REF!</v>
      </c>
      <c r="F27" s="128"/>
      <c r="G27" s="128" t="e">
        <f>+G25+G26</f>
        <v>#REF!</v>
      </c>
      <c r="H27" s="128"/>
      <c r="I27" s="128" t="e">
        <f>+I25+I26</f>
        <v>#REF!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2.75" x14ac:dyDescent="0.2">
      <c r="A28" s="90"/>
      <c r="B28" s="90"/>
      <c r="C28" s="90"/>
      <c r="D28" s="90"/>
      <c r="E28" s="128"/>
      <c r="F28" s="128"/>
      <c r="G28" s="128"/>
      <c r="H28" s="128"/>
      <c r="I28" s="128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s="6" customFormat="1" ht="12.75" customHeight="1" thickBot="1" x14ac:dyDescent="0.25">
      <c r="A29" s="113">
        <v>11</v>
      </c>
      <c r="B29" s="90"/>
      <c r="C29" s="112" t="s">
        <v>514</v>
      </c>
      <c r="D29" s="90"/>
      <c r="E29" s="349" t="e">
        <f>+E23-E27</f>
        <v>#REF!</v>
      </c>
      <c r="F29" s="128"/>
      <c r="G29" s="349" t="e">
        <f>+I29-E29</f>
        <v>#REF!</v>
      </c>
      <c r="H29" s="128"/>
      <c r="I29" s="349" t="e">
        <f>ROUND(I31*I33,0)</f>
        <v>#REF!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6" customFormat="1" ht="13.5" thickTop="1" x14ac:dyDescent="0.2">
      <c r="A30" s="90"/>
      <c r="B30" s="90"/>
      <c r="C30" s="90"/>
      <c r="D30" s="90"/>
      <c r="E30" s="128"/>
      <c r="F30" s="128"/>
      <c r="G30" s="128"/>
      <c r="H30" s="128"/>
      <c r="I30" s="12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6" customFormat="1" ht="13.5" thickBot="1" x14ac:dyDescent="0.25">
      <c r="A31" s="113">
        <v>12</v>
      </c>
      <c r="B31" s="90"/>
      <c r="C31" s="112" t="s">
        <v>515</v>
      </c>
      <c r="D31" s="401"/>
      <c r="E31" s="132" t="e">
        <f>+'Rate Base Summary Sch B-1'!G36</f>
        <v>#REF!</v>
      </c>
      <c r="F31" s="128"/>
      <c r="G31" s="128"/>
      <c r="H31" s="128"/>
      <c r="I31" s="349" t="e">
        <f>E31</f>
        <v>#REF!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s="6" customFormat="1" ht="13.5" thickTop="1" x14ac:dyDescent="0.2">
      <c r="A32" s="90"/>
      <c r="B32" s="90"/>
      <c r="C32" s="90"/>
      <c r="D32" s="90"/>
      <c r="E32" s="128"/>
      <c r="F32" s="128"/>
      <c r="G32" s="128"/>
      <c r="H32" s="128"/>
      <c r="I32" s="12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13" s="6" customFormat="1" ht="13.5" thickBot="1" x14ac:dyDescent="0.25">
      <c r="A33" s="113">
        <v>13</v>
      </c>
      <c r="B33" s="90"/>
      <c r="C33" s="112" t="s">
        <v>516</v>
      </c>
      <c r="D33" s="90"/>
      <c r="E33" s="402" t="e">
        <f>ROUND(E29/E31,4)</f>
        <v>#REF!</v>
      </c>
      <c r="F33" s="90"/>
      <c r="G33" s="347"/>
      <c r="H33" s="90"/>
      <c r="I33" s="402">
        <f>+'Cost of Capital Summary J-1'!M22</f>
        <v>9.0000000000000011E-2</v>
      </c>
      <c r="K33" s="7"/>
      <c r="M33" s="7"/>
    </row>
    <row r="34" spans="1:13" s="6" customFormat="1" ht="13.5" thickTop="1" x14ac:dyDescent="0.2">
      <c r="A34" s="90"/>
      <c r="B34" s="90"/>
      <c r="C34" s="90"/>
      <c r="D34" s="90"/>
      <c r="E34" s="128"/>
      <c r="F34" s="90"/>
      <c r="G34" s="347"/>
      <c r="H34" s="90"/>
      <c r="I34" s="128"/>
      <c r="K34" s="7"/>
      <c r="M34" s="7"/>
    </row>
    <row r="35" spans="1:13" ht="11.25" x14ac:dyDescent="0.2">
      <c r="A35" s="91"/>
      <c r="B35" s="91"/>
      <c r="C35" s="403"/>
      <c r="D35" s="403"/>
      <c r="E35" s="404"/>
      <c r="F35" s="91"/>
      <c r="G35" s="350"/>
      <c r="H35" s="91"/>
      <c r="I35" s="350"/>
      <c r="K35" s="11"/>
      <c r="M35" s="11"/>
    </row>
    <row r="36" spans="1:13" ht="11.25" x14ac:dyDescent="0.2">
      <c r="A36" s="91"/>
      <c r="B36" s="91"/>
      <c r="C36" s="403"/>
      <c r="D36" s="403"/>
      <c r="E36" s="404"/>
      <c r="F36" s="91"/>
      <c r="G36" s="91"/>
      <c r="H36" s="91"/>
      <c r="I36" s="91"/>
      <c r="K36" s="11"/>
      <c r="M36" s="11"/>
    </row>
    <row r="37" spans="1:13" ht="11.25" x14ac:dyDescent="0.2">
      <c r="A37" s="91"/>
      <c r="B37" s="91"/>
      <c r="C37" s="91"/>
      <c r="D37" s="91"/>
      <c r="E37" s="350"/>
      <c r="F37" s="91"/>
      <c r="G37" s="91"/>
      <c r="H37" s="91"/>
      <c r="I37" s="91"/>
      <c r="K37" s="11"/>
      <c r="M37" s="11"/>
    </row>
    <row r="38" spans="1:13" ht="11.25" x14ac:dyDescent="0.2">
      <c r="A38" s="91"/>
      <c r="B38" s="91"/>
      <c r="C38" s="403"/>
      <c r="D38" s="403"/>
      <c r="E38" s="404"/>
      <c r="F38" s="91"/>
      <c r="G38" s="91"/>
      <c r="H38" s="91"/>
      <c r="I38" s="91"/>
      <c r="K38" s="11"/>
      <c r="M38" s="11"/>
    </row>
    <row r="39" spans="1:13" ht="11.25" x14ac:dyDescent="0.2">
      <c r="A39" s="91"/>
      <c r="B39" s="91"/>
      <c r="C39" s="405"/>
      <c r="D39" s="403"/>
      <c r="E39" s="406"/>
      <c r="F39" s="407"/>
      <c r="G39" s="91"/>
      <c r="H39" s="91"/>
      <c r="I39" s="91"/>
    </row>
    <row r="40" spans="1:13" ht="11.25" x14ac:dyDescent="0.2">
      <c r="A40" s="91"/>
      <c r="B40" s="91"/>
      <c r="C40" s="91"/>
      <c r="D40" s="91"/>
      <c r="E40" s="91"/>
      <c r="F40" s="91"/>
      <c r="G40" s="91"/>
      <c r="H40" s="91"/>
      <c r="I40" s="91"/>
    </row>
    <row r="41" spans="1:13" ht="11.25" x14ac:dyDescent="0.2">
      <c r="A41" s="91"/>
      <c r="B41" s="91"/>
      <c r="C41" s="91"/>
      <c r="D41" s="91"/>
      <c r="E41" s="91"/>
      <c r="F41" s="91"/>
      <c r="G41" s="91"/>
      <c r="H41" s="91"/>
      <c r="I41" s="91"/>
    </row>
    <row r="42" spans="1:13" ht="11.25" x14ac:dyDescent="0.2">
      <c r="A42" s="91"/>
      <c r="B42" s="91"/>
      <c r="C42" s="91"/>
      <c r="D42" s="91"/>
      <c r="E42" s="91"/>
      <c r="F42" s="91"/>
      <c r="G42" s="91"/>
      <c r="H42" s="91"/>
      <c r="I42" s="91"/>
    </row>
    <row r="43" spans="1:13" ht="11.25" x14ac:dyDescent="0.2">
      <c r="A43" s="91"/>
      <c r="B43" s="91"/>
      <c r="C43" s="91"/>
      <c r="D43" s="91"/>
      <c r="E43" s="91"/>
      <c r="F43" s="91"/>
      <c r="G43" s="91"/>
      <c r="H43" s="91"/>
      <c r="I43" s="91"/>
    </row>
    <row r="44" spans="1:13" ht="11.25" x14ac:dyDescent="0.2">
      <c r="A44" s="91"/>
      <c r="B44" s="91"/>
      <c r="C44" s="91"/>
      <c r="D44" s="91"/>
      <c r="E44" s="91"/>
      <c r="F44" s="91"/>
      <c r="G44" s="91"/>
      <c r="H44" s="91"/>
      <c r="I44" s="91"/>
    </row>
    <row r="45" spans="1:13" ht="11.25" x14ac:dyDescent="0.2">
      <c r="A45" s="91"/>
      <c r="B45" s="91"/>
      <c r="C45" s="91"/>
      <c r="D45" s="91"/>
      <c r="E45" s="91"/>
      <c r="F45" s="91"/>
      <c r="G45" s="91"/>
      <c r="H45" s="91"/>
      <c r="I45" s="91"/>
    </row>
    <row r="46" spans="1:13" ht="11.25" x14ac:dyDescent="0.2">
      <c r="A46" s="91"/>
      <c r="B46" s="91"/>
      <c r="C46" s="91"/>
      <c r="D46" s="91"/>
      <c r="E46" s="91"/>
      <c r="F46" s="91"/>
      <c r="G46" s="91"/>
      <c r="H46" s="91"/>
      <c r="I46" s="91"/>
    </row>
    <row r="47" spans="1:13" ht="11.25" x14ac:dyDescent="0.2">
      <c r="A47" s="91"/>
      <c r="B47" s="91"/>
      <c r="C47" s="91"/>
      <c r="D47" s="91"/>
      <c r="E47" s="91"/>
      <c r="F47" s="91"/>
      <c r="G47" s="91"/>
      <c r="H47" s="91"/>
      <c r="I47" s="91"/>
    </row>
    <row r="48" spans="1:13" ht="11.25" x14ac:dyDescent="0.2">
      <c r="A48" s="91"/>
      <c r="B48" s="91"/>
      <c r="C48" s="91"/>
      <c r="D48" s="91"/>
      <c r="E48" s="91"/>
      <c r="F48" s="91"/>
      <c r="G48" s="91"/>
      <c r="H48" s="91"/>
      <c r="I48" s="91"/>
    </row>
    <row r="49" spans="1:9" ht="11.25" x14ac:dyDescent="0.2">
      <c r="A49" s="91"/>
      <c r="B49" s="91"/>
      <c r="C49" s="91"/>
      <c r="D49" s="91"/>
      <c r="E49" s="91"/>
      <c r="F49" s="91"/>
      <c r="G49" s="91"/>
      <c r="H49" s="91"/>
      <c r="I49" s="91"/>
    </row>
    <row r="50" spans="1:9" ht="11.25" x14ac:dyDescent="0.2">
      <c r="A50" s="91"/>
      <c r="B50" s="91"/>
      <c r="C50" s="91"/>
      <c r="D50" s="91"/>
      <c r="E50" s="91"/>
      <c r="F50" s="91"/>
      <c r="G50" s="91"/>
      <c r="H50" s="91"/>
      <c r="I50" s="91"/>
    </row>
    <row r="51" spans="1:9" ht="11.25" x14ac:dyDescent="0.2">
      <c r="A51" s="91"/>
      <c r="B51" s="91"/>
      <c r="C51" s="91"/>
      <c r="D51" s="91"/>
      <c r="E51" s="91"/>
      <c r="F51" s="91"/>
      <c r="G51" s="91"/>
      <c r="H51" s="91"/>
      <c r="I51" s="91"/>
    </row>
    <row r="52" spans="1:9" ht="11.25" x14ac:dyDescent="0.2">
      <c r="A52" s="91"/>
      <c r="B52" s="91"/>
      <c r="C52" s="91"/>
      <c r="D52" s="91"/>
      <c r="E52" s="91"/>
      <c r="F52" s="91"/>
      <c r="G52" s="91"/>
      <c r="H52" s="91"/>
      <c r="I52" s="91"/>
    </row>
    <row r="53" spans="1:9" ht="11.25" x14ac:dyDescent="0.2">
      <c r="A53" s="91"/>
      <c r="B53" s="91"/>
      <c r="C53" s="91"/>
      <c r="D53" s="91"/>
      <c r="E53" s="91"/>
      <c r="F53" s="91"/>
      <c r="G53" s="91"/>
      <c r="H53" s="91"/>
      <c r="I53" s="91"/>
    </row>
    <row r="54" spans="1:9" ht="11.25" x14ac:dyDescent="0.2">
      <c r="A54" s="91"/>
      <c r="B54" s="91"/>
      <c r="C54" s="91"/>
      <c r="D54" s="91"/>
      <c r="E54" s="91"/>
      <c r="F54" s="91"/>
      <c r="G54" s="91"/>
      <c r="H54" s="91"/>
      <c r="I54" s="91"/>
    </row>
    <row r="55" spans="1:9" ht="11.25" x14ac:dyDescent="0.2">
      <c r="A55" s="91"/>
      <c r="B55" s="91"/>
      <c r="C55" s="91"/>
      <c r="D55" s="91"/>
      <c r="E55" s="91"/>
      <c r="F55" s="91"/>
      <c r="G55" s="91"/>
      <c r="H55" s="91"/>
      <c r="I55" s="91"/>
    </row>
    <row r="56" spans="1:9" ht="11.25" x14ac:dyDescent="0.2">
      <c r="A56" s="91"/>
      <c r="B56" s="91"/>
      <c r="C56" s="91"/>
      <c r="D56" s="91"/>
      <c r="E56" s="91"/>
      <c r="F56" s="91"/>
      <c r="G56" s="91"/>
      <c r="H56" s="91"/>
      <c r="I56" s="91"/>
    </row>
    <row r="57" spans="1:9" ht="11.25" x14ac:dyDescent="0.2">
      <c r="A57" s="91"/>
      <c r="B57" s="91"/>
      <c r="C57" s="91"/>
      <c r="D57" s="91"/>
      <c r="E57" s="91"/>
      <c r="F57" s="91"/>
      <c r="G57" s="91"/>
      <c r="H57" s="91"/>
      <c r="I57" s="91"/>
    </row>
    <row r="58" spans="1:9" ht="11.25" x14ac:dyDescent="0.2">
      <c r="A58" s="91"/>
      <c r="B58" s="91"/>
      <c r="C58" s="91"/>
      <c r="D58" s="91"/>
      <c r="E58" s="91"/>
      <c r="F58" s="91"/>
      <c r="G58" s="91"/>
      <c r="H58" s="91"/>
      <c r="I58" s="91"/>
    </row>
    <row r="59" spans="1:9" ht="11.25" x14ac:dyDescent="0.2">
      <c r="A59" s="91"/>
      <c r="B59" s="91"/>
      <c r="C59" s="91"/>
      <c r="D59" s="91"/>
      <c r="E59" s="91"/>
      <c r="F59" s="91"/>
      <c r="G59" s="91"/>
      <c r="H59" s="91"/>
      <c r="I59" s="91"/>
    </row>
    <row r="60" spans="1:9" ht="11.25" x14ac:dyDescent="0.2">
      <c r="A60" s="91"/>
      <c r="B60" s="91"/>
      <c r="C60" s="91"/>
      <c r="D60" s="91"/>
      <c r="E60" s="91"/>
      <c r="F60" s="91"/>
      <c r="G60" s="91"/>
      <c r="H60" s="91"/>
      <c r="I60" s="91"/>
    </row>
    <row r="61" spans="1:9" ht="11.25" x14ac:dyDescent="0.2">
      <c r="A61" s="91"/>
      <c r="B61" s="91"/>
      <c r="C61" s="91"/>
      <c r="D61" s="91"/>
      <c r="E61" s="91"/>
      <c r="F61" s="91"/>
      <c r="G61" s="91"/>
      <c r="H61" s="91"/>
      <c r="I61" s="91"/>
    </row>
    <row r="62" spans="1:9" ht="11.25" x14ac:dyDescent="0.2">
      <c r="A62" s="91"/>
      <c r="B62" s="91"/>
      <c r="C62" s="91"/>
      <c r="D62" s="91"/>
      <c r="E62" s="91"/>
      <c r="F62" s="91"/>
      <c r="G62" s="91"/>
      <c r="H62" s="91"/>
      <c r="I62" s="91"/>
    </row>
    <row r="63" spans="1:9" ht="11.25" x14ac:dyDescent="0.2">
      <c r="A63" s="91"/>
      <c r="B63" s="91"/>
      <c r="C63" s="91"/>
      <c r="D63" s="91"/>
      <c r="E63" s="91"/>
      <c r="F63" s="91"/>
      <c r="G63" s="91"/>
      <c r="H63" s="91"/>
      <c r="I63" s="91"/>
    </row>
    <row r="64" spans="1:9" ht="11.25" x14ac:dyDescent="0.2">
      <c r="A64" s="91"/>
      <c r="B64" s="91"/>
      <c r="C64" s="91"/>
      <c r="D64" s="91"/>
      <c r="E64" s="91"/>
      <c r="F64" s="91"/>
      <c r="G64" s="91"/>
      <c r="H64" s="91"/>
      <c r="I64" s="91"/>
    </row>
    <row r="65" spans="1:9" ht="11.25" x14ac:dyDescent="0.2">
      <c r="A65" s="91"/>
      <c r="B65" s="91"/>
      <c r="C65" s="91"/>
      <c r="D65" s="91"/>
      <c r="E65" s="91"/>
      <c r="F65" s="91"/>
      <c r="G65" s="91"/>
      <c r="H65" s="91"/>
      <c r="I65" s="91"/>
    </row>
    <row r="66" spans="1:9" ht="11.25" x14ac:dyDescent="0.2">
      <c r="A66" s="91"/>
      <c r="B66" s="91"/>
      <c r="C66" s="91"/>
      <c r="D66" s="91"/>
      <c r="E66" s="91"/>
      <c r="F66" s="91"/>
      <c r="G66" s="91"/>
      <c r="H66" s="91"/>
      <c r="I66" s="91"/>
    </row>
    <row r="67" spans="1:9" ht="11.25" x14ac:dyDescent="0.2">
      <c r="A67" s="91"/>
      <c r="B67" s="91"/>
      <c r="C67" s="91"/>
      <c r="D67" s="91"/>
      <c r="E67" s="91"/>
      <c r="F67" s="91"/>
      <c r="G67" s="91"/>
      <c r="H67" s="91"/>
      <c r="I67" s="91"/>
    </row>
    <row r="68" spans="1:9" ht="11.25" x14ac:dyDescent="0.2">
      <c r="A68" s="91"/>
      <c r="B68" s="91"/>
      <c r="C68" s="91"/>
      <c r="D68" s="91"/>
      <c r="E68" s="91"/>
      <c r="F68" s="91"/>
      <c r="G68" s="91"/>
      <c r="H68" s="91"/>
      <c r="I68" s="91"/>
    </row>
    <row r="69" spans="1:9" ht="11.25" x14ac:dyDescent="0.2">
      <c r="A69" s="91"/>
      <c r="B69" s="91"/>
      <c r="C69" s="91"/>
      <c r="D69" s="91"/>
      <c r="E69" s="91"/>
      <c r="F69" s="91"/>
      <c r="G69" s="91"/>
      <c r="H69" s="91"/>
      <c r="I69" s="91"/>
    </row>
    <row r="70" spans="1:9" ht="11.25" x14ac:dyDescent="0.2">
      <c r="A70" s="91"/>
      <c r="B70" s="91"/>
      <c r="C70" s="91"/>
      <c r="D70" s="91"/>
      <c r="E70" s="91"/>
      <c r="F70" s="91"/>
      <c r="G70" s="91"/>
      <c r="H70" s="91"/>
      <c r="I70" s="91"/>
    </row>
    <row r="71" spans="1:9" ht="11.25" x14ac:dyDescent="0.2">
      <c r="A71" s="91"/>
      <c r="B71" s="91"/>
      <c r="C71" s="91"/>
      <c r="D71" s="91"/>
      <c r="E71" s="91"/>
      <c r="F71" s="91"/>
      <c r="G71" s="91"/>
      <c r="H71" s="91"/>
      <c r="I71" s="91"/>
    </row>
    <row r="72" spans="1:9" ht="11.25" x14ac:dyDescent="0.2">
      <c r="A72" s="91"/>
      <c r="B72" s="91"/>
      <c r="C72" s="91"/>
      <c r="D72" s="91"/>
      <c r="E72" s="91"/>
      <c r="F72" s="91"/>
      <c r="G72" s="91"/>
      <c r="H72" s="91"/>
      <c r="I72" s="91"/>
    </row>
    <row r="73" spans="1:9" ht="11.25" x14ac:dyDescent="0.2">
      <c r="A73" s="91"/>
      <c r="B73" s="91"/>
      <c r="C73" s="91"/>
      <c r="D73" s="91"/>
      <c r="E73" s="91"/>
      <c r="F73" s="91"/>
      <c r="G73" s="91"/>
      <c r="H73" s="91"/>
      <c r="I73" s="91"/>
    </row>
    <row r="74" spans="1:9" ht="11.25" x14ac:dyDescent="0.2">
      <c r="A74" s="91"/>
      <c r="B74" s="91"/>
      <c r="C74" s="91"/>
      <c r="D74" s="91"/>
      <c r="E74" s="91"/>
      <c r="F74" s="91"/>
      <c r="G74" s="91"/>
      <c r="H74" s="91"/>
      <c r="I74" s="91"/>
    </row>
    <row r="75" spans="1:9" ht="11.25" x14ac:dyDescent="0.2">
      <c r="A75" s="91"/>
      <c r="B75" s="91"/>
      <c r="C75" s="91"/>
      <c r="D75" s="91"/>
      <c r="E75" s="91"/>
      <c r="F75" s="91"/>
      <c r="G75" s="91"/>
      <c r="H75" s="91"/>
      <c r="I75" s="91"/>
    </row>
    <row r="76" spans="1:9" ht="11.25" x14ac:dyDescent="0.2">
      <c r="A76" s="91"/>
      <c r="B76" s="91"/>
      <c r="C76" s="91"/>
      <c r="D76" s="91"/>
      <c r="E76" s="91"/>
      <c r="F76" s="91"/>
      <c r="G76" s="91"/>
      <c r="H76" s="91"/>
      <c r="I76" s="91"/>
    </row>
    <row r="77" spans="1:9" ht="11.25" x14ac:dyDescent="0.2">
      <c r="A77" s="91"/>
      <c r="B77" s="91"/>
      <c r="C77" s="91"/>
      <c r="D77" s="91"/>
      <c r="E77" s="91"/>
      <c r="F77" s="91"/>
      <c r="G77" s="91"/>
      <c r="H77" s="91"/>
      <c r="I77" s="91"/>
    </row>
    <row r="78" spans="1:9" ht="11.25" x14ac:dyDescent="0.2">
      <c r="A78" s="91"/>
      <c r="B78" s="91"/>
      <c r="C78" s="91"/>
      <c r="D78" s="91"/>
      <c r="E78" s="91"/>
      <c r="F78" s="91"/>
      <c r="G78" s="91"/>
      <c r="H78" s="91"/>
      <c r="I78" s="91"/>
    </row>
    <row r="79" spans="1:9" ht="11.25" x14ac:dyDescent="0.2">
      <c r="A79" s="91"/>
      <c r="B79" s="91"/>
      <c r="C79" s="91"/>
      <c r="D79" s="91"/>
      <c r="E79" s="91"/>
      <c r="F79" s="91"/>
      <c r="G79" s="91"/>
      <c r="H79" s="91"/>
      <c r="I79" s="91"/>
    </row>
  </sheetData>
  <mergeCells count="4">
    <mergeCell ref="A1:I1"/>
    <mergeCell ref="A2:I2"/>
    <mergeCell ref="A3:I3"/>
    <mergeCell ref="A4:I4"/>
  </mergeCells>
  <phoneticPr fontId="3" type="noConversion"/>
  <printOptions horizontalCentered="1"/>
  <pageMargins left="0.25" right="0.25" top="1" bottom="0.5" header="0.5" footer="0.5"/>
  <pageSetup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zoomScaleNormal="100" workbookViewId="0">
      <selection activeCell="K19" sqref="K19"/>
    </sheetView>
  </sheetViews>
  <sheetFormatPr defaultColWidth="8.33203125" defaultRowHeight="15" x14ac:dyDescent="0.25"/>
  <cols>
    <col min="1" max="1" width="9.33203125" style="1337" customWidth="1"/>
    <col min="2" max="2" width="3.83203125" style="1338" customWidth="1"/>
    <col min="3" max="3" width="61.83203125" style="1338" bestFit="1" customWidth="1"/>
    <col min="4" max="4" width="4" style="1338" customWidth="1"/>
    <col min="5" max="5" width="16.83203125" style="1338" bestFit="1" customWidth="1"/>
    <col min="6" max="6" width="20.83203125" style="1338" customWidth="1"/>
    <col min="7" max="7" width="8.33203125" style="1338"/>
    <col min="8" max="8" width="12.33203125" style="1338" bestFit="1" customWidth="1"/>
    <col min="9" max="9" width="9.6640625" style="1338" bestFit="1" customWidth="1"/>
    <col min="10" max="16384" width="8.33203125" style="1338"/>
  </cols>
  <sheetData>
    <row r="1" spans="1:8" ht="14.25" customHeight="1" x14ac:dyDescent="0.25">
      <c r="F1" s="1339" t="s">
        <v>1855</v>
      </c>
    </row>
    <row r="2" spans="1:8" x14ac:dyDescent="0.25">
      <c r="F2" s="1340" t="s">
        <v>1857</v>
      </c>
    </row>
    <row r="3" spans="1:8" x14ac:dyDescent="0.25">
      <c r="F3" s="1339" t="s">
        <v>1856</v>
      </c>
    </row>
    <row r="4" spans="1:8" x14ac:dyDescent="0.25">
      <c r="A4" s="1338"/>
      <c r="B4" s="1340"/>
      <c r="C4" s="1340"/>
      <c r="D4" s="1340"/>
      <c r="E4" s="1340"/>
      <c r="F4" s="1340" t="s">
        <v>1828</v>
      </c>
    </row>
    <row r="5" spans="1:8" x14ac:dyDescent="0.25">
      <c r="A5" s="1341"/>
      <c r="B5" s="1341"/>
      <c r="C5" s="1341"/>
      <c r="D5" s="1341"/>
      <c r="E5" s="1341"/>
      <c r="F5" s="1340" t="s">
        <v>1829</v>
      </c>
    </row>
    <row r="6" spans="1:8" x14ac:dyDescent="0.25">
      <c r="A6" s="1424" t="s">
        <v>1830</v>
      </c>
      <c r="B6" s="1424"/>
      <c r="C6" s="1424"/>
      <c r="D6" s="1424"/>
      <c r="E6" s="1424"/>
      <c r="F6" s="1424"/>
    </row>
    <row r="7" spans="1:8" x14ac:dyDescent="0.25">
      <c r="A7" s="1424" t="s">
        <v>1831</v>
      </c>
      <c r="B7" s="1424"/>
      <c r="C7" s="1424"/>
      <c r="D7" s="1424"/>
      <c r="E7" s="1424"/>
      <c r="F7" s="1424"/>
    </row>
    <row r="8" spans="1:8" x14ac:dyDescent="0.25">
      <c r="A8" s="1424" t="s">
        <v>1849</v>
      </c>
      <c r="B8" s="1424"/>
      <c r="C8" s="1424"/>
      <c r="D8" s="1424"/>
      <c r="E8" s="1424"/>
      <c r="F8" s="1424"/>
    </row>
    <row r="9" spans="1:8" x14ac:dyDescent="0.25">
      <c r="A9" s="1424" t="s">
        <v>1832</v>
      </c>
      <c r="B9" s="1424"/>
      <c r="C9" s="1424"/>
      <c r="D9" s="1424"/>
      <c r="E9" s="1424"/>
      <c r="F9" s="1424"/>
    </row>
    <row r="10" spans="1:8" x14ac:dyDescent="0.25">
      <c r="A10" s="1342"/>
      <c r="C10" s="1343"/>
      <c r="F10" s="1342"/>
    </row>
    <row r="11" spans="1:8" x14ac:dyDescent="0.25">
      <c r="A11" s="1344" t="s">
        <v>1833</v>
      </c>
      <c r="B11" s="1345"/>
      <c r="C11" s="1425" t="s">
        <v>1834</v>
      </c>
      <c r="D11" s="1425"/>
      <c r="E11" s="1425"/>
      <c r="F11" s="1346" t="s">
        <v>1835</v>
      </c>
    </row>
    <row r="12" spans="1:8" x14ac:dyDescent="0.25">
      <c r="C12" s="1347"/>
      <c r="F12" s="1343" t="s">
        <v>500</v>
      </c>
    </row>
    <row r="13" spans="1:8" x14ac:dyDescent="0.25">
      <c r="A13" s="1342">
        <v>1</v>
      </c>
      <c r="C13" s="1348" t="s">
        <v>1812</v>
      </c>
      <c r="F13" s="1349">
        <f>'Oper Rev&amp;Exp by Accts C2.1p1-2'!F30*0+137145377.4</f>
        <v>137145377.40000001</v>
      </c>
    </row>
    <row r="14" spans="1:8" x14ac:dyDescent="0.25">
      <c r="C14" s="1350"/>
      <c r="F14" s="1351"/>
    </row>
    <row r="15" spans="1:8" x14ac:dyDescent="0.25">
      <c r="A15" s="1342">
        <f>A13+1</f>
        <v>2</v>
      </c>
      <c r="C15" s="1348" t="s">
        <v>1813</v>
      </c>
      <c r="G15" s="1352"/>
      <c r="H15" s="1351"/>
    </row>
    <row r="16" spans="1:8" x14ac:dyDescent="0.25">
      <c r="A16" s="1342">
        <f>A15+1</f>
        <v>3</v>
      </c>
      <c r="C16" s="1348" t="s">
        <v>1814</v>
      </c>
      <c r="F16" s="1349">
        <f>'Oper Rev&amp;Exp by Accts C2.1p1-2'!F51*0+52042993.09</f>
        <v>52042993.090000004</v>
      </c>
      <c r="G16" s="1352"/>
      <c r="H16" s="1351"/>
    </row>
    <row r="17" spans="1:9" x14ac:dyDescent="0.25">
      <c r="A17" s="1342">
        <f>A16+1</f>
        <v>4</v>
      </c>
      <c r="C17" s="1353" t="s">
        <v>1815</v>
      </c>
      <c r="F17" s="1354">
        <v>46980877.149999999</v>
      </c>
    </row>
    <row r="18" spans="1:9" x14ac:dyDescent="0.25">
      <c r="A18" s="1342">
        <f t="shared" ref="A18:A23" si="0">A17+1</f>
        <v>5</v>
      </c>
      <c r="C18" s="1353" t="s">
        <v>1816</v>
      </c>
      <c r="F18" s="1349">
        <f>'Oper Rev&amp;Exp by Accts C2.1p1-2'!F140*0+10653299.66+1324159.33</f>
        <v>11977458.99</v>
      </c>
      <c r="H18" s="1355"/>
    </row>
    <row r="19" spans="1:9" x14ac:dyDescent="0.25">
      <c r="A19" s="1342">
        <f t="shared" si="0"/>
        <v>6</v>
      </c>
      <c r="C19" s="1353" t="s">
        <v>1817</v>
      </c>
      <c r="F19" s="1356"/>
      <c r="H19" s="1351"/>
    </row>
    <row r="20" spans="1:9" x14ac:dyDescent="0.25">
      <c r="A20" s="1342">
        <f t="shared" si="0"/>
        <v>7</v>
      </c>
      <c r="C20" s="1353" t="s">
        <v>1854</v>
      </c>
      <c r="F20" s="1357">
        <f>3913126+753394+13197</f>
        <v>4679717</v>
      </c>
      <c r="H20" s="1351"/>
    </row>
    <row r="21" spans="1:9" x14ac:dyDescent="0.25">
      <c r="A21" s="1342">
        <f t="shared" si="0"/>
        <v>8</v>
      </c>
      <c r="C21" s="1353" t="s">
        <v>1818</v>
      </c>
      <c r="F21" s="1349">
        <v>5298097</v>
      </c>
      <c r="G21" s="1352"/>
      <c r="H21" s="1356"/>
    </row>
    <row r="22" spans="1:9" x14ac:dyDescent="0.25">
      <c r="A22" s="1342">
        <f t="shared" si="0"/>
        <v>9</v>
      </c>
      <c r="C22" s="1353" t="s">
        <v>1819</v>
      </c>
      <c r="F22" s="1358">
        <f>855574.91</f>
        <v>855574.91</v>
      </c>
    </row>
    <row r="23" spans="1:9" x14ac:dyDescent="0.25">
      <c r="A23" s="1342">
        <f t="shared" si="0"/>
        <v>10</v>
      </c>
      <c r="C23" s="1348" t="s">
        <v>1820</v>
      </c>
      <c r="F23" s="1356">
        <f>SUM(F16:F22)</f>
        <v>121834718.14</v>
      </c>
      <c r="H23" s="1355"/>
    </row>
    <row r="24" spans="1:9" x14ac:dyDescent="0.25">
      <c r="A24" s="1342"/>
      <c r="F24" s="1351"/>
      <c r="H24" s="1351"/>
    </row>
    <row r="25" spans="1:9" ht="15.75" thickBot="1" x14ac:dyDescent="0.3">
      <c r="A25" s="1342">
        <f>A23+1</f>
        <v>11</v>
      </c>
      <c r="C25" s="1348" t="s">
        <v>1821</v>
      </c>
      <c r="F25" s="1359">
        <f>F13-F23</f>
        <v>15310659.260000005</v>
      </c>
      <c r="G25" s="1352"/>
      <c r="H25" s="1351"/>
    </row>
    <row r="26" spans="1:9" ht="15.75" thickTop="1" x14ac:dyDescent="0.25">
      <c r="A26" s="1342"/>
      <c r="C26" s="1353"/>
      <c r="F26" s="1356"/>
    </row>
    <row r="27" spans="1:9" x14ac:dyDescent="0.25">
      <c r="A27" s="1342">
        <f>A25+1</f>
        <v>12</v>
      </c>
      <c r="C27" s="1353" t="s">
        <v>1776</v>
      </c>
      <c r="F27" s="1354">
        <v>6123529.9000000004</v>
      </c>
      <c r="H27" s="1355"/>
    </row>
    <row r="28" spans="1:9" x14ac:dyDescent="0.25">
      <c r="A28" s="1342"/>
      <c r="C28" s="1353"/>
      <c r="F28" s="1360"/>
      <c r="H28" s="1355"/>
    </row>
    <row r="29" spans="1:9" x14ac:dyDescent="0.25">
      <c r="A29" s="1361" t="s">
        <v>1811</v>
      </c>
      <c r="C29" s="1353"/>
      <c r="F29" s="1356"/>
    </row>
    <row r="30" spans="1:9" x14ac:dyDescent="0.25">
      <c r="A30" s="1342">
        <f>A27+1</f>
        <v>13</v>
      </c>
      <c r="C30" s="1353" t="s">
        <v>1847</v>
      </c>
      <c r="F30" s="1356">
        <f>F21+F22</f>
        <v>6153671.9100000001</v>
      </c>
    </row>
    <row r="31" spans="1:9" x14ac:dyDescent="0.25">
      <c r="C31" s="1353"/>
      <c r="F31" s="1356"/>
      <c r="G31" s="1352"/>
      <c r="H31" s="1356"/>
      <c r="I31" s="1356"/>
    </row>
    <row r="32" spans="1:9" x14ac:dyDescent="0.25">
      <c r="A32" s="1342">
        <f>A30+1</f>
        <v>14</v>
      </c>
      <c r="C32" s="1353" t="s">
        <v>1822</v>
      </c>
      <c r="F32" s="1356">
        <f>F25+F21+F22-F27</f>
        <v>15340801.270000005</v>
      </c>
      <c r="G32" s="1352"/>
      <c r="H32" s="1356"/>
      <c r="I32" s="1356"/>
    </row>
    <row r="33" spans="1:9" x14ac:dyDescent="0.25">
      <c r="C33" s="1353"/>
      <c r="F33" s="1356"/>
      <c r="G33" s="1352"/>
      <c r="H33" s="1356"/>
      <c r="I33" s="1356"/>
    </row>
    <row r="34" spans="1:9" x14ac:dyDescent="0.25">
      <c r="A34" s="1342">
        <f>A32+1</f>
        <v>15</v>
      </c>
      <c r="C34" s="1353" t="s">
        <v>1848</v>
      </c>
      <c r="F34" s="1362">
        <f>F30/F32</f>
        <v>0.40113106230206697</v>
      </c>
      <c r="G34" s="1352"/>
      <c r="H34" s="1356"/>
      <c r="I34" s="1356"/>
    </row>
    <row r="35" spans="1:9" x14ac:dyDescent="0.25">
      <c r="C35" s="1353"/>
      <c r="F35" s="1356"/>
    </row>
    <row r="36" spans="1:9" x14ac:dyDescent="0.25">
      <c r="A36" s="1361" t="s">
        <v>1850</v>
      </c>
      <c r="C36" s="1353"/>
      <c r="F36" s="1356"/>
      <c r="H36" s="1355"/>
    </row>
    <row r="37" spans="1:9" x14ac:dyDescent="0.25">
      <c r="A37" s="1342">
        <f>A34+1</f>
        <v>16</v>
      </c>
      <c r="C37" s="1353" t="s">
        <v>1851</v>
      </c>
      <c r="F37" s="1362">
        <f>F34+F52</f>
        <v>0.26953106230206697</v>
      </c>
    </row>
    <row r="38" spans="1:9" x14ac:dyDescent="0.25">
      <c r="A38" s="1342"/>
      <c r="C38" s="1353"/>
      <c r="F38" s="1356"/>
    </row>
    <row r="39" spans="1:9" x14ac:dyDescent="0.25">
      <c r="A39" s="1342">
        <f>A37+1</f>
        <v>17</v>
      </c>
      <c r="C39" s="1353" t="s">
        <v>1852</v>
      </c>
      <c r="F39" s="1356">
        <f>F32*F37</f>
        <v>4134822.4628679994</v>
      </c>
      <c r="G39" s="1352"/>
      <c r="H39" s="1356"/>
      <c r="I39" s="1356"/>
    </row>
    <row r="40" spans="1:9" x14ac:dyDescent="0.25">
      <c r="A40" s="1338"/>
      <c r="F40" s="1356"/>
      <c r="G40" s="1352"/>
      <c r="H40" s="1356"/>
      <c r="I40" s="1356"/>
    </row>
    <row r="41" spans="1:9" x14ac:dyDescent="0.25">
      <c r="A41" s="1342">
        <f>A39+1</f>
        <v>18</v>
      </c>
      <c r="C41" s="1353" t="s">
        <v>1823</v>
      </c>
      <c r="F41" s="1363">
        <f>(F39-F30)</f>
        <v>-2018849.4471320007</v>
      </c>
      <c r="G41" s="1352"/>
      <c r="H41" s="1356"/>
      <c r="I41" s="1356"/>
    </row>
    <row r="42" spans="1:9" x14ac:dyDescent="0.25">
      <c r="A42" s="1342"/>
      <c r="C42" s="1353"/>
      <c r="F42" s="1360"/>
      <c r="G42" s="1352"/>
      <c r="H42" s="1356"/>
      <c r="I42" s="1356"/>
    </row>
    <row r="43" spans="1:9" x14ac:dyDescent="0.25">
      <c r="A43" s="1342">
        <f>A41+1</f>
        <v>19</v>
      </c>
      <c r="C43" s="1353" t="s">
        <v>1838</v>
      </c>
      <c r="F43" s="1364">
        <f>F63</f>
        <v>1.3617824647196637</v>
      </c>
      <c r="G43" s="1352"/>
      <c r="H43" s="1356"/>
      <c r="I43" s="1356"/>
    </row>
    <row r="44" spans="1:9" x14ac:dyDescent="0.25">
      <c r="A44" s="1342"/>
      <c r="C44" s="1353"/>
      <c r="E44" s="1364"/>
      <c r="G44" s="1352"/>
      <c r="H44" s="1356"/>
      <c r="I44" s="1356"/>
    </row>
    <row r="45" spans="1:9" ht="15.75" thickBot="1" x14ac:dyDescent="0.3">
      <c r="A45" s="1342">
        <f>A43+1</f>
        <v>20</v>
      </c>
      <c r="C45" s="1353" t="s">
        <v>1836</v>
      </c>
      <c r="F45" s="1365">
        <f>F41*F43</f>
        <v>-2749233.7760133464</v>
      </c>
      <c r="G45" s="1352"/>
      <c r="H45" s="1356"/>
      <c r="I45" s="1356"/>
    </row>
    <row r="46" spans="1:9" ht="15.75" thickTop="1" x14ac:dyDescent="0.25">
      <c r="A46" s="1342"/>
      <c r="C46" s="1353"/>
      <c r="G46" s="1352"/>
      <c r="H46" s="1356"/>
      <c r="I46" s="1356"/>
    </row>
    <row r="47" spans="1:9" x14ac:dyDescent="0.25">
      <c r="A47" s="1342"/>
      <c r="C47" s="1353"/>
      <c r="E47" s="1356"/>
      <c r="G47" s="1352"/>
      <c r="H47" s="1356"/>
      <c r="I47" s="1356"/>
    </row>
    <row r="48" spans="1:9" x14ac:dyDescent="0.25">
      <c r="A48" s="1342"/>
      <c r="E48" s="1342" t="s">
        <v>1839</v>
      </c>
      <c r="F48" s="1366" t="s">
        <v>1809</v>
      </c>
      <c r="G48" s="1356"/>
    </row>
    <row r="49" spans="1:9" x14ac:dyDescent="0.25">
      <c r="A49" s="1342">
        <f>A45+1</f>
        <v>21</v>
      </c>
      <c r="B49" s="1367"/>
      <c r="C49" s="1368" t="s">
        <v>1824</v>
      </c>
      <c r="D49" s="1369"/>
      <c r="E49" s="1370">
        <v>0.06</v>
      </c>
      <c r="F49" s="1370">
        <v>0.06</v>
      </c>
      <c r="G49" s="1356"/>
    </row>
    <row r="50" spans="1:9" x14ac:dyDescent="0.25">
      <c r="A50" s="1342">
        <f>A49+1</f>
        <v>22</v>
      </c>
      <c r="B50" s="1371"/>
      <c r="C50" s="1372" t="s">
        <v>1825</v>
      </c>
      <c r="D50" s="1373"/>
      <c r="E50" s="1374">
        <v>0.35</v>
      </c>
      <c r="F50" s="1374">
        <v>0.21</v>
      </c>
      <c r="G50" s="1356"/>
    </row>
    <row r="51" spans="1:9" x14ac:dyDescent="0.25">
      <c r="A51" s="1342">
        <f t="shared" ref="A51:A52" si="1">A50+1</f>
        <v>23</v>
      </c>
      <c r="B51" s="1371"/>
      <c r="C51" s="1372" t="s">
        <v>1841</v>
      </c>
      <c r="D51" s="1373"/>
      <c r="E51" s="1375">
        <f>E50*(1-E49)+E49</f>
        <v>0.38899999999999996</v>
      </c>
      <c r="F51" s="1375">
        <f>F50*(1-F49)+F49</f>
        <v>0.25739999999999996</v>
      </c>
      <c r="G51" s="1356"/>
    </row>
    <row r="52" spans="1:9" x14ac:dyDescent="0.25">
      <c r="A52" s="1342">
        <f t="shared" si="1"/>
        <v>24</v>
      </c>
      <c r="B52" s="1376"/>
      <c r="C52" s="1377" t="s">
        <v>1810</v>
      </c>
      <c r="D52" s="1378"/>
      <c r="E52" s="1379"/>
      <c r="F52" s="1379">
        <f>F51-E51</f>
        <v>-0.13159999999999999</v>
      </c>
      <c r="G52" s="1356"/>
    </row>
    <row r="53" spans="1:9" x14ac:dyDescent="0.25">
      <c r="A53" s="1353"/>
      <c r="B53" s="1353"/>
      <c r="C53" s="1353"/>
      <c r="D53" s="1353"/>
      <c r="E53" s="1353"/>
      <c r="F53" s="1353"/>
      <c r="G53" s="1356"/>
    </row>
    <row r="54" spans="1:9" x14ac:dyDescent="0.25">
      <c r="A54" s="1353"/>
      <c r="B54" s="1353"/>
      <c r="C54" s="1353"/>
      <c r="D54" s="1353"/>
      <c r="E54" s="1342" t="s">
        <v>1839</v>
      </c>
      <c r="F54" s="1342" t="s">
        <v>1840</v>
      </c>
      <c r="G54" s="1356"/>
    </row>
    <row r="55" spans="1:9" x14ac:dyDescent="0.25">
      <c r="A55" s="1342">
        <f>A52+1</f>
        <v>25</v>
      </c>
      <c r="B55" s="1380"/>
      <c r="C55" s="1368" t="s">
        <v>1837</v>
      </c>
      <c r="D55" s="1368"/>
      <c r="E55" s="1370">
        <v>1</v>
      </c>
      <c r="F55" s="1370">
        <f>E55</f>
        <v>1</v>
      </c>
    </row>
    <row r="56" spans="1:9" x14ac:dyDescent="0.25">
      <c r="A56" s="1342">
        <f>A55+1</f>
        <v>26</v>
      </c>
      <c r="B56" s="1381"/>
      <c r="C56" s="1372" t="s">
        <v>1826</v>
      </c>
      <c r="D56" s="1372"/>
      <c r="E56" s="1382">
        <v>9.2332899999999999E-3</v>
      </c>
      <c r="F56" s="1382">
        <f>E56</f>
        <v>9.2332899999999999E-3</v>
      </c>
    </row>
    <row r="57" spans="1:9" x14ac:dyDescent="0.25">
      <c r="A57" s="1342">
        <f t="shared" ref="A57:A63" si="2">A56+1</f>
        <v>27</v>
      </c>
      <c r="B57" s="1381"/>
      <c r="C57" s="1372" t="s">
        <v>1827</v>
      </c>
      <c r="D57" s="1372"/>
      <c r="E57" s="1383">
        <v>1.9009999999999999E-3</v>
      </c>
      <c r="F57" s="1383">
        <f>E57</f>
        <v>1.9009999999999999E-3</v>
      </c>
    </row>
    <row r="58" spans="1:9" x14ac:dyDescent="0.25">
      <c r="A58" s="1342">
        <f t="shared" si="2"/>
        <v>28</v>
      </c>
      <c r="B58" s="1381"/>
      <c r="C58" s="1372" t="s">
        <v>1853</v>
      </c>
      <c r="D58" s="1372"/>
      <c r="E58" s="1384">
        <f>E55-E56-E57</f>
        <v>0.98886571000000001</v>
      </c>
      <c r="F58" s="1384">
        <f>F55-F56-F57</f>
        <v>0.98886571000000001</v>
      </c>
    </row>
    <row r="59" spans="1:9" x14ac:dyDescent="0.25">
      <c r="A59" s="1342">
        <f t="shared" si="2"/>
        <v>29</v>
      </c>
      <c r="B59" s="1381"/>
      <c r="C59" s="1372" t="s">
        <v>1842</v>
      </c>
      <c r="D59" s="1372"/>
      <c r="E59" s="1385">
        <f>E58*E49</f>
        <v>5.93319426E-2</v>
      </c>
      <c r="F59" s="1385">
        <f>F58*F49</f>
        <v>5.93319426E-2</v>
      </c>
    </row>
    <row r="60" spans="1:9" x14ac:dyDescent="0.25">
      <c r="A60" s="1342">
        <f t="shared" si="2"/>
        <v>30</v>
      </c>
      <c r="B60" s="1381"/>
      <c r="C60" s="1372" t="s">
        <v>1843</v>
      </c>
      <c r="D60" s="1372"/>
      <c r="E60" s="1384">
        <f>E58-E59</f>
        <v>0.92953376740000004</v>
      </c>
      <c r="F60" s="1384">
        <f>F58-F59</f>
        <v>0.92953376740000004</v>
      </c>
    </row>
    <row r="61" spans="1:9" x14ac:dyDescent="0.25">
      <c r="A61" s="1342">
        <f t="shared" si="2"/>
        <v>31</v>
      </c>
      <c r="B61" s="1381"/>
      <c r="C61" s="1372" t="s">
        <v>1844</v>
      </c>
      <c r="D61" s="1372"/>
      <c r="E61" s="1385">
        <f>E60*E50</f>
        <v>0.32533681859000002</v>
      </c>
      <c r="F61" s="1385">
        <f>F60*F50</f>
        <v>0.195202091154</v>
      </c>
      <c r="H61" s="1386"/>
    </row>
    <row r="62" spans="1:9" ht="15.75" thickBot="1" x14ac:dyDescent="0.3">
      <c r="A62" s="1342">
        <f t="shared" si="2"/>
        <v>32</v>
      </c>
      <c r="B62" s="1381"/>
      <c r="C62" s="1372" t="s">
        <v>1845</v>
      </c>
      <c r="D62" s="1372"/>
      <c r="E62" s="1384">
        <f>E60-E61</f>
        <v>0.60419694881000008</v>
      </c>
      <c r="F62" s="1384">
        <f>F60-F61</f>
        <v>0.73433167624600004</v>
      </c>
    </row>
    <row r="63" spans="1:9" ht="15.75" thickBot="1" x14ac:dyDescent="0.3">
      <c r="A63" s="1342">
        <f t="shared" si="2"/>
        <v>33</v>
      </c>
      <c r="B63" s="1387"/>
      <c r="C63" s="1377" t="s">
        <v>1846</v>
      </c>
      <c r="D63" s="1377"/>
      <c r="E63" s="1388">
        <f>1/E62</f>
        <v>1.6550894571208219</v>
      </c>
      <c r="F63" s="1389">
        <f>1/F62</f>
        <v>1.3617824647196637</v>
      </c>
      <c r="H63" s="1386"/>
    </row>
    <row r="64" spans="1:9" x14ac:dyDescent="0.25">
      <c r="A64" s="1353"/>
      <c r="B64" s="1353"/>
      <c r="C64" s="1353"/>
      <c r="D64" s="1353"/>
      <c r="E64" s="1353"/>
      <c r="F64" s="1353"/>
      <c r="H64" s="1351"/>
      <c r="I64" s="1356"/>
    </row>
    <row r="65" spans="1:9" x14ac:dyDescent="0.25">
      <c r="A65" s="1353"/>
      <c r="B65" s="1353"/>
      <c r="C65" s="1353"/>
      <c r="D65" s="1353"/>
      <c r="E65" s="1353"/>
      <c r="F65" s="1353"/>
      <c r="H65" s="1351"/>
      <c r="I65" s="1356"/>
    </row>
    <row r="66" spans="1:9" x14ac:dyDescent="0.25">
      <c r="A66" s="1353"/>
      <c r="B66" s="1353"/>
      <c r="C66" s="1353"/>
      <c r="D66" s="1353"/>
      <c r="E66" s="1353"/>
      <c r="F66" s="1353"/>
    </row>
    <row r="67" spans="1:9" x14ac:dyDescent="0.25">
      <c r="A67" s="1353"/>
      <c r="B67" s="1353"/>
      <c r="C67" s="1353"/>
      <c r="D67" s="1353"/>
      <c r="E67" s="1353"/>
      <c r="F67" s="1353"/>
    </row>
    <row r="68" spans="1:9" x14ac:dyDescent="0.25">
      <c r="A68" s="1353"/>
      <c r="B68" s="1353"/>
      <c r="C68" s="1353"/>
      <c r="D68" s="1353"/>
      <c r="E68" s="1353"/>
      <c r="F68" s="1353"/>
      <c r="H68" s="1355"/>
    </row>
    <row r="69" spans="1:9" x14ac:dyDescent="0.25">
      <c r="A69" s="1353"/>
      <c r="B69" s="1353"/>
      <c r="C69" s="1353"/>
      <c r="D69" s="1353"/>
      <c r="E69" s="1353"/>
      <c r="F69" s="1353"/>
    </row>
    <row r="70" spans="1:9" x14ac:dyDescent="0.25">
      <c r="A70" s="1353"/>
      <c r="B70" s="1353"/>
      <c r="C70" s="1353"/>
      <c r="D70" s="1353"/>
      <c r="E70" s="1353"/>
      <c r="F70" s="1353"/>
    </row>
    <row r="71" spans="1:9" x14ac:dyDescent="0.25">
      <c r="A71" s="1353"/>
      <c r="B71" s="1353"/>
      <c r="C71" s="1353"/>
      <c r="D71" s="1353"/>
      <c r="E71" s="1353"/>
      <c r="F71" s="1353"/>
    </row>
    <row r="75" spans="1:9" x14ac:dyDescent="0.25">
      <c r="C75" s="1386"/>
    </row>
    <row r="78" spans="1:9" x14ac:dyDescent="0.25">
      <c r="A78" s="1342"/>
    </row>
    <row r="79" spans="1:9" x14ac:dyDescent="0.25">
      <c r="A79" s="1342"/>
    </row>
    <row r="81" spans="1:3" x14ac:dyDescent="0.25">
      <c r="A81" s="1342"/>
    </row>
    <row r="82" spans="1:3" x14ac:dyDescent="0.25">
      <c r="A82" s="1342"/>
    </row>
    <row r="83" spans="1:3" x14ac:dyDescent="0.25">
      <c r="A83" s="1342"/>
    </row>
    <row r="84" spans="1:3" x14ac:dyDescent="0.25">
      <c r="A84" s="1343"/>
      <c r="B84" s="1348"/>
    </row>
    <row r="85" spans="1:3" x14ac:dyDescent="0.25">
      <c r="A85" s="1342"/>
      <c r="B85" s="1348"/>
    </row>
    <row r="86" spans="1:3" x14ac:dyDescent="0.25">
      <c r="A86" s="1342"/>
      <c r="B86" s="1348"/>
    </row>
    <row r="88" spans="1:3" x14ac:dyDescent="0.25">
      <c r="A88" s="1342"/>
    </row>
    <row r="90" spans="1:3" x14ac:dyDescent="0.25">
      <c r="A90" s="1342"/>
    </row>
    <row r="91" spans="1:3" x14ac:dyDescent="0.25">
      <c r="A91" s="1342"/>
      <c r="C91" s="1386"/>
    </row>
    <row r="94" spans="1:3" x14ac:dyDescent="0.25">
      <c r="A94" s="1342"/>
    </row>
  </sheetData>
  <mergeCells count="5">
    <mergeCell ref="A9:F9"/>
    <mergeCell ref="A8:F8"/>
    <mergeCell ref="C11:E11"/>
    <mergeCell ref="A7:F7"/>
    <mergeCell ref="A6:F6"/>
  </mergeCells>
  <phoneticPr fontId="3" type="noConversion"/>
  <printOptions horizontalCentered="1"/>
  <pageMargins left="0.25" right="0.25" top="0.5" bottom="0.25" header="0.25" footer="0.25"/>
  <pageSetup scale="77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topLeftCell="A124" zoomScaleNormal="100" workbookViewId="0">
      <selection activeCell="F142" sqref="F142"/>
    </sheetView>
  </sheetViews>
  <sheetFormatPr defaultColWidth="9.33203125" defaultRowHeight="10.5" x14ac:dyDescent="0.15"/>
  <cols>
    <col min="1" max="1" width="5.5" style="8" customWidth="1"/>
    <col min="2" max="2" width="3.83203125" style="3" customWidth="1"/>
    <col min="3" max="3" width="9.5" style="3" bestFit="1" customWidth="1"/>
    <col min="4" max="4" width="3.83203125" style="3" customWidth="1"/>
    <col min="5" max="5" width="70.6640625" style="3" bestFit="1" customWidth="1"/>
    <col min="6" max="6" width="17.6640625" style="3" bestFit="1" customWidth="1"/>
    <col min="7" max="7" width="4.83203125" style="3" customWidth="1"/>
    <col min="8" max="8" width="16.33203125" style="3" bestFit="1" customWidth="1"/>
    <col min="9" max="9" width="3.83203125" style="3" customWidth="1"/>
    <col min="10" max="10" width="18" style="3" bestFit="1" customWidth="1"/>
    <col min="11" max="11" width="3.83203125" style="3" customWidth="1"/>
    <col min="12" max="12" width="20" style="3" customWidth="1"/>
    <col min="13" max="16384" width="9.33203125" style="3"/>
  </cols>
  <sheetData>
    <row r="1" spans="1:14" s="2" customFormat="1" ht="12.75" x14ac:dyDescent="0.2">
      <c r="A1" s="1426" t="s">
        <v>477</v>
      </c>
      <c r="B1" s="1428"/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91"/>
      <c r="N1" s="91"/>
    </row>
    <row r="2" spans="1:14" s="2" customFormat="1" ht="12.75" x14ac:dyDescent="0.2">
      <c r="A2" s="1426" t="str">
        <f>+Input!C4</f>
        <v>CASE NO. 2017-xxxxx</v>
      </c>
      <c r="B2" s="1428"/>
      <c r="C2" s="1428"/>
      <c r="D2" s="1428"/>
      <c r="E2" s="1428"/>
      <c r="F2" s="1428"/>
      <c r="G2" s="1428"/>
      <c r="H2" s="1428"/>
      <c r="I2" s="1428"/>
      <c r="J2" s="1428"/>
      <c r="K2" s="1428"/>
      <c r="L2" s="1428"/>
      <c r="M2" s="91"/>
      <c r="N2" s="91"/>
    </row>
    <row r="3" spans="1:14" s="2" customFormat="1" ht="12.75" x14ac:dyDescent="0.2">
      <c r="A3" s="1426" t="s">
        <v>520</v>
      </c>
      <c r="B3" s="1428"/>
      <c r="C3" s="1428"/>
      <c r="D3" s="1428"/>
      <c r="E3" s="1428"/>
      <c r="F3" s="1428"/>
      <c r="G3" s="1428"/>
      <c r="H3" s="1428"/>
      <c r="I3" s="1428"/>
      <c r="J3" s="1428"/>
      <c r="K3" s="1428"/>
      <c r="L3" s="1428"/>
      <c r="M3" s="91"/>
      <c r="N3" s="91"/>
    </row>
    <row r="4" spans="1:14" s="2" customFormat="1" ht="12.75" x14ac:dyDescent="0.2">
      <c r="A4" s="1426" t="str">
        <f>+Input!C8</f>
        <v>FOR THE TWELVE MONTHS ENDED DECEMBER 31, 2017</v>
      </c>
      <c r="B4" s="1428"/>
      <c r="C4" s="1428"/>
      <c r="D4" s="1428"/>
      <c r="E4" s="1428"/>
      <c r="F4" s="1428"/>
      <c r="G4" s="1428"/>
      <c r="H4" s="1428"/>
      <c r="I4" s="1428"/>
      <c r="J4" s="1428"/>
      <c r="K4" s="1428"/>
      <c r="L4" s="1428"/>
      <c r="M4" s="91"/>
      <c r="N4" s="91"/>
    </row>
    <row r="5" spans="1:14" ht="12.75" x14ac:dyDescent="0.2">
      <c r="A5" s="92"/>
      <c r="B5" s="90"/>
      <c r="C5" s="409"/>
      <c r="D5" s="90"/>
      <c r="E5" s="90"/>
      <c r="F5" s="90"/>
      <c r="G5" s="90"/>
      <c r="H5" s="93"/>
      <c r="I5" s="93"/>
      <c r="J5" s="90"/>
      <c r="K5" s="90"/>
      <c r="L5" s="354"/>
      <c r="M5" s="91"/>
      <c r="N5" s="91"/>
    </row>
    <row r="6" spans="1:14" ht="12.75" x14ac:dyDescent="0.2">
      <c r="A6" s="112" t="s">
        <v>839</v>
      </c>
      <c r="B6" s="90"/>
      <c r="C6" s="90"/>
      <c r="D6" s="90"/>
      <c r="E6" s="90"/>
      <c r="F6" s="90"/>
      <c r="G6" s="90"/>
      <c r="H6" s="90"/>
      <c r="I6" s="90"/>
      <c r="J6" s="91"/>
      <c r="K6" s="90"/>
      <c r="L6" s="410" t="s">
        <v>521</v>
      </c>
      <c r="M6" s="91"/>
      <c r="N6" s="91"/>
    </row>
    <row r="7" spans="1:14" ht="12.75" x14ac:dyDescent="0.2">
      <c r="A7" s="112" t="s">
        <v>490</v>
      </c>
      <c r="B7" s="90"/>
      <c r="C7" s="90"/>
      <c r="D7" s="90"/>
      <c r="E7" s="90"/>
      <c r="F7" s="90"/>
      <c r="G7" s="90"/>
      <c r="H7" s="90"/>
      <c r="I7" s="90"/>
      <c r="J7" s="91"/>
      <c r="K7" s="90"/>
      <c r="L7" s="410" t="s">
        <v>1591</v>
      </c>
      <c r="M7" s="91"/>
      <c r="N7" s="91"/>
    </row>
    <row r="8" spans="1:14" ht="12.75" x14ac:dyDescent="0.2">
      <c r="A8" s="120" t="s">
        <v>840</v>
      </c>
      <c r="B8" s="121"/>
      <c r="C8" s="121"/>
      <c r="D8" s="121"/>
      <c r="E8" s="121"/>
      <c r="F8" s="121"/>
      <c r="G8" s="121"/>
      <c r="H8" s="121"/>
      <c r="I8" s="122"/>
      <c r="J8" s="346"/>
      <c r="K8" s="122"/>
      <c r="L8" s="361" t="str">
        <f>+Input!E27</f>
        <v>WITNESS:  C. Y. LAI</v>
      </c>
      <c r="M8" s="91"/>
      <c r="N8" s="91"/>
    </row>
    <row r="9" spans="1:14" s="8" customFormat="1" ht="12.75" x14ac:dyDescent="0.2">
      <c r="A9" s="92"/>
      <c r="B9" s="92"/>
      <c r="C9" s="92"/>
      <c r="D9" s="92"/>
      <c r="E9" s="92"/>
      <c r="F9" s="408" t="s">
        <v>522</v>
      </c>
      <c r="G9" s="92"/>
      <c r="H9" s="92"/>
      <c r="I9" s="92"/>
      <c r="J9" s="92"/>
      <c r="K9" s="92"/>
      <c r="L9" s="113" t="s">
        <v>523</v>
      </c>
      <c r="M9" s="417"/>
      <c r="N9" s="417"/>
    </row>
    <row r="10" spans="1:14" s="8" customFormat="1" ht="12.75" x14ac:dyDescent="0.2">
      <c r="A10" s="408" t="s">
        <v>493</v>
      </c>
      <c r="B10" s="92"/>
      <c r="C10" s="408" t="s">
        <v>524</v>
      </c>
      <c r="D10" s="92"/>
      <c r="E10" s="408"/>
      <c r="F10" s="408" t="s">
        <v>525</v>
      </c>
      <c r="G10" s="92"/>
      <c r="H10" s="408" t="s">
        <v>526</v>
      </c>
      <c r="I10" s="92"/>
      <c r="J10" s="408" t="s">
        <v>522</v>
      </c>
      <c r="K10" s="92"/>
      <c r="L10" s="113" t="s">
        <v>527</v>
      </c>
      <c r="M10" s="417"/>
      <c r="N10" s="417"/>
    </row>
    <row r="11" spans="1:14" s="8" customFormat="1" ht="12.75" x14ac:dyDescent="0.2">
      <c r="A11" s="411" t="s">
        <v>496</v>
      </c>
      <c r="B11" s="126"/>
      <c r="C11" s="411" t="s">
        <v>528</v>
      </c>
      <c r="D11" s="126"/>
      <c r="E11" s="411" t="s">
        <v>841</v>
      </c>
      <c r="F11" s="411" t="s">
        <v>529</v>
      </c>
      <c r="G11" s="126"/>
      <c r="H11" s="411" t="s">
        <v>530</v>
      </c>
      <c r="I11" s="126"/>
      <c r="J11" s="411" t="s">
        <v>531</v>
      </c>
      <c r="K11" s="126"/>
      <c r="L11" s="411" t="s">
        <v>480</v>
      </c>
      <c r="M11" s="417"/>
      <c r="N11" s="417"/>
    </row>
    <row r="12" spans="1:14" ht="12.75" x14ac:dyDescent="0.2">
      <c r="A12" s="92"/>
      <c r="B12" s="90"/>
      <c r="C12" s="90"/>
      <c r="D12" s="90"/>
      <c r="E12" s="90"/>
      <c r="F12" s="408" t="s">
        <v>532</v>
      </c>
      <c r="G12" s="90"/>
      <c r="H12" s="408" t="s">
        <v>533</v>
      </c>
      <c r="I12" s="90"/>
      <c r="J12" s="408" t="s">
        <v>534</v>
      </c>
      <c r="K12" s="90"/>
      <c r="L12" s="408" t="s">
        <v>535</v>
      </c>
      <c r="M12" s="91"/>
      <c r="N12" s="91"/>
    </row>
    <row r="13" spans="1:14" ht="12.75" x14ac:dyDescent="0.2">
      <c r="A13" s="92"/>
      <c r="B13" s="90"/>
      <c r="C13" s="90"/>
      <c r="D13" s="90"/>
      <c r="E13" s="90"/>
      <c r="F13" s="408" t="s">
        <v>500</v>
      </c>
      <c r="G13" s="90"/>
      <c r="H13" s="408" t="s">
        <v>536</v>
      </c>
      <c r="I13" s="90"/>
      <c r="J13" s="408" t="s">
        <v>500</v>
      </c>
      <c r="K13" s="90"/>
      <c r="L13" s="90"/>
      <c r="M13" s="91"/>
      <c r="N13" s="91"/>
    </row>
    <row r="14" spans="1:14" ht="12.75" x14ac:dyDescent="0.2">
      <c r="A14" s="408">
        <v>1</v>
      </c>
      <c r="B14" s="90"/>
      <c r="C14" s="409"/>
      <c r="D14" s="90"/>
      <c r="E14" s="418" t="s">
        <v>537</v>
      </c>
      <c r="F14" s="90"/>
      <c r="G14" s="90"/>
      <c r="H14" s="90"/>
      <c r="I14" s="90"/>
      <c r="J14" s="90"/>
      <c r="K14" s="90"/>
      <c r="L14" s="90"/>
      <c r="M14" s="91"/>
      <c r="N14" s="91"/>
    </row>
    <row r="15" spans="1:14" ht="12.75" x14ac:dyDescent="0.2">
      <c r="A15" s="408">
        <f t="shared" ref="A15:A20" si="0">1+A14</f>
        <v>2</v>
      </c>
      <c r="B15" s="90"/>
      <c r="C15" s="409"/>
      <c r="D15" s="90"/>
      <c r="E15" s="418" t="s">
        <v>538</v>
      </c>
      <c r="F15" s="90"/>
      <c r="G15" s="90"/>
      <c r="H15" s="90"/>
      <c r="I15" s="90"/>
      <c r="J15" s="90"/>
      <c r="K15" s="90"/>
      <c r="L15" s="90"/>
      <c r="M15" s="91"/>
      <c r="N15" s="91"/>
    </row>
    <row r="16" spans="1:14" s="6" customFormat="1" ht="12.75" x14ac:dyDescent="0.2">
      <c r="A16" s="408">
        <f t="shared" si="0"/>
        <v>3</v>
      </c>
      <c r="B16" s="90"/>
      <c r="C16" s="408" t="s">
        <v>539</v>
      </c>
      <c r="D16" s="90"/>
      <c r="E16" s="415" t="s">
        <v>540</v>
      </c>
      <c r="F16" s="412">
        <f>-'Total Co Accts Activ C2.2p1-11'!O62</f>
        <v>110662530</v>
      </c>
      <c r="G16" s="90"/>
      <c r="H16" s="419">
        <v>100</v>
      </c>
      <c r="I16" s="90"/>
      <c r="J16" s="414">
        <f>F16</f>
        <v>110662530</v>
      </c>
      <c r="K16" s="90"/>
      <c r="L16" s="408" t="s">
        <v>541</v>
      </c>
      <c r="M16" s="91"/>
      <c r="N16" s="91"/>
    </row>
    <row r="17" spans="1:14" s="9" customFormat="1" ht="12.75" x14ac:dyDescent="0.2">
      <c r="A17" s="408">
        <f t="shared" si="0"/>
        <v>4</v>
      </c>
      <c r="B17" s="90"/>
      <c r="C17" s="408" t="s">
        <v>542</v>
      </c>
      <c r="D17" s="90"/>
      <c r="E17" s="415" t="s">
        <v>543</v>
      </c>
      <c r="F17" s="412">
        <f>-'Total Co Accts Activ C2.2p1-11'!O65</f>
        <v>61045451</v>
      </c>
      <c r="G17" s="90"/>
      <c r="H17" s="419">
        <v>100</v>
      </c>
      <c r="I17" s="90"/>
      <c r="J17" s="414">
        <f>F17</f>
        <v>61045451</v>
      </c>
      <c r="K17" s="90"/>
      <c r="L17" s="409"/>
      <c r="M17" s="91"/>
      <c r="N17" s="91"/>
    </row>
    <row r="18" spans="1:14" s="9" customFormat="1" ht="12.75" x14ac:dyDescent="0.2">
      <c r="A18" s="408">
        <f t="shared" si="0"/>
        <v>5</v>
      </c>
      <c r="B18" s="90"/>
      <c r="C18" s="408" t="s">
        <v>544</v>
      </c>
      <c r="D18" s="90"/>
      <c r="E18" s="415" t="s">
        <v>545</v>
      </c>
      <c r="F18" s="412">
        <f>-'Total Co Accts Activ C2.2p1-11'!O80</f>
        <v>2550768</v>
      </c>
      <c r="G18" s="90"/>
      <c r="H18" s="419">
        <v>100</v>
      </c>
      <c r="I18" s="90"/>
      <c r="J18" s="414">
        <f>F18</f>
        <v>2550768</v>
      </c>
      <c r="K18" s="90"/>
      <c r="L18" s="409"/>
      <c r="M18" s="91"/>
      <c r="N18" s="91"/>
    </row>
    <row r="19" spans="1:14" s="9" customFormat="1" ht="12.75" x14ac:dyDescent="0.2">
      <c r="A19" s="408">
        <f t="shared" si="0"/>
        <v>6</v>
      </c>
      <c r="B19" s="90"/>
      <c r="C19" s="408" t="s">
        <v>546</v>
      </c>
      <c r="D19" s="90"/>
      <c r="E19" s="415" t="s">
        <v>547</v>
      </c>
      <c r="F19" s="724">
        <v>0</v>
      </c>
      <c r="G19" s="90"/>
      <c r="H19" s="419">
        <v>100</v>
      </c>
      <c r="I19" s="90"/>
      <c r="J19" s="420">
        <f>F19</f>
        <v>0</v>
      </c>
      <c r="K19" s="90"/>
      <c r="L19" s="409"/>
      <c r="M19" s="91"/>
      <c r="N19" s="91"/>
    </row>
    <row r="20" spans="1:14" s="9" customFormat="1" ht="12.75" x14ac:dyDescent="0.2">
      <c r="A20" s="408">
        <f t="shared" si="0"/>
        <v>7</v>
      </c>
      <c r="B20" s="90"/>
      <c r="C20" s="408"/>
      <c r="D20" s="90"/>
      <c r="E20" s="415" t="s">
        <v>548</v>
      </c>
      <c r="F20" s="128">
        <f>SUM(F16:F19)</f>
        <v>174258749</v>
      </c>
      <c r="G20" s="90"/>
      <c r="H20" s="421" t="s">
        <v>549</v>
      </c>
      <c r="I20" s="90"/>
      <c r="J20" s="128">
        <f>SUM(J16:J19)</f>
        <v>174258749</v>
      </c>
      <c r="K20" s="90"/>
      <c r="L20" s="409"/>
      <c r="M20" s="91"/>
      <c r="N20" s="91"/>
    </row>
    <row r="21" spans="1:14" s="9" customFormat="1" ht="12.75" x14ac:dyDescent="0.2">
      <c r="A21" s="408"/>
      <c r="B21" s="90"/>
      <c r="C21" s="92"/>
      <c r="D21" s="90"/>
      <c r="E21" s="90"/>
      <c r="F21" s="413"/>
      <c r="G21" s="90"/>
      <c r="H21" s="413"/>
      <c r="I21" s="90"/>
      <c r="J21" s="90"/>
      <c r="K21" s="90"/>
      <c r="L21" s="409"/>
      <c r="M21" s="91"/>
      <c r="N21" s="91"/>
    </row>
    <row r="22" spans="1:14" s="9" customFormat="1" ht="12.75" x14ac:dyDescent="0.2">
      <c r="A22" s="408">
        <f>1+A20</f>
        <v>8</v>
      </c>
      <c r="B22" s="90"/>
      <c r="C22" s="92"/>
      <c r="D22" s="90"/>
      <c r="E22" s="418" t="s">
        <v>550</v>
      </c>
      <c r="F22" s="413"/>
      <c r="G22" s="90"/>
      <c r="H22" s="422"/>
      <c r="I22" s="90"/>
      <c r="J22" s="414"/>
      <c r="K22" s="90"/>
      <c r="L22" s="409"/>
      <c r="M22" s="91"/>
      <c r="N22" s="91"/>
    </row>
    <row r="23" spans="1:14" s="9" customFormat="1" ht="12.75" x14ac:dyDescent="0.2">
      <c r="A23" s="408">
        <f>A22+1</f>
        <v>9</v>
      </c>
      <c r="B23" s="90"/>
      <c r="C23" s="92">
        <v>483</v>
      </c>
      <c r="D23" s="90"/>
      <c r="E23" s="415" t="s">
        <v>827</v>
      </c>
      <c r="F23" s="413">
        <f>-'Total Co Accts Activ C2.2p1-11'!O83</f>
        <v>243259</v>
      </c>
      <c r="G23" s="90"/>
      <c r="H23" s="419">
        <v>100</v>
      </c>
      <c r="I23" s="90"/>
      <c r="J23" s="414">
        <f>F23</f>
        <v>243259</v>
      </c>
      <c r="K23" s="90"/>
      <c r="L23" s="409"/>
      <c r="M23" s="91"/>
      <c r="N23" s="91"/>
    </row>
    <row r="24" spans="1:14" s="9" customFormat="1" ht="12.75" x14ac:dyDescent="0.2">
      <c r="A24" s="408">
        <f>A23+1</f>
        <v>10</v>
      </c>
      <c r="B24" s="90"/>
      <c r="C24" s="408" t="s">
        <v>551</v>
      </c>
      <c r="D24" s="90"/>
      <c r="E24" s="415" t="s">
        <v>552</v>
      </c>
      <c r="F24" s="412">
        <f>-'Total Co Accts Activ C2.2p1-11'!O86</f>
        <v>192713</v>
      </c>
      <c r="G24" s="90"/>
      <c r="H24" s="419">
        <v>100</v>
      </c>
      <c r="I24" s="90"/>
      <c r="J24" s="414">
        <f>F24</f>
        <v>192713</v>
      </c>
      <c r="K24" s="90"/>
      <c r="L24" s="409"/>
      <c r="M24" s="91"/>
      <c r="N24" s="91"/>
    </row>
    <row r="25" spans="1:14" s="9" customFormat="1" ht="12.75" x14ac:dyDescent="0.2">
      <c r="A25" s="408">
        <f>A24+1</f>
        <v>11</v>
      </c>
      <c r="B25" s="90"/>
      <c r="C25" s="408" t="s">
        <v>553</v>
      </c>
      <c r="D25" s="90"/>
      <c r="E25" s="415" t="s">
        <v>554</v>
      </c>
      <c r="F25" s="412">
        <f>-'Total Co Accts Activ C2.2p1-11'!O89</f>
        <v>147314</v>
      </c>
      <c r="G25" s="90"/>
      <c r="H25" s="419">
        <v>100</v>
      </c>
      <c r="I25" s="90"/>
      <c r="J25" s="414">
        <f>F25</f>
        <v>147314</v>
      </c>
      <c r="K25" s="90"/>
      <c r="L25" s="409"/>
      <c r="M25" s="91"/>
      <c r="N25" s="91"/>
    </row>
    <row r="26" spans="1:14" s="9" customFormat="1" ht="12.75" x14ac:dyDescent="0.2">
      <c r="A26" s="408">
        <f>A25+1</f>
        <v>12</v>
      </c>
      <c r="B26" s="90"/>
      <c r="C26" s="408" t="s">
        <v>555</v>
      </c>
      <c r="D26" s="90"/>
      <c r="E26" s="415" t="s">
        <v>556</v>
      </c>
      <c r="F26" s="358">
        <f>-'Total Co Accts Activ C2.2p1-11'!O92-'Total Co Accts Activ C2.2p1-11'!O95-'Total Co Accts Activ C2.2p1-11'!O98</f>
        <v>17624937</v>
      </c>
      <c r="G26" s="90"/>
      <c r="H26" s="419">
        <v>100</v>
      </c>
      <c r="I26" s="90"/>
      <c r="J26" s="360">
        <f>F26</f>
        <v>17624937</v>
      </c>
      <c r="K26" s="90"/>
      <c r="L26" s="90"/>
      <c r="M26" s="91"/>
      <c r="N26" s="91"/>
    </row>
    <row r="27" spans="1:14" s="9" customFormat="1" ht="12.75" x14ac:dyDescent="0.2">
      <c r="A27" s="408">
        <f>A26+1</f>
        <v>13</v>
      </c>
      <c r="B27" s="90"/>
      <c r="C27" s="408">
        <v>495</v>
      </c>
      <c r="D27" s="90"/>
      <c r="E27" s="415" t="s">
        <v>836</v>
      </c>
      <c r="F27" s="911">
        <f>-'Total Co Accts Activ C2.2p1-11'!O113</f>
        <v>15961909</v>
      </c>
      <c r="G27" s="90"/>
      <c r="H27" s="419">
        <v>100</v>
      </c>
      <c r="I27" s="90"/>
      <c r="J27" s="357">
        <f>F27</f>
        <v>15961909</v>
      </c>
      <c r="K27" s="90"/>
      <c r="L27" s="90"/>
      <c r="M27" s="91"/>
      <c r="N27" s="91"/>
    </row>
    <row r="28" spans="1:14" s="9" customFormat="1" ht="12.75" x14ac:dyDescent="0.2">
      <c r="A28" s="408"/>
      <c r="B28" s="90"/>
      <c r="C28" s="92"/>
      <c r="D28" s="90"/>
      <c r="E28" s="415" t="s">
        <v>557</v>
      </c>
      <c r="F28" s="128">
        <f>SUM(F23:F27)</f>
        <v>34170132</v>
      </c>
      <c r="G28" s="90"/>
      <c r="H28" s="421" t="s">
        <v>549</v>
      </c>
      <c r="I28" s="90"/>
      <c r="J28" s="128">
        <f>SUM(J23:J27)</f>
        <v>34170132</v>
      </c>
      <c r="K28" s="90"/>
      <c r="L28" s="409"/>
      <c r="M28" s="91"/>
      <c r="N28" s="91"/>
    </row>
    <row r="29" spans="1:14" s="9" customFormat="1" ht="12.75" x14ac:dyDescent="0.2">
      <c r="A29" s="408"/>
      <c r="B29" s="90"/>
      <c r="C29" s="92"/>
      <c r="D29" s="90"/>
      <c r="E29" s="90"/>
      <c r="F29" s="414"/>
      <c r="G29" s="90"/>
      <c r="H29" s="421" t="s">
        <v>549</v>
      </c>
      <c r="I29" s="90"/>
      <c r="J29" s="414"/>
      <c r="K29" s="90"/>
      <c r="L29" s="409"/>
      <c r="M29" s="91"/>
      <c r="N29" s="91"/>
    </row>
    <row r="30" spans="1:14" s="6" customFormat="1" ht="13.5" thickBot="1" x14ac:dyDescent="0.25">
      <c r="A30" s="408">
        <f>1+A27</f>
        <v>14</v>
      </c>
      <c r="B30" s="90"/>
      <c r="C30" s="408"/>
      <c r="D30" s="90"/>
      <c r="E30" s="415" t="s">
        <v>561</v>
      </c>
      <c r="F30" s="349">
        <f>F20+F28</f>
        <v>208428881</v>
      </c>
      <c r="G30" s="90"/>
      <c r="H30" s="421" t="s">
        <v>549</v>
      </c>
      <c r="I30" s="90"/>
      <c r="J30" s="349">
        <f>(J20+J28)</f>
        <v>208428881</v>
      </c>
      <c r="K30" s="90"/>
      <c r="L30" s="409"/>
      <c r="M30" s="91"/>
      <c r="N30" s="91"/>
    </row>
    <row r="31" spans="1:14" s="6" customFormat="1" ht="13.5" thickTop="1" x14ac:dyDescent="0.2">
      <c r="A31" s="408"/>
      <c r="B31" s="90"/>
      <c r="C31" s="92"/>
      <c r="D31" s="90"/>
      <c r="E31" s="90"/>
      <c r="F31" s="414"/>
      <c r="G31" s="90"/>
      <c r="H31" s="422"/>
      <c r="I31" s="90"/>
      <c r="J31" s="414"/>
      <c r="K31" s="90"/>
      <c r="L31" s="90"/>
      <c r="M31" s="91"/>
      <c r="N31" s="91"/>
    </row>
    <row r="32" spans="1:14" ht="12.75" x14ac:dyDescent="0.2">
      <c r="A32" s="408">
        <f>1+A30</f>
        <v>15</v>
      </c>
      <c r="B32" s="90"/>
      <c r="C32" s="92"/>
      <c r="D32" s="90"/>
      <c r="E32" s="418" t="s">
        <v>562</v>
      </c>
      <c r="F32" s="414"/>
      <c r="G32" s="90"/>
      <c r="H32" s="422"/>
      <c r="I32" s="90"/>
      <c r="J32" s="414"/>
      <c r="K32" s="90"/>
      <c r="L32" s="90"/>
      <c r="M32" s="91"/>
      <c r="N32" s="91"/>
    </row>
    <row r="33" spans="1:14" ht="12.75" x14ac:dyDescent="0.2">
      <c r="A33" s="408">
        <f t="shared" ref="A33:A39" si="1">1+A32</f>
        <v>16</v>
      </c>
      <c r="B33" s="90"/>
      <c r="C33" s="92"/>
      <c r="D33" s="90"/>
      <c r="E33" s="355" t="s">
        <v>563</v>
      </c>
      <c r="F33" s="90"/>
      <c r="G33" s="90"/>
      <c r="H33" s="90"/>
      <c r="I33" s="90"/>
      <c r="J33" s="90"/>
      <c r="K33" s="90"/>
      <c r="L33" s="90"/>
      <c r="M33" s="91"/>
      <c r="N33" s="91"/>
    </row>
    <row r="34" spans="1:14" ht="12.75" x14ac:dyDescent="0.2">
      <c r="A34" s="408">
        <f t="shared" si="1"/>
        <v>17</v>
      </c>
      <c r="B34" s="90"/>
      <c r="C34" s="113" t="s">
        <v>564</v>
      </c>
      <c r="D34" s="90"/>
      <c r="E34" s="415" t="s">
        <v>565</v>
      </c>
      <c r="F34" s="129">
        <f>'Total Co Accts Activ C2.2p1-11'!O118</f>
        <v>706</v>
      </c>
      <c r="G34" s="90"/>
      <c r="H34" s="419">
        <v>100</v>
      </c>
      <c r="I34" s="90"/>
      <c r="J34" s="414">
        <f>F34</f>
        <v>706</v>
      </c>
      <c r="K34" s="90"/>
      <c r="L34" s="409"/>
      <c r="M34" s="91"/>
      <c r="N34" s="91"/>
    </row>
    <row r="35" spans="1:14" ht="12.75" x14ac:dyDescent="0.2">
      <c r="A35" s="408">
        <f t="shared" si="1"/>
        <v>18</v>
      </c>
      <c r="B35" s="90"/>
      <c r="C35" s="113" t="s">
        <v>566</v>
      </c>
      <c r="D35" s="90"/>
      <c r="E35" s="415" t="s">
        <v>567</v>
      </c>
      <c r="F35" s="129">
        <f>'Total Co Accts Activ C2.2p1-11'!O123</f>
        <v>0</v>
      </c>
      <c r="G35" s="90"/>
      <c r="H35" s="419">
        <v>100</v>
      </c>
      <c r="I35" s="90"/>
      <c r="J35" s="414">
        <f>F35</f>
        <v>0</v>
      </c>
      <c r="K35" s="90"/>
      <c r="L35" s="409"/>
      <c r="M35" s="91"/>
      <c r="N35" s="91"/>
    </row>
    <row r="36" spans="1:14" ht="12.75" x14ac:dyDescent="0.2">
      <c r="A36" s="408">
        <f t="shared" si="1"/>
        <v>19</v>
      </c>
      <c r="B36" s="90"/>
      <c r="C36" s="113" t="s">
        <v>568</v>
      </c>
      <c r="D36" s="90"/>
      <c r="E36" s="415" t="s">
        <v>569</v>
      </c>
      <c r="F36" s="129">
        <f>'Total Co Accts Activ C2.2p1-11'!O128</f>
        <v>0</v>
      </c>
      <c r="G36" s="90"/>
      <c r="H36" s="419">
        <v>100</v>
      </c>
      <c r="I36" s="90"/>
      <c r="J36" s="414">
        <f>F36</f>
        <v>0</v>
      </c>
      <c r="K36" s="90"/>
      <c r="L36" s="409"/>
      <c r="M36" s="91"/>
      <c r="N36" s="91"/>
    </row>
    <row r="37" spans="1:14" ht="12.75" x14ac:dyDescent="0.2">
      <c r="A37" s="408">
        <f t="shared" si="1"/>
        <v>20</v>
      </c>
      <c r="B37" s="90"/>
      <c r="C37" s="113" t="s">
        <v>570</v>
      </c>
      <c r="D37" s="90"/>
      <c r="E37" s="415" t="s">
        <v>573</v>
      </c>
      <c r="F37" s="129">
        <f>'Total Co Accts Activ C2.2p1-11'!O134</f>
        <v>0</v>
      </c>
      <c r="G37" s="90"/>
      <c r="H37" s="419">
        <v>100</v>
      </c>
      <c r="I37" s="90"/>
      <c r="J37" s="414">
        <f>F37</f>
        <v>0</v>
      </c>
      <c r="K37" s="90"/>
      <c r="L37" s="409"/>
      <c r="M37" s="91"/>
      <c r="N37" s="91"/>
    </row>
    <row r="38" spans="1:14" ht="12.75" x14ac:dyDescent="0.2">
      <c r="A38" s="408">
        <f t="shared" si="1"/>
        <v>21</v>
      </c>
      <c r="B38" s="90"/>
      <c r="C38" s="113" t="s">
        <v>574</v>
      </c>
      <c r="D38" s="90"/>
      <c r="E38" s="415" t="s">
        <v>576</v>
      </c>
      <c r="F38" s="130">
        <f>'Total Co Accts Activ C2.2p1-11'!O139</f>
        <v>0</v>
      </c>
      <c r="G38" s="90"/>
      <c r="H38" s="419">
        <v>100</v>
      </c>
      <c r="I38" s="90"/>
      <c r="J38" s="420">
        <f>F38</f>
        <v>0</v>
      </c>
      <c r="K38" s="90"/>
      <c r="L38" s="409"/>
      <c r="M38" s="91"/>
      <c r="N38" s="91"/>
    </row>
    <row r="39" spans="1:14" ht="12.75" x14ac:dyDescent="0.2">
      <c r="A39" s="408">
        <f t="shared" si="1"/>
        <v>22</v>
      </c>
      <c r="B39" s="90"/>
      <c r="C39" s="92"/>
      <c r="D39" s="90"/>
      <c r="E39" s="112" t="s">
        <v>577</v>
      </c>
      <c r="F39" s="128">
        <f>SUM(F34:F38)</f>
        <v>706</v>
      </c>
      <c r="G39" s="90"/>
      <c r="H39" s="421" t="s">
        <v>549</v>
      </c>
      <c r="I39" s="90"/>
      <c r="J39" s="128">
        <f>SUM(J34:J38)</f>
        <v>706</v>
      </c>
      <c r="K39" s="90"/>
      <c r="L39" s="90"/>
      <c r="M39" s="91"/>
      <c r="N39" s="91"/>
    </row>
    <row r="40" spans="1:14" ht="12.75" x14ac:dyDescent="0.2">
      <c r="A40" s="92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1"/>
      <c r="N40" s="91"/>
    </row>
    <row r="41" spans="1:14" ht="12.75" x14ac:dyDescent="0.2">
      <c r="A41" s="408">
        <f>1+A39</f>
        <v>23</v>
      </c>
      <c r="B41" s="90"/>
      <c r="C41" s="90"/>
      <c r="D41" s="90"/>
      <c r="E41" s="418" t="s">
        <v>578</v>
      </c>
      <c r="F41" s="414"/>
      <c r="G41" s="90"/>
      <c r="H41" s="422"/>
      <c r="I41" s="90"/>
      <c r="J41" s="414"/>
      <c r="K41" s="90"/>
      <c r="L41" s="409"/>
      <c r="M41" s="91"/>
      <c r="N41" s="91"/>
    </row>
    <row r="42" spans="1:14" ht="12.75" x14ac:dyDescent="0.2">
      <c r="A42" s="408">
        <f>1+A41</f>
        <v>24</v>
      </c>
      <c r="B42" s="90"/>
      <c r="C42" s="90"/>
      <c r="D42" s="90"/>
      <c r="E42" s="418" t="s">
        <v>579</v>
      </c>
      <c r="F42" s="414"/>
      <c r="G42" s="90"/>
      <c r="H42" s="422"/>
      <c r="I42" s="90"/>
      <c r="J42" s="414"/>
      <c r="K42" s="90"/>
      <c r="L42" s="90"/>
      <c r="M42" s="91"/>
      <c r="N42" s="91"/>
    </row>
    <row r="43" spans="1:14" ht="12.75" x14ac:dyDescent="0.2">
      <c r="A43" s="408">
        <f t="shared" ref="A43:A51" si="2">1+A42</f>
        <v>25</v>
      </c>
      <c r="B43" s="90"/>
      <c r="C43" s="408" t="s">
        <v>580</v>
      </c>
      <c r="D43" s="90"/>
      <c r="E43" s="415" t="s">
        <v>581</v>
      </c>
      <c r="F43" s="412">
        <f>'Total Co Accts Activ C2.2p1-11'!O144</f>
        <v>172231551</v>
      </c>
      <c r="G43" s="423"/>
      <c r="H43" s="419">
        <v>100</v>
      </c>
      <c r="I43" s="90"/>
      <c r="J43" s="414">
        <f t="shared" ref="J43:J49" si="3">F43</f>
        <v>172231551</v>
      </c>
      <c r="K43" s="90"/>
      <c r="L43" s="408" t="s">
        <v>541</v>
      </c>
      <c r="M43" s="91"/>
      <c r="N43" s="91"/>
    </row>
    <row r="44" spans="1:14" ht="12.75" x14ac:dyDescent="0.2">
      <c r="A44" s="408">
        <f t="shared" si="2"/>
        <v>26</v>
      </c>
      <c r="B44" s="90"/>
      <c r="C44" s="408" t="s">
        <v>587</v>
      </c>
      <c r="D44" s="90"/>
      <c r="E44" s="415" t="s">
        <v>600</v>
      </c>
      <c r="F44" s="412">
        <f>'Total Co Accts Activ C2.2p1-11'!O161</f>
        <v>2784691</v>
      </c>
      <c r="G44" s="90"/>
      <c r="H44" s="419">
        <v>100</v>
      </c>
      <c r="I44" s="90"/>
      <c r="J44" s="414">
        <f t="shared" si="3"/>
        <v>2784691</v>
      </c>
      <c r="K44" s="90"/>
      <c r="L44" s="409"/>
      <c r="M44" s="91"/>
      <c r="N44" s="91"/>
    </row>
    <row r="45" spans="1:14" ht="12.75" x14ac:dyDescent="0.2">
      <c r="A45" s="408">
        <f t="shared" si="2"/>
        <v>27</v>
      </c>
      <c r="B45" s="90"/>
      <c r="C45" s="408" t="s">
        <v>601</v>
      </c>
      <c r="D45" s="90"/>
      <c r="E45" s="415" t="s">
        <v>602</v>
      </c>
      <c r="F45" s="412">
        <f>'Total Co Accts Activ C2.2p1-11'!O166</f>
        <v>882776</v>
      </c>
      <c r="G45" s="90"/>
      <c r="H45" s="419">
        <v>100</v>
      </c>
      <c r="I45" s="90"/>
      <c r="J45" s="414">
        <f t="shared" si="3"/>
        <v>882776</v>
      </c>
      <c r="K45" s="90"/>
      <c r="L45" s="409"/>
      <c r="M45" s="91"/>
      <c r="N45" s="91"/>
    </row>
    <row r="46" spans="1:14" ht="12.75" x14ac:dyDescent="0.2">
      <c r="A46" s="408">
        <f t="shared" si="2"/>
        <v>28</v>
      </c>
      <c r="B46" s="90"/>
      <c r="C46" s="408" t="s">
        <v>603</v>
      </c>
      <c r="D46" s="90"/>
      <c r="E46" s="415" t="s">
        <v>604</v>
      </c>
      <c r="F46" s="412">
        <f>'Total Co Accts Activ C2.2p1-11'!O171</f>
        <v>-9492973</v>
      </c>
      <c r="G46" s="90"/>
      <c r="H46" s="419">
        <v>100</v>
      </c>
      <c r="I46" s="90"/>
      <c r="J46" s="414">
        <f t="shared" si="3"/>
        <v>-9492973</v>
      </c>
      <c r="K46" s="90"/>
      <c r="L46" s="409"/>
      <c r="M46" s="91"/>
      <c r="N46" s="91"/>
    </row>
    <row r="47" spans="1:14" ht="12.75" x14ac:dyDescent="0.2">
      <c r="A47" s="408">
        <f t="shared" si="2"/>
        <v>29</v>
      </c>
      <c r="B47" s="90"/>
      <c r="C47" s="408" t="s">
        <v>605</v>
      </c>
      <c r="D47" s="90"/>
      <c r="E47" s="415" t="s">
        <v>606</v>
      </c>
      <c r="F47" s="412">
        <f>'Total Co Accts Activ C2.2p1-11'!O176</f>
        <v>390527</v>
      </c>
      <c r="G47" s="90"/>
      <c r="H47" s="419">
        <v>100</v>
      </c>
      <c r="I47" s="90"/>
      <c r="J47" s="414">
        <f t="shared" si="3"/>
        <v>390527</v>
      </c>
      <c r="K47" s="90"/>
      <c r="L47" s="409"/>
      <c r="M47" s="91"/>
      <c r="N47" s="91"/>
    </row>
    <row r="48" spans="1:14" ht="12.75" x14ac:dyDescent="0.2">
      <c r="A48" s="408">
        <f t="shared" si="2"/>
        <v>30</v>
      </c>
      <c r="B48" s="90"/>
      <c r="C48" s="408" t="s">
        <v>607</v>
      </c>
      <c r="D48" s="90"/>
      <c r="E48" s="415" t="s">
        <v>608</v>
      </c>
      <c r="F48" s="412">
        <f>'Total Co Accts Activ C2.2p1-11'!O181</f>
        <v>-11525301</v>
      </c>
      <c r="G48" s="90"/>
      <c r="H48" s="419">
        <v>100</v>
      </c>
      <c r="I48" s="90"/>
      <c r="J48" s="414">
        <f t="shared" si="3"/>
        <v>-11525301</v>
      </c>
      <c r="K48" s="90"/>
      <c r="L48" s="409"/>
      <c r="M48" s="91"/>
      <c r="N48" s="91"/>
    </row>
    <row r="49" spans="1:14" ht="12.75" x14ac:dyDescent="0.2">
      <c r="A49" s="408">
        <f t="shared" si="2"/>
        <v>31</v>
      </c>
      <c r="B49" s="90"/>
      <c r="C49" s="408" t="s">
        <v>609</v>
      </c>
      <c r="D49" s="90"/>
      <c r="E49" s="415" t="s">
        <v>610</v>
      </c>
      <c r="F49" s="912">
        <f>'Total Co Accts Activ C2.2p1-11'!O186</f>
        <v>-182156</v>
      </c>
      <c r="G49" s="359"/>
      <c r="H49" s="424">
        <v>100</v>
      </c>
      <c r="I49" s="359"/>
      <c r="J49" s="425">
        <f t="shared" si="3"/>
        <v>-182156</v>
      </c>
      <c r="K49" s="90"/>
      <c r="L49" s="409"/>
      <c r="M49" s="91"/>
      <c r="N49" s="91"/>
    </row>
    <row r="50" spans="1:14" ht="12.75" x14ac:dyDescent="0.2">
      <c r="A50" s="408">
        <f t="shared" si="2"/>
        <v>32</v>
      </c>
      <c r="B50" s="90"/>
      <c r="C50" s="408">
        <v>813</v>
      </c>
      <c r="D50" s="90"/>
      <c r="E50" s="426" t="s">
        <v>1711</v>
      </c>
      <c r="F50" s="911">
        <f>'Total Co Accts Activ C2.2p1-11'!O192</f>
        <v>5543</v>
      </c>
      <c r="G50" s="90"/>
      <c r="H50" s="424">
        <v>100</v>
      </c>
      <c r="I50" s="359"/>
      <c r="J50" s="427">
        <f>F50</f>
        <v>5543</v>
      </c>
      <c r="K50" s="90"/>
      <c r="L50" s="409"/>
      <c r="M50" s="91"/>
      <c r="N50" s="91"/>
    </row>
    <row r="51" spans="1:14" ht="12.75" x14ac:dyDescent="0.2">
      <c r="A51" s="408">
        <f t="shared" si="2"/>
        <v>33</v>
      </c>
      <c r="B51" s="90"/>
      <c r="C51" s="92"/>
      <c r="D51" s="90"/>
      <c r="E51" s="415" t="s">
        <v>611</v>
      </c>
      <c r="F51" s="128">
        <f>SUM(F43:F50)</f>
        <v>155094658</v>
      </c>
      <c r="G51" s="90"/>
      <c r="H51" s="421" t="s">
        <v>549</v>
      </c>
      <c r="I51" s="90"/>
      <c r="J51" s="128">
        <f>SUM(J43:J50)</f>
        <v>155094658</v>
      </c>
      <c r="K51" s="90"/>
      <c r="L51" s="409"/>
      <c r="M51" s="91"/>
      <c r="N51" s="91"/>
    </row>
    <row r="52" spans="1:14" ht="12.75" x14ac:dyDescent="0.2">
      <c r="A52" s="92"/>
      <c r="B52" s="90"/>
      <c r="C52" s="92"/>
      <c r="D52" s="90"/>
      <c r="E52" s="90"/>
      <c r="F52" s="413"/>
      <c r="G52" s="90"/>
      <c r="H52" s="421" t="s">
        <v>549</v>
      </c>
      <c r="I52" s="90"/>
      <c r="J52" s="428" t="s">
        <v>549</v>
      </c>
      <c r="K52" s="90"/>
      <c r="L52" s="90"/>
      <c r="M52" s="91"/>
      <c r="N52" s="91"/>
    </row>
    <row r="53" spans="1:14" ht="12.75" x14ac:dyDescent="0.2">
      <c r="A53" s="408">
        <f>1+A51</f>
        <v>34</v>
      </c>
      <c r="B53" s="90"/>
      <c r="C53" s="92"/>
      <c r="D53" s="90"/>
      <c r="E53" s="418" t="s">
        <v>613</v>
      </c>
      <c r="F53" s="413"/>
      <c r="G53" s="90"/>
      <c r="H53" s="421" t="s">
        <v>549</v>
      </c>
      <c r="I53" s="90"/>
      <c r="J53" s="428" t="s">
        <v>549</v>
      </c>
      <c r="K53" s="90"/>
      <c r="L53" s="90"/>
      <c r="M53" s="91"/>
      <c r="N53" s="91"/>
    </row>
    <row r="54" spans="1:14" ht="12.75" x14ac:dyDescent="0.2">
      <c r="A54" s="408">
        <f t="shared" ref="A54:A64" si="4">1+A53</f>
        <v>35</v>
      </c>
      <c r="B54" s="90"/>
      <c r="C54" s="408" t="s">
        <v>614</v>
      </c>
      <c r="D54" s="90"/>
      <c r="E54" s="415" t="s">
        <v>618</v>
      </c>
      <c r="F54" s="412">
        <f>'Total Co Accts Activ C2.2p1-11'!O209</f>
        <v>744256</v>
      </c>
      <c r="G54" s="90"/>
      <c r="H54" s="419">
        <v>100</v>
      </c>
      <c r="I54" s="90"/>
      <c r="J54" s="414">
        <f t="shared" ref="J54:J63" si="5">F54</f>
        <v>744256</v>
      </c>
      <c r="K54" s="90"/>
      <c r="L54" s="409"/>
      <c r="M54" s="91"/>
      <c r="N54" s="91"/>
    </row>
    <row r="55" spans="1:14" ht="12.75" x14ac:dyDescent="0.2">
      <c r="A55" s="408">
        <f t="shared" si="4"/>
        <v>36</v>
      </c>
      <c r="B55" s="90"/>
      <c r="C55" s="408" t="s">
        <v>619</v>
      </c>
      <c r="D55" s="90"/>
      <c r="E55" s="415" t="s">
        <v>620</v>
      </c>
      <c r="F55" s="412">
        <f>'Total Co Accts Activ C2.2p1-11'!O214</f>
        <v>29360</v>
      </c>
      <c r="G55" s="90"/>
      <c r="H55" s="419">
        <v>100</v>
      </c>
      <c r="I55" s="90"/>
      <c r="J55" s="414">
        <f t="shared" si="5"/>
        <v>29360</v>
      </c>
      <c r="K55" s="90"/>
      <c r="L55" s="409"/>
      <c r="M55" s="91"/>
      <c r="N55" s="91"/>
    </row>
    <row r="56" spans="1:14" ht="12.75" x14ac:dyDescent="0.2">
      <c r="A56" s="408">
        <f t="shared" si="4"/>
        <v>37</v>
      </c>
      <c r="B56" s="90"/>
      <c r="C56" s="408" t="s">
        <v>621</v>
      </c>
      <c r="D56" s="90"/>
      <c r="E56" s="415" t="s">
        <v>623</v>
      </c>
      <c r="F56" s="412">
        <f>'Total Co Accts Activ C2.2p1-11'!O219</f>
        <v>2029869</v>
      </c>
      <c r="G56" s="90"/>
      <c r="H56" s="419">
        <v>100</v>
      </c>
      <c r="I56" s="90"/>
      <c r="J56" s="414">
        <f t="shared" si="5"/>
        <v>2029869</v>
      </c>
      <c r="K56" s="90"/>
      <c r="L56" s="409"/>
      <c r="M56" s="91"/>
      <c r="N56" s="91"/>
    </row>
    <row r="57" spans="1:14" ht="12.75" x14ac:dyDescent="0.2">
      <c r="A57" s="408">
        <f t="shared" si="4"/>
        <v>38</v>
      </c>
      <c r="B57" s="90"/>
      <c r="C57" s="408" t="s">
        <v>624</v>
      </c>
      <c r="D57" s="90"/>
      <c r="E57" s="415" t="s">
        <v>627</v>
      </c>
      <c r="F57" s="412">
        <f>'Total Co Accts Activ C2.2p1-11'!O224</f>
        <v>194388</v>
      </c>
      <c r="G57" s="90"/>
      <c r="H57" s="419">
        <v>100</v>
      </c>
      <c r="I57" s="428" t="s">
        <v>549</v>
      </c>
      <c r="J57" s="414">
        <f t="shared" si="5"/>
        <v>194388</v>
      </c>
      <c r="K57" s="90"/>
      <c r="L57" s="409"/>
      <c r="M57" s="91"/>
      <c r="N57" s="91"/>
    </row>
    <row r="58" spans="1:14" ht="12.75" x14ac:dyDescent="0.2">
      <c r="A58" s="408">
        <f t="shared" si="4"/>
        <v>39</v>
      </c>
      <c r="B58" s="90"/>
      <c r="C58" s="408" t="s">
        <v>628</v>
      </c>
      <c r="D58" s="90"/>
      <c r="E58" s="415" t="s">
        <v>652</v>
      </c>
      <c r="F58" s="412">
        <f>'Total Co Accts Activ C2.2p1-11'!O229</f>
        <v>35557</v>
      </c>
      <c r="G58" s="90"/>
      <c r="H58" s="419">
        <v>100</v>
      </c>
      <c r="I58" s="90"/>
      <c r="J58" s="414">
        <f t="shared" si="5"/>
        <v>35557</v>
      </c>
      <c r="K58" s="90"/>
      <c r="L58" s="409"/>
      <c r="M58" s="91"/>
      <c r="N58" s="91"/>
    </row>
    <row r="59" spans="1:14" ht="12.75" x14ac:dyDescent="0.2">
      <c r="A59" s="408">
        <f t="shared" si="4"/>
        <v>40</v>
      </c>
      <c r="B59" s="90"/>
      <c r="C59" s="408" t="s">
        <v>629</v>
      </c>
      <c r="D59" s="90"/>
      <c r="E59" s="415" t="s">
        <v>630</v>
      </c>
      <c r="F59" s="723">
        <v>0</v>
      </c>
      <c r="G59" s="90"/>
      <c r="H59" s="419">
        <v>100</v>
      </c>
      <c r="I59" s="90"/>
      <c r="J59" s="414">
        <f t="shared" si="5"/>
        <v>0</v>
      </c>
      <c r="K59" s="90"/>
      <c r="L59" s="409"/>
      <c r="M59" s="91"/>
      <c r="N59" s="91"/>
    </row>
    <row r="60" spans="1:14" ht="12.75" x14ac:dyDescent="0.2">
      <c r="A60" s="408">
        <f t="shared" si="4"/>
        <v>41</v>
      </c>
      <c r="B60" s="90"/>
      <c r="C60" s="408" t="s">
        <v>631</v>
      </c>
      <c r="D60" s="90"/>
      <c r="E60" s="415" t="s">
        <v>637</v>
      </c>
      <c r="F60" s="412">
        <f>'Total Co Accts Activ C2.2p1-11'!O234</f>
        <v>1658102</v>
      </c>
      <c r="G60" s="90"/>
      <c r="H60" s="419">
        <v>100</v>
      </c>
      <c r="I60" s="90"/>
      <c r="J60" s="414">
        <f t="shared" si="5"/>
        <v>1658102</v>
      </c>
      <c r="K60" s="90"/>
      <c r="L60" s="409"/>
      <c r="M60" s="91"/>
      <c r="N60" s="91"/>
    </row>
    <row r="61" spans="1:14" ht="12.75" x14ac:dyDescent="0.2">
      <c r="A61" s="408">
        <f t="shared" si="4"/>
        <v>42</v>
      </c>
      <c r="B61" s="90"/>
      <c r="C61" s="408" t="s">
        <v>638</v>
      </c>
      <c r="D61" s="90"/>
      <c r="E61" s="415" t="s">
        <v>639</v>
      </c>
      <c r="F61" s="412">
        <f>'Total Co Accts Activ C2.2p1-11'!O240</f>
        <v>1147102</v>
      </c>
      <c r="G61" s="90"/>
      <c r="H61" s="419">
        <v>100</v>
      </c>
      <c r="I61" s="409"/>
      <c r="J61" s="414">
        <f t="shared" si="5"/>
        <v>1147102</v>
      </c>
      <c r="K61" s="90"/>
      <c r="L61" s="409"/>
      <c r="M61" s="91"/>
      <c r="N61" s="91"/>
    </row>
    <row r="62" spans="1:14" ht="12.75" x14ac:dyDescent="0.2">
      <c r="A62" s="408">
        <f t="shared" si="4"/>
        <v>43</v>
      </c>
      <c r="B62" s="90"/>
      <c r="C62" s="408" t="s">
        <v>640</v>
      </c>
      <c r="D62" s="90"/>
      <c r="E62" s="415" t="s">
        <v>641</v>
      </c>
      <c r="F62" s="412">
        <f>'Total Co Accts Activ C2.2p1-11'!O257</f>
        <v>1590193</v>
      </c>
      <c r="G62" s="90"/>
      <c r="H62" s="419">
        <v>100</v>
      </c>
      <c r="I62" s="90"/>
      <c r="J62" s="414">
        <f t="shared" si="5"/>
        <v>1590193</v>
      </c>
      <c r="K62" s="90"/>
      <c r="L62" s="409"/>
      <c r="M62" s="91"/>
      <c r="N62" s="91"/>
    </row>
    <row r="63" spans="1:14" ht="12.75" x14ac:dyDescent="0.2">
      <c r="A63" s="408">
        <f t="shared" si="4"/>
        <v>44</v>
      </c>
      <c r="B63" s="90"/>
      <c r="C63" s="408" t="s">
        <v>642</v>
      </c>
      <c r="D63" s="90"/>
      <c r="E63" s="415" t="s">
        <v>643</v>
      </c>
      <c r="F63" s="913">
        <f>'Total Co Accts Activ C2.2p1-11'!O262</f>
        <v>71889</v>
      </c>
      <c r="G63" s="90"/>
      <c r="H63" s="419">
        <v>100</v>
      </c>
      <c r="I63" s="90"/>
      <c r="J63" s="420">
        <f t="shared" si="5"/>
        <v>71889</v>
      </c>
      <c r="K63" s="90"/>
      <c r="L63" s="409"/>
      <c r="M63" s="91"/>
      <c r="N63" s="91"/>
    </row>
    <row r="64" spans="1:14" ht="12.75" x14ac:dyDescent="0.2">
      <c r="A64" s="408">
        <f t="shared" si="4"/>
        <v>45</v>
      </c>
      <c r="B64" s="90"/>
      <c r="C64" s="92"/>
      <c r="D64" s="90"/>
      <c r="E64" s="415" t="s">
        <v>644</v>
      </c>
      <c r="F64" s="128">
        <f>SUM(F54:F63)</f>
        <v>7500716</v>
      </c>
      <c r="G64" s="90"/>
      <c r="H64" s="421" t="s">
        <v>549</v>
      </c>
      <c r="I64" s="90"/>
      <c r="J64" s="128">
        <f>SUM(J54:J63)</f>
        <v>7500716</v>
      </c>
      <c r="K64" s="90"/>
      <c r="L64" s="409"/>
      <c r="M64" s="91"/>
      <c r="N64" s="91"/>
    </row>
    <row r="65" spans="1:14" ht="12.75" x14ac:dyDescent="0.2">
      <c r="A65" s="92"/>
      <c r="B65" s="90"/>
      <c r="C65" s="92"/>
      <c r="D65" s="90"/>
      <c r="E65" s="90"/>
      <c r="F65" s="90"/>
      <c r="G65" s="90"/>
      <c r="H65" s="421" t="s">
        <v>549</v>
      </c>
      <c r="I65" s="90"/>
      <c r="J65" s="428" t="s">
        <v>549</v>
      </c>
      <c r="K65" s="90"/>
      <c r="L65" s="409"/>
      <c r="M65" s="91"/>
      <c r="N65" s="91"/>
    </row>
    <row r="66" spans="1:14" ht="12.75" x14ac:dyDescent="0.2">
      <c r="A66" s="408">
        <f>1+A64</f>
        <v>46</v>
      </c>
      <c r="B66" s="90"/>
      <c r="C66" s="408"/>
      <c r="D66" s="90"/>
      <c r="E66" s="418" t="s">
        <v>645</v>
      </c>
      <c r="F66" s="414"/>
      <c r="G66" s="90"/>
      <c r="H66" s="421" t="s">
        <v>549</v>
      </c>
      <c r="I66" s="90"/>
      <c r="J66" s="428" t="s">
        <v>549</v>
      </c>
      <c r="K66" s="90"/>
      <c r="L66" s="409"/>
      <c r="M66" s="91"/>
      <c r="N66" s="91"/>
    </row>
    <row r="67" spans="1:14" ht="12.75" x14ac:dyDescent="0.2">
      <c r="A67" s="408">
        <f t="shared" ref="A67:A76" si="6">1+A66</f>
        <v>47</v>
      </c>
      <c r="B67" s="90"/>
      <c r="C67" s="408" t="s">
        <v>646</v>
      </c>
      <c r="D67" s="90"/>
      <c r="E67" s="415" t="s">
        <v>618</v>
      </c>
      <c r="F67" s="412">
        <f>'Total Co Accts Activ C2.2p1-11'!O267</f>
        <v>97266</v>
      </c>
      <c r="G67" s="90"/>
      <c r="H67" s="419">
        <v>100</v>
      </c>
      <c r="I67" s="90"/>
      <c r="J67" s="414">
        <f t="shared" ref="J67:J75" si="7">F67</f>
        <v>97266</v>
      </c>
      <c r="K67" s="90"/>
      <c r="L67" s="409"/>
      <c r="M67" s="91"/>
      <c r="N67" s="91"/>
    </row>
    <row r="68" spans="1:14" ht="12.75" x14ac:dyDescent="0.2">
      <c r="A68" s="408">
        <f t="shared" si="6"/>
        <v>48</v>
      </c>
      <c r="B68" s="90"/>
      <c r="C68" s="408" t="s">
        <v>647</v>
      </c>
      <c r="D68" s="90"/>
      <c r="E68" s="415" t="s">
        <v>1602</v>
      </c>
      <c r="F68" s="412">
        <f>'Total Co Accts Activ C2.2p1-11'!O272</f>
        <v>87172</v>
      </c>
      <c r="G68" s="90"/>
      <c r="H68" s="419">
        <v>100</v>
      </c>
      <c r="I68" s="90"/>
      <c r="J68" s="414">
        <f t="shared" si="7"/>
        <v>87172</v>
      </c>
      <c r="K68" s="90"/>
      <c r="L68" s="409"/>
      <c r="M68" s="91"/>
      <c r="N68" s="91"/>
    </row>
    <row r="69" spans="1:14" ht="12.75" x14ac:dyDescent="0.2">
      <c r="A69" s="408">
        <f t="shared" si="6"/>
        <v>49</v>
      </c>
      <c r="B69" s="90"/>
      <c r="C69" s="408" t="s">
        <v>648</v>
      </c>
      <c r="D69" s="90"/>
      <c r="E69" s="415" t="s">
        <v>649</v>
      </c>
      <c r="F69" s="412">
        <f>'Total Co Accts Activ C2.2p1-11'!O277</f>
        <v>1458640</v>
      </c>
      <c r="G69" s="90"/>
      <c r="H69" s="419">
        <v>100</v>
      </c>
      <c r="I69" s="90"/>
      <c r="J69" s="414">
        <f t="shared" si="7"/>
        <v>1458640</v>
      </c>
      <c r="K69" s="90"/>
      <c r="L69" s="409"/>
      <c r="M69" s="91"/>
      <c r="N69" s="91"/>
    </row>
    <row r="70" spans="1:14" ht="12.75" x14ac:dyDescent="0.2">
      <c r="A70" s="408">
        <f t="shared" si="6"/>
        <v>50</v>
      </c>
      <c r="B70" s="90"/>
      <c r="C70" s="408" t="s">
        <v>650</v>
      </c>
      <c r="D70" s="90"/>
      <c r="E70" s="415" t="s">
        <v>627</v>
      </c>
      <c r="F70" s="412">
        <f>'Total Co Accts Activ C2.2p1-11'!O282</f>
        <v>113855</v>
      </c>
      <c r="G70" s="409"/>
      <c r="H70" s="419">
        <v>100</v>
      </c>
      <c r="I70" s="90"/>
      <c r="J70" s="414">
        <f t="shared" si="7"/>
        <v>113855</v>
      </c>
      <c r="K70" s="90"/>
      <c r="L70" s="409"/>
      <c r="M70" s="91"/>
      <c r="N70" s="91"/>
    </row>
    <row r="71" spans="1:14" ht="12.75" x14ac:dyDescent="0.2">
      <c r="A71" s="408">
        <f t="shared" si="6"/>
        <v>51</v>
      </c>
      <c r="B71" s="90"/>
      <c r="C71" s="408" t="s">
        <v>651</v>
      </c>
      <c r="D71" s="90"/>
      <c r="E71" s="415" t="s">
        <v>652</v>
      </c>
      <c r="F71" s="412">
        <f>'Total Co Accts Activ C2.2p1-11'!O287</f>
        <v>104514</v>
      </c>
      <c r="G71" s="90"/>
      <c r="H71" s="419">
        <v>100</v>
      </c>
      <c r="I71" s="90"/>
      <c r="J71" s="414">
        <f t="shared" si="7"/>
        <v>104514</v>
      </c>
      <c r="K71" s="90"/>
      <c r="L71" s="409"/>
      <c r="M71" s="91"/>
      <c r="N71" s="91"/>
    </row>
    <row r="72" spans="1:14" ht="12.75" x14ac:dyDescent="0.2">
      <c r="A72" s="408">
        <f t="shared" si="6"/>
        <v>52</v>
      </c>
      <c r="B72" s="90"/>
      <c r="C72" s="408" t="s">
        <v>653</v>
      </c>
      <c r="D72" s="90"/>
      <c r="E72" s="415" t="s">
        <v>630</v>
      </c>
      <c r="F72" s="723">
        <v>0</v>
      </c>
      <c r="G72" s="90"/>
      <c r="H72" s="419">
        <v>100</v>
      </c>
      <c r="I72" s="90"/>
      <c r="J72" s="414">
        <f t="shared" si="7"/>
        <v>0</v>
      </c>
      <c r="K72" s="90"/>
      <c r="L72" s="409"/>
      <c r="M72" s="91"/>
      <c r="N72" s="91"/>
    </row>
    <row r="73" spans="1:14" ht="12.75" x14ac:dyDescent="0.2">
      <c r="A73" s="408">
        <f t="shared" si="6"/>
        <v>53</v>
      </c>
      <c r="B73" s="90"/>
      <c r="C73" s="408" t="s">
        <v>654</v>
      </c>
      <c r="D73" s="90"/>
      <c r="E73" s="415" t="s">
        <v>655</v>
      </c>
      <c r="F73" s="412">
        <f>'Total Co Accts Activ C2.2p1-11'!O304</f>
        <v>471009</v>
      </c>
      <c r="G73" s="90"/>
      <c r="H73" s="419">
        <v>100</v>
      </c>
      <c r="I73" s="90"/>
      <c r="J73" s="414">
        <f t="shared" si="7"/>
        <v>471009</v>
      </c>
      <c r="K73" s="90"/>
      <c r="L73" s="409"/>
      <c r="M73" s="91"/>
      <c r="N73" s="91"/>
    </row>
    <row r="74" spans="1:14" ht="12.75" x14ac:dyDescent="0.2">
      <c r="A74" s="408">
        <f t="shared" si="6"/>
        <v>54</v>
      </c>
      <c r="B74" s="90"/>
      <c r="C74" s="408" t="s">
        <v>656</v>
      </c>
      <c r="D74" s="90"/>
      <c r="E74" s="415" t="s">
        <v>657</v>
      </c>
      <c r="F74" s="412">
        <f>'Total Co Accts Activ C2.2p1-11'!O309</f>
        <v>97411</v>
      </c>
      <c r="G74" s="90"/>
      <c r="H74" s="419">
        <v>100</v>
      </c>
      <c r="I74" s="90"/>
      <c r="J74" s="414">
        <f t="shared" si="7"/>
        <v>97411</v>
      </c>
      <c r="K74" s="90"/>
      <c r="L74" s="409"/>
      <c r="M74" s="91"/>
      <c r="N74" s="91"/>
    </row>
    <row r="75" spans="1:14" ht="12.75" x14ac:dyDescent="0.2">
      <c r="A75" s="408">
        <f t="shared" si="6"/>
        <v>55</v>
      </c>
      <c r="B75" s="90"/>
      <c r="C75" s="408" t="s">
        <v>658</v>
      </c>
      <c r="D75" s="90"/>
      <c r="E75" s="415" t="s">
        <v>659</v>
      </c>
      <c r="F75" s="913">
        <f>'Total Co Accts Activ C2.2p1-11'!O314</f>
        <v>173649</v>
      </c>
      <c r="G75" s="90"/>
      <c r="H75" s="419">
        <v>100</v>
      </c>
      <c r="I75" s="90"/>
      <c r="J75" s="420">
        <f t="shared" si="7"/>
        <v>173649</v>
      </c>
      <c r="K75" s="90"/>
      <c r="L75" s="409"/>
      <c r="M75" s="91"/>
      <c r="N75" s="91"/>
    </row>
    <row r="76" spans="1:14" ht="12.75" x14ac:dyDescent="0.2">
      <c r="A76" s="408">
        <f t="shared" si="6"/>
        <v>56</v>
      </c>
      <c r="B76" s="90"/>
      <c r="C76" s="90"/>
      <c r="D76" s="90"/>
      <c r="E76" s="415" t="s">
        <v>660</v>
      </c>
      <c r="F76" s="128">
        <f>SUM(F67:F75)</f>
        <v>2603516</v>
      </c>
      <c r="G76" s="90"/>
      <c r="H76" s="421" t="s">
        <v>549</v>
      </c>
      <c r="I76" s="90"/>
      <c r="J76" s="128">
        <f>SUM(J67:J75)</f>
        <v>2603516</v>
      </c>
      <c r="K76" s="90"/>
      <c r="L76" s="409"/>
      <c r="M76" s="91"/>
      <c r="N76" s="91"/>
    </row>
    <row r="77" spans="1:14" ht="12.75" x14ac:dyDescent="0.2">
      <c r="A77" s="408"/>
      <c r="B77" s="90"/>
      <c r="C77" s="90"/>
      <c r="D77" s="90"/>
      <c r="E77" s="90"/>
      <c r="F77" s="413"/>
      <c r="G77" s="90"/>
      <c r="H77" s="90"/>
      <c r="I77" s="90"/>
      <c r="J77" s="90"/>
      <c r="K77" s="90"/>
      <c r="L77" s="90"/>
      <c r="M77" s="91"/>
      <c r="N77" s="91"/>
    </row>
    <row r="78" spans="1:14" ht="12.75" x14ac:dyDescent="0.2">
      <c r="A78" s="92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1"/>
      <c r="N78" s="91"/>
    </row>
    <row r="79" spans="1:14" ht="12.75" x14ac:dyDescent="0.2">
      <c r="A79" s="1426" t="s">
        <v>477</v>
      </c>
      <c r="B79" s="1427"/>
      <c r="C79" s="1427"/>
      <c r="D79" s="1427"/>
      <c r="E79" s="1427"/>
      <c r="F79" s="1427"/>
      <c r="G79" s="1427"/>
      <c r="H79" s="1427"/>
      <c r="I79" s="1427"/>
      <c r="J79" s="1427"/>
      <c r="K79" s="1427"/>
      <c r="L79" s="1427"/>
      <c r="M79" s="91"/>
      <c r="N79" s="91"/>
    </row>
    <row r="80" spans="1:14" ht="12.75" x14ac:dyDescent="0.2">
      <c r="A80" s="1426" t="str">
        <f>+Input!C4</f>
        <v>CASE NO. 2017-xxxxx</v>
      </c>
      <c r="B80" s="1427"/>
      <c r="C80" s="1427"/>
      <c r="D80" s="1427"/>
      <c r="E80" s="1427"/>
      <c r="F80" s="1427"/>
      <c r="G80" s="1427"/>
      <c r="H80" s="1427"/>
      <c r="I80" s="1427"/>
      <c r="J80" s="1427"/>
      <c r="K80" s="1427"/>
      <c r="L80" s="1427"/>
      <c r="M80" s="91"/>
      <c r="N80" s="91"/>
    </row>
    <row r="81" spans="1:14" ht="12.75" x14ac:dyDescent="0.2">
      <c r="A81" s="1426" t="s">
        <v>520</v>
      </c>
      <c r="B81" s="1427"/>
      <c r="C81" s="1427"/>
      <c r="D81" s="1427"/>
      <c r="E81" s="1427"/>
      <c r="F81" s="1427"/>
      <c r="G81" s="1427"/>
      <c r="H81" s="1427"/>
      <c r="I81" s="1427"/>
      <c r="J81" s="1427"/>
      <c r="K81" s="1427"/>
      <c r="L81" s="1427"/>
      <c r="M81" s="91"/>
      <c r="N81" s="91"/>
    </row>
    <row r="82" spans="1:14" ht="12.75" x14ac:dyDescent="0.2">
      <c r="A82" s="1426" t="str">
        <f>+Input!C8</f>
        <v>FOR THE TWELVE MONTHS ENDED DECEMBER 31, 2017</v>
      </c>
      <c r="B82" s="1427"/>
      <c r="C82" s="1427"/>
      <c r="D82" s="1427"/>
      <c r="E82" s="1427"/>
      <c r="F82" s="1427"/>
      <c r="G82" s="1427"/>
      <c r="H82" s="1427"/>
      <c r="I82" s="1427"/>
      <c r="J82" s="1427"/>
      <c r="K82" s="1427"/>
      <c r="L82" s="1427"/>
      <c r="M82" s="91"/>
      <c r="N82" s="91"/>
    </row>
    <row r="83" spans="1:14" ht="12.75" x14ac:dyDescent="0.2">
      <c r="A83" s="90"/>
      <c r="B83" s="90"/>
      <c r="C83" s="409"/>
      <c r="D83" s="90"/>
      <c r="E83" s="90"/>
      <c r="F83" s="90"/>
      <c r="G83" s="90"/>
      <c r="H83" s="90"/>
      <c r="I83" s="93"/>
      <c r="J83" s="90"/>
      <c r="K83" s="90"/>
      <c r="L83" s="90"/>
      <c r="M83" s="91"/>
      <c r="N83" s="91"/>
    </row>
    <row r="84" spans="1:14" ht="12.75" x14ac:dyDescent="0.2">
      <c r="A84" s="112" t="s">
        <v>839</v>
      </c>
      <c r="B84" s="90"/>
      <c r="C84" s="90"/>
      <c r="D84" s="90"/>
      <c r="E84" s="90"/>
      <c r="F84" s="90"/>
      <c r="G84" s="90"/>
      <c r="H84" s="90"/>
      <c r="I84" s="90"/>
      <c r="J84" s="91"/>
      <c r="K84" s="90"/>
      <c r="L84" s="410" t="s">
        <v>521</v>
      </c>
      <c r="M84" s="91"/>
      <c r="N84" s="91"/>
    </row>
    <row r="85" spans="1:14" ht="12.75" x14ac:dyDescent="0.2">
      <c r="A85" s="112" t="s">
        <v>490</v>
      </c>
      <c r="B85" s="90"/>
      <c r="C85" s="90"/>
      <c r="D85" s="90"/>
      <c r="E85" s="90"/>
      <c r="F85" s="90"/>
      <c r="G85" s="90"/>
      <c r="H85" s="90"/>
      <c r="I85" s="90"/>
      <c r="J85" s="91"/>
      <c r="K85" s="90"/>
      <c r="L85" s="410" t="s">
        <v>1592</v>
      </c>
      <c r="M85" s="91"/>
      <c r="N85" s="91"/>
    </row>
    <row r="86" spans="1:14" ht="12.75" x14ac:dyDescent="0.2">
      <c r="A86" s="120" t="s">
        <v>840</v>
      </c>
      <c r="B86" s="121"/>
      <c r="C86" s="121"/>
      <c r="D86" s="121"/>
      <c r="E86" s="121"/>
      <c r="F86" s="121"/>
      <c r="G86" s="121"/>
      <c r="H86" s="121"/>
      <c r="I86" s="122"/>
      <c r="J86" s="346"/>
      <c r="K86" s="122"/>
      <c r="L86" s="361" t="str">
        <f>+Input!E27</f>
        <v>WITNESS:  C. Y. LAI</v>
      </c>
      <c r="M86" s="91"/>
      <c r="N86" s="91"/>
    </row>
    <row r="87" spans="1:14" ht="12.75" x14ac:dyDescent="0.2">
      <c r="A87" s="92"/>
      <c r="B87" s="92"/>
      <c r="C87" s="92"/>
      <c r="D87" s="92"/>
      <c r="E87" s="92"/>
      <c r="F87" s="408" t="s">
        <v>522</v>
      </c>
      <c r="G87" s="92"/>
      <c r="H87" s="92"/>
      <c r="I87" s="92"/>
      <c r="J87" s="92"/>
      <c r="K87" s="92"/>
      <c r="L87" s="113" t="s">
        <v>523</v>
      </c>
      <c r="M87" s="91"/>
      <c r="N87" s="91"/>
    </row>
    <row r="88" spans="1:14" ht="12.75" x14ac:dyDescent="0.2">
      <c r="A88" s="408" t="s">
        <v>493</v>
      </c>
      <c r="B88" s="92"/>
      <c r="C88" s="408" t="s">
        <v>524</v>
      </c>
      <c r="D88" s="92"/>
      <c r="E88" s="408"/>
      <c r="F88" s="408" t="s">
        <v>525</v>
      </c>
      <c r="G88" s="92"/>
      <c r="H88" s="408" t="s">
        <v>526</v>
      </c>
      <c r="I88" s="92"/>
      <c r="J88" s="408" t="s">
        <v>522</v>
      </c>
      <c r="K88" s="92"/>
      <c r="L88" s="113" t="s">
        <v>527</v>
      </c>
      <c r="M88" s="91"/>
      <c r="N88" s="91"/>
    </row>
    <row r="89" spans="1:14" ht="12.75" x14ac:dyDescent="0.2">
      <c r="A89" s="411" t="s">
        <v>496</v>
      </c>
      <c r="B89" s="126"/>
      <c r="C89" s="411" t="s">
        <v>528</v>
      </c>
      <c r="D89" s="126"/>
      <c r="E89" s="429" t="s">
        <v>841</v>
      </c>
      <c r="F89" s="411" t="s">
        <v>529</v>
      </c>
      <c r="G89" s="126"/>
      <c r="H89" s="411" t="s">
        <v>530</v>
      </c>
      <c r="I89" s="126"/>
      <c r="J89" s="411" t="s">
        <v>531</v>
      </c>
      <c r="K89" s="126"/>
      <c r="L89" s="411" t="s">
        <v>480</v>
      </c>
      <c r="M89" s="91"/>
      <c r="N89" s="91"/>
    </row>
    <row r="90" spans="1:14" ht="12.75" x14ac:dyDescent="0.2">
      <c r="A90" s="92"/>
      <c r="B90" s="90"/>
      <c r="C90" s="90"/>
      <c r="D90" s="90"/>
      <c r="E90" s="90"/>
      <c r="F90" s="408" t="s">
        <v>532</v>
      </c>
      <c r="G90" s="90"/>
      <c r="H90" s="408" t="s">
        <v>533</v>
      </c>
      <c r="I90" s="90"/>
      <c r="J90" s="408" t="s">
        <v>534</v>
      </c>
      <c r="K90" s="90"/>
      <c r="L90" s="408" t="s">
        <v>535</v>
      </c>
      <c r="M90" s="91"/>
      <c r="N90" s="91"/>
    </row>
    <row r="91" spans="1:14" ht="12.75" x14ac:dyDescent="0.2">
      <c r="A91" s="408"/>
      <c r="B91" s="90"/>
      <c r="C91" s="409"/>
      <c r="D91" s="90"/>
      <c r="E91" s="418" t="s">
        <v>661</v>
      </c>
      <c r="F91" s="414"/>
      <c r="G91" s="90"/>
      <c r="H91" s="430"/>
      <c r="I91" s="90"/>
      <c r="J91" s="414"/>
      <c r="K91" s="90"/>
      <c r="L91" s="90"/>
      <c r="M91" s="91"/>
      <c r="N91" s="91"/>
    </row>
    <row r="92" spans="1:14" ht="12.75" x14ac:dyDescent="0.2">
      <c r="A92" s="408">
        <v>1</v>
      </c>
      <c r="B92" s="90"/>
      <c r="C92" s="408" t="s">
        <v>662</v>
      </c>
      <c r="D92" s="90"/>
      <c r="E92" s="415" t="s">
        <v>663</v>
      </c>
      <c r="F92" s="412">
        <f>'Total Co Accts Activ C2.2p1-11'!O319</f>
        <v>6434</v>
      </c>
      <c r="G92" s="90"/>
      <c r="H92" s="419">
        <v>100</v>
      </c>
      <c r="I92" s="90"/>
      <c r="J92" s="414">
        <f t="shared" ref="J92:J99" si="8">F92</f>
        <v>6434</v>
      </c>
      <c r="K92" s="409"/>
      <c r="L92" s="408" t="s">
        <v>541</v>
      </c>
      <c r="M92" s="91"/>
      <c r="N92" s="91"/>
    </row>
    <row r="93" spans="1:14" ht="12.75" x14ac:dyDescent="0.2">
      <c r="A93" s="408">
        <f t="shared" ref="A93:A100" si="9">1+A92</f>
        <v>2</v>
      </c>
      <c r="B93" s="90"/>
      <c r="C93" s="408" t="s">
        <v>664</v>
      </c>
      <c r="D93" s="90"/>
      <c r="E93" s="415" t="s">
        <v>665</v>
      </c>
      <c r="F93" s="412">
        <f>'Total Co Accts Activ C2.2p1-11'!O324</f>
        <v>1219043</v>
      </c>
      <c r="G93" s="90"/>
      <c r="H93" s="419">
        <v>100</v>
      </c>
      <c r="I93" s="90"/>
      <c r="J93" s="414">
        <f t="shared" si="8"/>
        <v>1219043</v>
      </c>
      <c r="K93" s="90"/>
      <c r="L93" s="409"/>
      <c r="M93" s="91"/>
      <c r="N93" s="91"/>
    </row>
    <row r="94" spans="1:14" ht="12.75" x14ac:dyDescent="0.2">
      <c r="A94" s="408">
        <f t="shared" si="9"/>
        <v>3</v>
      </c>
      <c r="B94" s="90"/>
      <c r="C94" s="408" t="s">
        <v>666</v>
      </c>
      <c r="D94" s="90"/>
      <c r="E94" s="415" t="s">
        <v>667</v>
      </c>
      <c r="F94" s="412">
        <f>'Total Co Accts Activ C2.2p1-11'!O329</f>
        <v>2648121</v>
      </c>
      <c r="G94" s="90"/>
      <c r="H94" s="419">
        <v>100</v>
      </c>
      <c r="I94" s="90"/>
      <c r="J94" s="414">
        <f t="shared" si="8"/>
        <v>2648121</v>
      </c>
      <c r="K94" s="90"/>
      <c r="L94" s="409"/>
      <c r="M94" s="91"/>
      <c r="N94" s="91"/>
    </row>
    <row r="95" spans="1:14" ht="12.75" x14ac:dyDescent="0.2">
      <c r="A95" s="408">
        <f t="shared" si="9"/>
        <v>4</v>
      </c>
      <c r="B95" s="90"/>
      <c r="C95" s="408" t="s">
        <v>668</v>
      </c>
      <c r="D95" s="90"/>
      <c r="E95" s="415" t="s">
        <v>669</v>
      </c>
      <c r="F95" s="412">
        <f>'Total Co Accts Activ C2.2p1-11'!O334</f>
        <v>2451089</v>
      </c>
      <c r="G95" s="90"/>
      <c r="H95" s="419">
        <v>100</v>
      </c>
      <c r="I95" s="90"/>
      <c r="J95" s="414">
        <f t="shared" si="8"/>
        <v>2451089</v>
      </c>
      <c r="K95" s="90"/>
      <c r="L95" s="409"/>
      <c r="M95" s="91"/>
      <c r="N95" s="91"/>
    </row>
    <row r="96" spans="1:14" ht="12.75" x14ac:dyDescent="0.2">
      <c r="A96" s="408">
        <f t="shared" si="9"/>
        <v>5</v>
      </c>
      <c r="B96" s="90"/>
      <c r="C96" s="408" t="s">
        <v>670</v>
      </c>
      <c r="D96" s="90"/>
      <c r="E96" s="415" t="s">
        <v>671</v>
      </c>
      <c r="F96" s="912">
        <f>'Total Co Accts Activ C2.2p1-11'!O350</f>
        <v>1908</v>
      </c>
      <c r="G96" s="90"/>
      <c r="H96" s="419">
        <v>100</v>
      </c>
      <c r="I96" s="90"/>
      <c r="J96" s="425">
        <f t="shared" si="8"/>
        <v>1908</v>
      </c>
      <c r="K96" s="90"/>
      <c r="L96" s="409"/>
      <c r="M96" s="91"/>
      <c r="N96" s="91"/>
    </row>
    <row r="97" spans="1:14" ht="12.75" x14ac:dyDescent="0.2">
      <c r="A97" s="408">
        <f t="shared" si="9"/>
        <v>6</v>
      </c>
      <c r="B97" s="90"/>
      <c r="C97" s="408">
        <v>921</v>
      </c>
      <c r="D97" s="90"/>
      <c r="E97" s="415" t="s">
        <v>695</v>
      </c>
      <c r="F97" s="727">
        <v>515</v>
      </c>
      <c r="G97" s="90"/>
      <c r="H97" s="419">
        <v>100</v>
      </c>
      <c r="I97" s="90"/>
      <c r="J97" s="425">
        <f t="shared" si="8"/>
        <v>515</v>
      </c>
      <c r="K97" s="90"/>
      <c r="L97" s="409"/>
      <c r="M97" s="91"/>
      <c r="N97" s="91"/>
    </row>
    <row r="98" spans="1:14" ht="12.75" x14ac:dyDescent="0.2">
      <c r="A98" s="408">
        <f t="shared" si="9"/>
        <v>7</v>
      </c>
      <c r="B98" s="90"/>
      <c r="C98" s="408">
        <v>931</v>
      </c>
      <c r="D98" s="90"/>
      <c r="E98" s="415" t="s">
        <v>714</v>
      </c>
      <c r="F98" s="727">
        <v>0</v>
      </c>
      <c r="G98" s="90"/>
      <c r="H98" s="419">
        <v>100</v>
      </c>
      <c r="I98" s="90"/>
      <c r="J98" s="425">
        <f t="shared" si="8"/>
        <v>0</v>
      </c>
      <c r="K98" s="90"/>
      <c r="L98" s="409"/>
      <c r="M98" s="91"/>
      <c r="N98" s="91"/>
    </row>
    <row r="99" spans="1:14" ht="12.75" x14ac:dyDescent="0.2">
      <c r="A99" s="408">
        <f t="shared" si="9"/>
        <v>8</v>
      </c>
      <c r="B99" s="90"/>
      <c r="C99" s="408">
        <v>935</v>
      </c>
      <c r="D99" s="90"/>
      <c r="E99" s="415" t="s">
        <v>718</v>
      </c>
      <c r="F99" s="725">
        <f>10+145</f>
        <v>155</v>
      </c>
      <c r="G99" s="90"/>
      <c r="H99" s="419">
        <v>100</v>
      </c>
      <c r="I99" s="90"/>
      <c r="J99" s="427">
        <f t="shared" si="8"/>
        <v>155</v>
      </c>
      <c r="K99" s="90"/>
      <c r="L99" s="409"/>
      <c r="M99" s="91"/>
      <c r="N99" s="91"/>
    </row>
    <row r="100" spans="1:14" ht="12.75" x14ac:dyDescent="0.2">
      <c r="A100" s="408">
        <f t="shared" si="9"/>
        <v>9</v>
      </c>
      <c r="B100" s="90"/>
      <c r="C100" s="408"/>
      <c r="D100" s="90"/>
      <c r="E100" s="415" t="s">
        <v>672</v>
      </c>
      <c r="F100" s="128">
        <f>SUM(F92:F99)</f>
        <v>6327265</v>
      </c>
      <c r="G100" s="90"/>
      <c r="H100" s="431" t="s">
        <v>549</v>
      </c>
      <c r="I100" s="90"/>
      <c r="J100" s="128">
        <f>SUM(J92:J99)</f>
        <v>6327265</v>
      </c>
      <c r="K100" s="90"/>
      <c r="L100" s="409"/>
      <c r="M100" s="91"/>
      <c r="N100" s="91"/>
    </row>
    <row r="101" spans="1:14" ht="12.75" x14ac:dyDescent="0.2">
      <c r="A101" s="408"/>
      <c r="B101" s="90"/>
      <c r="C101" s="92"/>
      <c r="D101" s="90"/>
      <c r="E101" s="90"/>
      <c r="F101" s="90"/>
      <c r="G101" s="90"/>
      <c r="H101" s="90"/>
      <c r="I101" s="90"/>
      <c r="J101" s="90"/>
      <c r="K101" s="90"/>
      <c r="L101" s="90"/>
      <c r="M101" s="91"/>
      <c r="N101" s="91"/>
    </row>
    <row r="102" spans="1:14" ht="12.75" x14ac:dyDescent="0.2">
      <c r="A102" s="92">
        <f>1+A100</f>
        <v>10</v>
      </c>
      <c r="B102" s="90"/>
      <c r="C102" s="92"/>
      <c r="D102" s="90"/>
      <c r="E102" s="418" t="s">
        <v>673</v>
      </c>
      <c r="F102" s="90"/>
      <c r="G102" s="90"/>
      <c r="H102" s="90"/>
      <c r="I102" s="90"/>
      <c r="J102" s="90"/>
      <c r="K102" s="90"/>
      <c r="L102" s="90"/>
      <c r="M102" s="91"/>
      <c r="N102" s="91"/>
    </row>
    <row r="103" spans="1:14" ht="12.75" x14ac:dyDescent="0.2">
      <c r="A103" s="408">
        <f t="shared" ref="A103:A110" si="10">1+A102</f>
        <v>11</v>
      </c>
      <c r="B103" s="90"/>
      <c r="C103" s="408" t="s">
        <v>674</v>
      </c>
      <c r="D103" s="90"/>
      <c r="E103" s="415" t="s">
        <v>663</v>
      </c>
      <c r="F103" s="412">
        <f>'Total Co Accts Activ C2.2p1-11'!O355</f>
        <v>30327</v>
      </c>
      <c r="G103" s="90"/>
      <c r="H103" s="419">
        <v>100</v>
      </c>
      <c r="I103" s="90"/>
      <c r="J103" s="414">
        <f t="shared" ref="J103:J109" si="11">F103</f>
        <v>30327</v>
      </c>
      <c r="K103" s="90"/>
      <c r="L103" s="409"/>
      <c r="M103" s="91"/>
      <c r="N103" s="91"/>
    </row>
    <row r="104" spans="1:14" ht="12.75" x14ac:dyDescent="0.2">
      <c r="A104" s="408">
        <f t="shared" si="10"/>
        <v>12</v>
      </c>
      <c r="B104" s="90"/>
      <c r="C104" s="408" t="s">
        <v>675</v>
      </c>
      <c r="D104" s="90"/>
      <c r="E104" s="415" t="s">
        <v>676</v>
      </c>
      <c r="F104" s="412">
        <f>'Total Co Accts Activ C2.2p1-11'!O360</f>
        <v>148563</v>
      </c>
      <c r="G104" s="90"/>
      <c r="H104" s="419">
        <v>100</v>
      </c>
      <c r="I104" s="90"/>
      <c r="J104" s="414">
        <f t="shared" si="11"/>
        <v>148563</v>
      </c>
      <c r="K104" s="90"/>
      <c r="L104" s="409"/>
      <c r="M104" s="91"/>
      <c r="N104" s="91"/>
    </row>
    <row r="105" spans="1:14" ht="12.75" x14ac:dyDescent="0.2">
      <c r="A105" s="408">
        <f t="shared" si="10"/>
        <v>13</v>
      </c>
      <c r="B105" s="90"/>
      <c r="C105" s="408" t="s">
        <v>677</v>
      </c>
      <c r="D105" s="90"/>
      <c r="E105" s="415" t="s">
        <v>678</v>
      </c>
      <c r="F105" s="412">
        <f>'Total Co Accts Activ C2.2p1-11'!O365</f>
        <v>55709</v>
      </c>
      <c r="G105" s="90"/>
      <c r="H105" s="419">
        <v>100</v>
      </c>
      <c r="I105" s="428" t="s">
        <v>549</v>
      </c>
      <c r="J105" s="414">
        <f t="shared" si="11"/>
        <v>55709</v>
      </c>
      <c r="K105" s="90"/>
      <c r="L105" s="409"/>
      <c r="M105" s="91"/>
      <c r="N105" s="91"/>
    </row>
    <row r="106" spans="1:14" ht="12.75" x14ac:dyDescent="0.2">
      <c r="A106" s="408">
        <f t="shared" si="10"/>
        <v>14</v>
      </c>
      <c r="B106" s="90"/>
      <c r="C106" s="408" t="s">
        <v>679</v>
      </c>
      <c r="D106" s="90"/>
      <c r="E106" s="415" t="s">
        <v>680</v>
      </c>
      <c r="F106" s="912">
        <f>'Total Co Accts Activ C2.2p1-11'!O370</f>
        <v>502292</v>
      </c>
      <c r="G106" s="90"/>
      <c r="H106" s="419">
        <v>100</v>
      </c>
      <c r="I106" s="90"/>
      <c r="J106" s="425">
        <f t="shared" si="11"/>
        <v>502292</v>
      </c>
      <c r="K106" s="90"/>
      <c r="L106" s="409"/>
      <c r="M106" s="91"/>
      <c r="N106" s="91"/>
    </row>
    <row r="107" spans="1:14" ht="12.75" x14ac:dyDescent="0.2">
      <c r="A107" s="408">
        <f t="shared" si="10"/>
        <v>15</v>
      </c>
      <c r="B107" s="90"/>
      <c r="C107" s="408">
        <v>921</v>
      </c>
      <c r="D107" s="90"/>
      <c r="E107" s="415" t="s">
        <v>695</v>
      </c>
      <c r="F107" s="727">
        <v>7042</v>
      </c>
      <c r="G107" s="90"/>
      <c r="H107" s="419">
        <v>100</v>
      </c>
      <c r="I107" s="90"/>
      <c r="J107" s="425">
        <f t="shared" si="11"/>
        <v>7042</v>
      </c>
      <c r="K107" s="90"/>
      <c r="L107" s="409"/>
      <c r="M107" s="91"/>
      <c r="N107" s="91"/>
    </row>
    <row r="108" spans="1:14" ht="12.75" x14ac:dyDescent="0.2">
      <c r="A108" s="408">
        <f t="shared" si="10"/>
        <v>16</v>
      </c>
      <c r="B108" s="90"/>
      <c r="C108" s="408">
        <v>931</v>
      </c>
      <c r="D108" s="90"/>
      <c r="E108" s="415" t="s">
        <v>714</v>
      </c>
      <c r="F108" s="727">
        <v>0</v>
      </c>
      <c r="G108" s="90"/>
      <c r="H108" s="419">
        <v>100</v>
      </c>
      <c r="I108" s="90"/>
      <c r="J108" s="425">
        <f t="shared" si="11"/>
        <v>0</v>
      </c>
      <c r="K108" s="90"/>
      <c r="L108" s="409"/>
      <c r="M108" s="91"/>
      <c r="N108" s="91"/>
    </row>
    <row r="109" spans="1:14" ht="12.75" x14ac:dyDescent="0.2">
      <c r="A109" s="408">
        <f t="shared" si="10"/>
        <v>17</v>
      </c>
      <c r="B109" s="90"/>
      <c r="C109" s="408">
        <v>935</v>
      </c>
      <c r="D109" s="90"/>
      <c r="E109" s="415" t="s">
        <v>718</v>
      </c>
      <c r="F109" s="725">
        <v>14</v>
      </c>
      <c r="G109" s="90"/>
      <c r="H109" s="419">
        <v>100</v>
      </c>
      <c r="I109" s="90"/>
      <c r="J109" s="427">
        <f t="shared" si="11"/>
        <v>14</v>
      </c>
      <c r="K109" s="90"/>
      <c r="L109" s="409"/>
      <c r="M109" s="91"/>
      <c r="N109" s="91"/>
    </row>
    <row r="110" spans="1:14" ht="12.75" x14ac:dyDescent="0.2">
      <c r="A110" s="408">
        <f t="shared" si="10"/>
        <v>18</v>
      </c>
      <c r="B110" s="90"/>
      <c r="C110" s="408"/>
      <c r="D110" s="90"/>
      <c r="E110" s="415" t="s">
        <v>681</v>
      </c>
      <c r="F110" s="128">
        <f>SUM(F103:F109)</f>
        <v>743947</v>
      </c>
      <c r="G110" s="90"/>
      <c r="H110" s="421" t="s">
        <v>549</v>
      </c>
      <c r="I110" s="90"/>
      <c r="J110" s="128">
        <f>SUM(J103:J109)</f>
        <v>743947</v>
      </c>
      <c r="K110" s="90"/>
      <c r="L110" s="409"/>
      <c r="M110" s="91"/>
      <c r="N110" s="91"/>
    </row>
    <row r="111" spans="1:14" ht="12.75" x14ac:dyDescent="0.2">
      <c r="A111" s="92"/>
      <c r="B111" s="90"/>
      <c r="C111" s="408"/>
      <c r="D111" s="90"/>
      <c r="E111" s="409"/>
      <c r="F111" s="414"/>
      <c r="G111" s="90"/>
      <c r="H111" s="430"/>
      <c r="I111" s="90"/>
      <c r="J111" s="414"/>
      <c r="K111" s="90"/>
      <c r="L111" s="409"/>
      <c r="M111" s="91"/>
      <c r="N111" s="91"/>
    </row>
    <row r="112" spans="1:14" ht="12.75" x14ac:dyDescent="0.2">
      <c r="A112" s="92">
        <f>1+A110</f>
        <v>19</v>
      </c>
      <c r="B112" s="90"/>
      <c r="C112" s="408"/>
      <c r="D112" s="90"/>
      <c r="E112" s="418" t="s">
        <v>682</v>
      </c>
      <c r="F112" s="414"/>
      <c r="G112" s="90"/>
      <c r="H112" s="430"/>
      <c r="I112" s="90"/>
      <c r="J112" s="414"/>
      <c r="K112" s="90"/>
      <c r="L112" s="409"/>
      <c r="M112" s="91"/>
      <c r="N112" s="91"/>
    </row>
    <row r="113" spans="1:14" ht="12.75" x14ac:dyDescent="0.2">
      <c r="A113" s="408">
        <f>1+A112</f>
        <v>20</v>
      </c>
      <c r="B113" s="90"/>
      <c r="C113" s="408" t="s">
        <v>683</v>
      </c>
      <c r="D113" s="90"/>
      <c r="E113" s="415" t="s">
        <v>663</v>
      </c>
      <c r="F113" s="412">
        <f>'Total Co Accts Activ C2.2p1-11'!O375</f>
        <v>2634</v>
      </c>
      <c r="G113" s="90"/>
      <c r="H113" s="419">
        <v>100</v>
      </c>
      <c r="I113" s="90"/>
      <c r="J113" s="414">
        <f>F113</f>
        <v>2634</v>
      </c>
      <c r="K113" s="90"/>
      <c r="L113" s="409"/>
      <c r="M113" s="91"/>
      <c r="N113" s="91"/>
    </row>
    <row r="114" spans="1:14" ht="12.75" x14ac:dyDescent="0.2">
      <c r="A114" s="408">
        <f>1+A113</f>
        <v>21</v>
      </c>
      <c r="B114" s="90"/>
      <c r="C114" s="408" t="s">
        <v>684</v>
      </c>
      <c r="D114" s="90"/>
      <c r="E114" s="415" t="s">
        <v>685</v>
      </c>
      <c r="F114" s="412">
        <f>'Total Co Accts Activ C2.2p1-11'!O380</f>
        <v>43417</v>
      </c>
      <c r="G114" s="90"/>
      <c r="H114" s="419">
        <v>100</v>
      </c>
      <c r="I114" s="90"/>
      <c r="J114" s="414">
        <f>F114</f>
        <v>43417</v>
      </c>
      <c r="K114" s="90"/>
      <c r="L114" s="409"/>
      <c r="M114" s="91"/>
      <c r="N114" s="91"/>
    </row>
    <row r="115" spans="1:14" ht="12.75" x14ac:dyDescent="0.2">
      <c r="A115" s="408">
        <f>1+A114</f>
        <v>22</v>
      </c>
      <c r="B115" s="90"/>
      <c r="C115" s="408" t="s">
        <v>686</v>
      </c>
      <c r="D115" s="90"/>
      <c r="E115" s="415" t="s">
        <v>687</v>
      </c>
      <c r="F115" s="412">
        <f>'Total Co Accts Activ C2.2p1-11'!O385</f>
        <v>5525</v>
      </c>
      <c r="G115" s="90"/>
      <c r="H115" s="419">
        <v>100</v>
      </c>
      <c r="I115" s="90"/>
      <c r="J115" s="414">
        <f>F115</f>
        <v>5525</v>
      </c>
      <c r="K115" s="90"/>
      <c r="L115" s="409"/>
      <c r="M115" s="91"/>
      <c r="N115" s="91"/>
    </row>
    <row r="116" spans="1:14" ht="12.75" x14ac:dyDescent="0.2">
      <c r="A116" s="408">
        <f>1+A115</f>
        <v>23</v>
      </c>
      <c r="B116" s="90"/>
      <c r="C116" s="408" t="s">
        <v>688</v>
      </c>
      <c r="D116" s="90"/>
      <c r="E116" s="415" t="s">
        <v>689</v>
      </c>
      <c r="F116" s="913">
        <f>'Total Co Accts Activ C2.2p1-11'!O402</f>
        <v>-1</v>
      </c>
      <c r="G116" s="90"/>
      <c r="H116" s="419">
        <v>100</v>
      </c>
      <c r="I116" s="90"/>
      <c r="J116" s="420">
        <f>F116</f>
        <v>-1</v>
      </c>
      <c r="K116" s="90"/>
      <c r="L116" s="409"/>
      <c r="M116" s="91"/>
      <c r="N116" s="91"/>
    </row>
    <row r="117" spans="1:14" ht="12.75" x14ac:dyDescent="0.2">
      <c r="A117" s="408">
        <f>1+A116</f>
        <v>24</v>
      </c>
      <c r="B117" s="90"/>
      <c r="C117" s="408"/>
      <c r="D117" s="90"/>
      <c r="E117" s="415" t="s">
        <v>690</v>
      </c>
      <c r="F117" s="128">
        <f>SUM(F113:F116)</f>
        <v>51575</v>
      </c>
      <c r="G117" s="90"/>
      <c r="H117" s="431" t="s">
        <v>549</v>
      </c>
      <c r="I117" s="90"/>
      <c r="J117" s="128">
        <f>SUM(J113:J116)</f>
        <v>51575</v>
      </c>
      <c r="K117" s="90"/>
      <c r="L117" s="409"/>
      <c r="M117" s="91"/>
      <c r="N117" s="91"/>
    </row>
    <row r="118" spans="1:14" ht="12.75" x14ac:dyDescent="0.2">
      <c r="A118" s="408"/>
      <c r="B118" s="90"/>
      <c r="C118" s="92"/>
      <c r="D118" s="90"/>
      <c r="E118" s="90"/>
      <c r="F118" s="414"/>
      <c r="G118" s="90"/>
      <c r="H118" s="430"/>
      <c r="I118" s="90"/>
      <c r="J118" s="414"/>
      <c r="K118" s="90"/>
      <c r="L118" s="409"/>
      <c r="M118" s="91"/>
      <c r="N118" s="91"/>
    </row>
    <row r="119" spans="1:14" ht="12.75" x14ac:dyDescent="0.2">
      <c r="A119" s="92">
        <f>1+A117</f>
        <v>25</v>
      </c>
      <c r="B119" s="90"/>
      <c r="C119" s="408"/>
      <c r="D119" s="90"/>
      <c r="E119" s="418" t="s">
        <v>691</v>
      </c>
      <c r="F119" s="414"/>
      <c r="G119" s="90"/>
      <c r="H119" s="430"/>
      <c r="I119" s="90"/>
      <c r="J119" s="414"/>
      <c r="K119" s="90"/>
      <c r="L119" s="409"/>
      <c r="M119" s="91"/>
      <c r="N119" s="91"/>
    </row>
    <row r="120" spans="1:14" ht="12.75" x14ac:dyDescent="0.2">
      <c r="A120" s="408">
        <f t="shared" ref="A120:A132" si="12">1+A119</f>
        <v>26</v>
      </c>
      <c r="B120" s="90"/>
      <c r="C120" s="408" t="s">
        <v>692</v>
      </c>
      <c r="D120" s="90"/>
      <c r="E120" s="415" t="s">
        <v>693</v>
      </c>
      <c r="F120" s="412">
        <f>'Total Co Accts Activ C2.2p1-11'!O407</f>
        <v>999080</v>
      </c>
      <c r="G120" s="409"/>
      <c r="H120" s="419">
        <v>100</v>
      </c>
      <c r="I120" s="90"/>
      <c r="J120" s="414">
        <f t="shared" ref="J120:J131" si="13">F120</f>
        <v>999080</v>
      </c>
      <c r="K120" s="90"/>
      <c r="L120" s="409"/>
      <c r="M120" s="91"/>
      <c r="N120" s="91"/>
    </row>
    <row r="121" spans="1:14" ht="12.75" x14ac:dyDescent="0.2">
      <c r="A121" s="408">
        <f t="shared" si="12"/>
        <v>27</v>
      </c>
      <c r="B121" s="90"/>
      <c r="C121" s="408" t="s">
        <v>694</v>
      </c>
      <c r="D121" s="90"/>
      <c r="E121" s="415" t="s">
        <v>695</v>
      </c>
      <c r="F121" s="723">
        <f>254+136439+26959+168-63+64+21080+6795+69166+44502+1+834+4750+70</f>
        <v>311019</v>
      </c>
      <c r="G121" s="90"/>
      <c r="H121" s="419">
        <v>100</v>
      </c>
      <c r="I121" s="90"/>
      <c r="J121" s="414">
        <f t="shared" si="13"/>
        <v>311019</v>
      </c>
      <c r="K121" s="90"/>
      <c r="L121" s="409"/>
      <c r="M121" s="91"/>
      <c r="N121" s="91"/>
    </row>
    <row r="122" spans="1:14" ht="12.75" x14ac:dyDescent="0.2">
      <c r="A122" s="408">
        <f t="shared" si="12"/>
        <v>28</v>
      </c>
      <c r="B122" s="90"/>
      <c r="C122" s="408" t="s">
        <v>696</v>
      </c>
      <c r="D122" s="90"/>
      <c r="E122" s="415" t="s">
        <v>697</v>
      </c>
      <c r="F122" s="412">
        <f>'Total Co Accts Activ C2.2p1-11'!O417</f>
        <v>0</v>
      </c>
      <c r="G122" s="90"/>
      <c r="H122" s="419">
        <v>100</v>
      </c>
      <c r="I122" s="90"/>
      <c r="J122" s="414">
        <f t="shared" si="13"/>
        <v>0</v>
      </c>
      <c r="K122" s="90"/>
      <c r="L122" s="409"/>
      <c r="M122" s="91"/>
      <c r="N122" s="91"/>
    </row>
    <row r="123" spans="1:14" ht="12.75" x14ac:dyDescent="0.2">
      <c r="A123" s="408">
        <f t="shared" si="12"/>
        <v>29</v>
      </c>
      <c r="B123" s="90"/>
      <c r="C123" s="408" t="s">
        <v>698</v>
      </c>
      <c r="D123" s="90"/>
      <c r="E123" s="415" t="s">
        <v>699</v>
      </c>
      <c r="F123" s="412">
        <f>'Total Co Accts Activ C2.2p1-11'!O422</f>
        <v>7111835</v>
      </c>
      <c r="G123" s="90"/>
      <c r="H123" s="419">
        <v>100</v>
      </c>
      <c r="I123" s="90"/>
      <c r="J123" s="414">
        <f t="shared" si="13"/>
        <v>7111835</v>
      </c>
      <c r="K123" s="90"/>
      <c r="L123" s="409"/>
      <c r="M123" s="91"/>
      <c r="N123" s="91"/>
    </row>
    <row r="124" spans="1:14" ht="12.75" x14ac:dyDescent="0.2">
      <c r="A124" s="408">
        <f t="shared" si="12"/>
        <v>30</v>
      </c>
      <c r="B124" s="90"/>
      <c r="C124" s="408" t="s">
        <v>700</v>
      </c>
      <c r="D124" s="90"/>
      <c r="E124" s="415" t="s">
        <v>701</v>
      </c>
      <c r="F124" s="412">
        <f>'Total Co Accts Activ C2.2p1-11'!O427</f>
        <v>116906</v>
      </c>
      <c r="G124" s="90"/>
      <c r="H124" s="419">
        <v>100</v>
      </c>
      <c r="I124" s="90"/>
      <c r="J124" s="414">
        <f t="shared" si="13"/>
        <v>116906</v>
      </c>
      <c r="K124" s="90"/>
      <c r="L124" s="409"/>
      <c r="M124" s="91"/>
      <c r="N124" s="91"/>
    </row>
    <row r="125" spans="1:14" ht="12.75" x14ac:dyDescent="0.2">
      <c r="A125" s="408">
        <f t="shared" si="12"/>
        <v>31</v>
      </c>
      <c r="B125" s="90"/>
      <c r="C125" s="408" t="s">
        <v>702</v>
      </c>
      <c r="D125" s="90"/>
      <c r="E125" s="415" t="s">
        <v>703</v>
      </c>
      <c r="F125" s="412">
        <f>'Total Co Accts Activ C2.2p1-11'!O432</f>
        <v>688690</v>
      </c>
      <c r="G125" s="90"/>
      <c r="H125" s="419">
        <v>100</v>
      </c>
      <c r="I125" s="90"/>
      <c r="J125" s="414">
        <f t="shared" si="13"/>
        <v>688690</v>
      </c>
      <c r="K125" s="90"/>
      <c r="L125" s="409"/>
      <c r="M125" s="91"/>
      <c r="N125" s="91"/>
    </row>
    <row r="126" spans="1:14" ht="12.75" x14ac:dyDescent="0.2">
      <c r="A126" s="408">
        <f t="shared" si="12"/>
        <v>32</v>
      </c>
      <c r="B126" s="90"/>
      <c r="C126" s="408" t="s">
        <v>704</v>
      </c>
      <c r="D126" s="90"/>
      <c r="E126" s="415" t="s">
        <v>705</v>
      </c>
      <c r="F126" s="412">
        <f>'Total Co Accts Activ C2.2p1-11'!O449</f>
        <v>1065360</v>
      </c>
      <c r="G126" s="90"/>
      <c r="H126" s="419">
        <v>100</v>
      </c>
      <c r="I126" s="90"/>
      <c r="J126" s="414">
        <f t="shared" si="13"/>
        <v>1065360</v>
      </c>
      <c r="K126" s="90"/>
      <c r="L126" s="409"/>
      <c r="M126" s="91"/>
      <c r="N126" s="91"/>
    </row>
    <row r="127" spans="1:14" ht="12.75" x14ac:dyDescent="0.2">
      <c r="A127" s="408">
        <f t="shared" si="12"/>
        <v>33</v>
      </c>
      <c r="B127" s="90"/>
      <c r="C127" s="408" t="s">
        <v>706</v>
      </c>
      <c r="D127" s="90"/>
      <c r="E127" s="415" t="s">
        <v>707</v>
      </c>
      <c r="F127" s="412">
        <f>'Total Co Accts Activ C2.2p1-11'!O454</f>
        <v>0</v>
      </c>
      <c r="G127" s="90"/>
      <c r="H127" s="419">
        <v>100</v>
      </c>
      <c r="I127" s="90"/>
      <c r="J127" s="414">
        <f t="shared" si="13"/>
        <v>0</v>
      </c>
      <c r="K127" s="90"/>
      <c r="L127" s="90"/>
      <c r="M127" s="91"/>
      <c r="N127" s="91"/>
    </row>
    <row r="128" spans="1:14" ht="12.75" x14ac:dyDescent="0.2">
      <c r="A128" s="408">
        <f t="shared" si="12"/>
        <v>34</v>
      </c>
      <c r="B128" s="90"/>
      <c r="C128" s="408" t="s">
        <v>708</v>
      </c>
      <c r="D128" s="90"/>
      <c r="E128" s="415" t="s">
        <v>709</v>
      </c>
      <c r="F128" s="412">
        <f>'Total Co Accts Activ C2.2p1-11'!O459</f>
        <v>302664</v>
      </c>
      <c r="G128" s="90"/>
      <c r="H128" s="419">
        <v>100</v>
      </c>
      <c r="I128" s="90"/>
      <c r="J128" s="414">
        <f t="shared" si="13"/>
        <v>302664</v>
      </c>
      <c r="K128" s="90"/>
      <c r="L128" s="409"/>
      <c r="M128" s="91"/>
      <c r="N128" s="91"/>
    </row>
    <row r="129" spans="1:14" ht="12.75" x14ac:dyDescent="0.2">
      <c r="A129" s="408">
        <f t="shared" si="12"/>
        <v>35</v>
      </c>
      <c r="B129" s="90"/>
      <c r="C129" s="408" t="s">
        <v>710</v>
      </c>
      <c r="D129" s="90"/>
      <c r="E129" s="415" t="s">
        <v>711</v>
      </c>
      <c r="F129" s="412">
        <f>'Total Co Accts Activ C2.2p1-11'!O464</f>
        <v>0</v>
      </c>
      <c r="G129" s="90"/>
      <c r="H129" s="419">
        <v>100</v>
      </c>
      <c r="I129" s="90"/>
      <c r="J129" s="414">
        <f t="shared" si="13"/>
        <v>0</v>
      </c>
      <c r="K129" s="90"/>
      <c r="L129" s="409"/>
      <c r="M129" s="91"/>
      <c r="N129" s="91"/>
    </row>
    <row r="130" spans="1:14" ht="12.75" x14ac:dyDescent="0.2">
      <c r="A130" s="408">
        <f t="shared" si="12"/>
        <v>36</v>
      </c>
      <c r="B130" s="90"/>
      <c r="C130" s="408" t="s">
        <v>712</v>
      </c>
      <c r="D130" s="90"/>
      <c r="E130" s="415" t="s">
        <v>749</v>
      </c>
      <c r="F130" s="412">
        <f>'Total Co Accts Activ C2.2p1-11'!O469</f>
        <v>53245</v>
      </c>
      <c r="G130" s="90"/>
      <c r="H130" s="419">
        <v>100</v>
      </c>
      <c r="I130" s="90"/>
      <c r="J130" s="414">
        <f t="shared" si="13"/>
        <v>53245</v>
      </c>
      <c r="K130" s="90"/>
      <c r="L130" s="409"/>
      <c r="M130" s="91"/>
      <c r="N130" s="91"/>
    </row>
    <row r="131" spans="1:14" ht="12.75" x14ac:dyDescent="0.2">
      <c r="A131" s="408">
        <f t="shared" si="12"/>
        <v>37</v>
      </c>
      <c r="B131" s="90"/>
      <c r="C131" s="408" t="s">
        <v>713</v>
      </c>
      <c r="D131" s="90"/>
      <c r="E131" s="415" t="s">
        <v>714</v>
      </c>
      <c r="F131" s="913">
        <f>'Total Co Accts Activ C2.2p1-11'!O474</f>
        <v>6958</v>
      </c>
      <c r="G131" s="90"/>
      <c r="H131" s="419">
        <v>100</v>
      </c>
      <c r="I131" s="90"/>
      <c r="J131" s="420">
        <f t="shared" si="13"/>
        <v>6958</v>
      </c>
      <c r="K131" s="90"/>
      <c r="L131" s="409"/>
      <c r="M131" s="91"/>
      <c r="N131" s="91"/>
    </row>
    <row r="132" spans="1:14" ht="12.75" x14ac:dyDescent="0.2">
      <c r="A132" s="408">
        <f t="shared" si="12"/>
        <v>38</v>
      </c>
      <c r="B132" s="90"/>
      <c r="C132" s="409"/>
      <c r="D132" s="90"/>
      <c r="E132" s="415" t="s">
        <v>715</v>
      </c>
      <c r="F132" s="128">
        <f>SUM(F120:F131)</f>
        <v>10655757</v>
      </c>
      <c r="G132" s="90"/>
      <c r="H132" s="431" t="s">
        <v>549</v>
      </c>
      <c r="I132" s="90"/>
      <c r="J132" s="128">
        <f>SUM(J120:J131)</f>
        <v>10655757</v>
      </c>
      <c r="K132" s="409"/>
      <c r="L132" s="409"/>
      <c r="M132" s="91"/>
      <c r="N132" s="91"/>
    </row>
    <row r="133" spans="1:14" ht="12.75" x14ac:dyDescent="0.2">
      <c r="A133" s="92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1"/>
      <c r="N133" s="91"/>
    </row>
    <row r="134" spans="1:14" ht="12.75" x14ac:dyDescent="0.2">
      <c r="A134" s="408">
        <f>1+A132</f>
        <v>39</v>
      </c>
      <c r="B134" s="90"/>
      <c r="C134" s="409"/>
      <c r="D134" s="90"/>
      <c r="E134" s="418" t="s">
        <v>716</v>
      </c>
      <c r="F134" s="414"/>
      <c r="G134" s="90"/>
      <c r="H134" s="430"/>
      <c r="I134" s="90"/>
      <c r="J134" s="414"/>
      <c r="K134" s="90"/>
      <c r="L134" s="409"/>
      <c r="M134" s="91"/>
      <c r="N134" s="91"/>
    </row>
    <row r="135" spans="1:14" ht="12.75" x14ac:dyDescent="0.2">
      <c r="A135" s="408">
        <f>1+A134</f>
        <v>40</v>
      </c>
      <c r="B135" s="90"/>
      <c r="C135" s="408" t="s">
        <v>717</v>
      </c>
      <c r="D135" s="90"/>
      <c r="E135" s="415" t="s">
        <v>718</v>
      </c>
      <c r="F135" s="724">
        <v>225</v>
      </c>
      <c r="G135" s="90"/>
      <c r="H135" s="419">
        <v>100</v>
      </c>
      <c r="I135" s="90"/>
      <c r="J135" s="420">
        <f>F135</f>
        <v>225</v>
      </c>
      <c r="K135" s="90"/>
      <c r="L135" s="408" t="s">
        <v>541</v>
      </c>
      <c r="M135" s="91"/>
      <c r="N135" s="91"/>
    </row>
    <row r="136" spans="1:14" ht="12.75" x14ac:dyDescent="0.2">
      <c r="A136" s="408">
        <f>1+A135</f>
        <v>41</v>
      </c>
      <c r="B136" s="90"/>
      <c r="C136" s="408"/>
      <c r="D136" s="90"/>
      <c r="E136" s="415" t="s">
        <v>719</v>
      </c>
      <c r="F136" s="128">
        <f>SUM(F135)</f>
        <v>225</v>
      </c>
      <c r="G136" s="90"/>
      <c r="H136" s="419">
        <v>100</v>
      </c>
      <c r="I136" s="90"/>
      <c r="J136" s="414">
        <f>F136</f>
        <v>225</v>
      </c>
      <c r="K136" s="90"/>
      <c r="L136" s="409"/>
      <c r="M136" s="91"/>
      <c r="N136" s="91"/>
    </row>
    <row r="137" spans="1:14" ht="12.75" x14ac:dyDescent="0.2">
      <c r="A137" s="92"/>
      <c r="B137" s="90"/>
      <c r="C137" s="92"/>
      <c r="D137" s="90"/>
      <c r="E137" s="90"/>
      <c r="F137" s="413"/>
      <c r="G137" s="90"/>
      <c r="H137" s="90"/>
      <c r="I137" s="90"/>
      <c r="J137" s="90"/>
      <c r="K137" s="90"/>
      <c r="L137" s="90"/>
      <c r="M137" s="91"/>
      <c r="N137" s="91"/>
    </row>
    <row r="138" spans="1:14" ht="13.5" thickBot="1" x14ac:dyDescent="0.25">
      <c r="A138" s="408">
        <f>1+A136</f>
        <v>42</v>
      </c>
      <c r="B138" s="90"/>
      <c r="C138" s="408"/>
      <c r="D138" s="90"/>
      <c r="E138" s="415" t="s">
        <v>720</v>
      </c>
      <c r="F138" s="132">
        <f>'Oper Rev&amp;Exp by Accts C2.1p1-2'!F51+'Oper Rev&amp;Exp by Accts C2.1p1-2'!F64+'Oper Rev&amp;Exp by Accts C2.1p1-2'!F76+'Oper Rev&amp;Exp by Accts C2.1p1-2'!F100+'Oper Rev&amp;Exp by Accts C2.1p1-2'!F110+'Oper Rev&amp;Exp by Accts C2.1p1-2'!F117+'Oper Rev&amp;Exp by Accts C2.1p1-2'!F132+'Oper Rev&amp;Exp by Accts C2.1p1-2'!F136+'Oper Rev&amp;Exp by Accts C2.1p1-2'!F39</f>
        <v>182978365</v>
      </c>
      <c r="G138" s="90"/>
      <c r="H138" s="419">
        <v>100</v>
      </c>
      <c r="I138" s="90"/>
      <c r="J138" s="432">
        <f>F138</f>
        <v>182978365</v>
      </c>
      <c r="K138" s="90"/>
      <c r="L138" s="409"/>
      <c r="M138" s="91"/>
      <c r="N138" s="91"/>
    </row>
    <row r="139" spans="1:14" ht="13.5" thickTop="1" x14ac:dyDescent="0.2">
      <c r="A139" s="92"/>
      <c r="B139" s="90"/>
      <c r="C139" s="92"/>
      <c r="D139" s="90"/>
      <c r="E139" s="90"/>
      <c r="F139" s="413"/>
      <c r="G139" s="90"/>
      <c r="H139" s="90"/>
      <c r="I139" s="90"/>
      <c r="J139" s="90"/>
      <c r="K139" s="90"/>
      <c r="L139" s="90"/>
      <c r="M139" s="91"/>
      <c r="N139" s="91"/>
    </row>
    <row r="140" spans="1:14" ht="12.75" x14ac:dyDescent="0.2">
      <c r="A140" s="408">
        <f>1+A138</f>
        <v>43</v>
      </c>
      <c r="B140" s="90"/>
      <c r="C140" s="408" t="s">
        <v>721</v>
      </c>
      <c r="D140" s="90"/>
      <c r="E140" s="415" t="s">
        <v>722</v>
      </c>
      <c r="F140" s="412">
        <f>'Total Co Accts Activ C2.2p1-11'!O14+'Total Co Accts Activ C2.2p1-11'!O17</f>
        <v>5600958</v>
      </c>
      <c r="G140" s="90"/>
      <c r="H140" s="419">
        <v>100</v>
      </c>
      <c r="I140" s="90"/>
      <c r="J140" s="414">
        <f>F140</f>
        <v>5600958</v>
      </c>
      <c r="K140" s="90"/>
      <c r="L140" s="415" t="s">
        <v>549</v>
      </c>
      <c r="M140" s="91"/>
      <c r="N140" s="91"/>
    </row>
    <row r="141" spans="1:14" ht="12.75" x14ac:dyDescent="0.2">
      <c r="A141" s="408">
        <f>1+A140</f>
        <v>44</v>
      </c>
      <c r="B141" s="90"/>
      <c r="C141" s="408" t="s">
        <v>723</v>
      </c>
      <c r="D141" s="90"/>
      <c r="E141" s="415" t="s">
        <v>724</v>
      </c>
      <c r="F141" s="412">
        <f>'Total Co Accts Activ C2.2p1-11'!O23</f>
        <v>2569465</v>
      </c>
      <c r="G141" s="90"/>
      <c r="H141" s="419">
        <v>100</v>
      </c>
      <c r="I141" s="90"/>
      <c r="J141" s="414">
        <f>F141</f>
        <v>2569465</v>
      </c>
      <c r="K141" s="90"/>
      <c r="L141" s="409"/>
      <c r="M141" s="91"/>
      <c r="N141" s="91"/>
    </row>
    <row r="142" spans="1:14" ht="12.75" x14ac:dyDescent="0.2">
      <c r="A142" s="408">
        <f>1+A141</f>
        <v>45</v>
      </c>
      <c r="B142" s="90"/>
      <c r="C142" s="408" t="s">
        <v>1146</v>
      </c>
      <c r="D142" s="90"/>
      <c r="E142" s="415" t="s">
        <v>513</v>
      </c>
      <c r="F142" s="412">
        <f>'Total Co Accts Activ C2.2p1-11'!O26</f>
        <v>5534504</v>
      </c>
      <c r="G142" s="90"/>
      <c r="H142" s="419">
        <v>100</v>
      </c>
      <c r="I142" s="90"/>
      <c r="J142" s="414">
        <f>F142</f>
        <v>5534504</v>
      </c>
      <c r="K142" s="90"/>
      <c r="L142" s="409"/>
      <c r="M142" s="91"/>
      <c r="N142" s="91"/>
    </row>
    <row r="143" spans="1:14" ht="12.75" x14ac:dyDescent="0.2">
      <c r="A143" s="408">
        <f>1+A142</f>
        <v>46</v>
      </c>
      <c r="B143" s="90"/>
      <c r="C143" s="408" t="s">
        <v>1146</v>
      </c>
      <c r="D143" s="90"/>
      <c r="E143" s="415" t="s">
        <v>512</v>
      </c>
      <c r="F143" s="130">
        <f>'Total Co Accts Activ C2.2p1-11'!O29</f>
        <v>1007560</v>
      </c>
      <c r="G143" s="90"/>
      <c r="H143" s="419">
        <v>100</v>
      </c>
      <c r="I143" s="90"/>
      <c r="J143" s="420">
        <f>F143</f>
        <v>1007560</v>
      </c>
      <c r="K143" s="90"/>
      <c r="L143" s="409"/>
      <c r="M143" s="91"/>
      <c r="N143" s="91"/>
    </row>
    <row r="144" spans="1:14" ht="12.75" x14ac:dyDescent="0.2">
      <c r="A144" s="92"/>
      <c r="B144" s="90"/>
      <c r="C144" s="90"/>
      <c r="D144" s="90"/>
      <c r="E144" s="90"/>
      <c r="F144" s="413"/>
      <c r="G144" s="90"/>
      <c r="H144" s="430"/>
      <c r="I144" s="90"/>
      <c r="J144" s="90"/>
      <c r="K144" s="90"/>
      <c r="L144" s="90"/>
      <c r="M144" s="91"/>
      <c r="N144" s="91"/>
    </row>
    <row r="145" spans="1:14" ht="13.5" thickBot="1" x14ac:dyDescent="0.25">
      <c r="A145" s="408">
        <f>1+A143</f>
        <v>47</v>
      </c>
      <c r="B145" s="90"/>
      <c r="C145" s="409"/>
      <c r="D145" s="90"/>
      <c r="E145" s="415" t="s">
        <v>725</v>
      </c>
      <c r="F145" s="132">
        <f>(F138+F140+F141+F142+F143)</f>
        <v>197690852</v>
      </c>
      <c r="G145" s="90"/>
      <c r="H145" s="419">
        <v>100</v>
      </c>
      <c r="I145" s="90"/>
      <c r="J145" s="349">
        <f>(J138+J140+J141+J142+J143)</f>
        <v>197690852</v>
      </c>
      <c r="K145" s="90"/>
      <c r="L145" s="409"/>
      <c r="M145" s="91"/>
      <c r="N145" s="91"/>
    </row>
    <row r="146" spans="1:14" ht="13.5" thickTop="1" x14ac:dyDescent="0.2">
      <c r="A146" s="92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1"/>
      <c r="N146" s="91"/>
    </row>
    <row r="147" spans="1:14" ht="13.5" thickBot="1" x14ac:dyDescent="0.25">
      <c r="A147" s="408">
        <f>1+A145</f>
        <v>48</v>
      </c>
      <c r="B147" s="90"/>
      <c r="C147" s="409"/>
      <c r="D147" s="90"/>
      <c r="E147" s="415" t="s">
        <v>726</v>
      </c>
      <c r="F147" s="132">
        <f>+'Oper Rev&amp;Exp by Accts C2.1p1-2'!F30-'Oper Rev&amp;Exp by Accts C2.1p1-2'!F145</f>
        <v>10738029</v>
      </c>
      <c r="G147" s="90"/>
      <c r="H147" s="419">
        <v>100</v>
      </c>
      <c r="I147" s="90"/>
      <c r="J147" s="349">
        <f>F147</f>
        <v>10738029</v>
      </c>
      <c r="K147" s="90"/>
      <c r="L147" s="409"/>
      <c r="M147" s="91"/>
      <c r="N147" s="91"/>
    </row>
    <row r="148" spans="1:14" ht="13.5" thickTop="1" x14ac:dyDescent="0.2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1"/>
      <c r="N148" s="91"/>
    </row>
    <row r="149" spans="1:14" ht="11.25" x14ac:dyDescent="0.2">
      <c r="A149" s="417"/>
      <c r="B149" s="91"/>
      <c r="C149" s="91"/>
      <c r="D149" s="91"/>
      <c r="E149" s="91"/>
      <c r="F149" s="897"/>
      <c r="G149" s="91"/>
      <c r="H149" s="91"/>
      <c r="I149" s="91"/>
      <c r="J149" s="91"/>
      <c r="K149" s="91"/>
      <c r="L149" s="91"/>
      <c r="M149" s="91"/>
      <c r="N149" s="91"/>
    </row>
    <row r="150" spans="1:14" ht="11.25" x14ac:dyDescent="0.2">
      <c r="A150" s="417"/>
      <c r="B150" s="91"/>
      <c r="C150" s="91"/>
      <c r="D150" s="91"/>
      <c r="E150" s="91"/>
      <c r="F150" s="897"/>
      <c r="G150" s="91"/>
      <c r="H150" s="91"/>
      <c r="I150" s="91"/>
      <c r="J150" s="91"/>
      <c r="K150" s="91"/>
      <c r="L150" s="91"/>
      <c r="M150" s="91"/>
      <c r="N150" s="91"/>
    </row>
    <row r="151" spans="1:14" ht="11.25" x14ac:dyDescent="0.2">
      <c r="A151" s="417"/>
      <c r="B151" s="91"/>
      <c r="C151" s="91"/>
      <c r="D151" s="91"/>
      <c r="E151" s="91"/>
      <c r="F151" s="897"/>
      <c r="G151" s="91"/>
      <c r="H151" s="91"/>
      <c r="I151" s="91"/>
      <c r="J151" s="91"/>
      <c r="K151" s="91"/>
      <c r="L151" s="91"/>
      <c r="M151" s="91"/>
      <c r="N151" s="91"/>
    </row>
    <row r="152" spans="1:14" ht="11.25" x14ac:dyDescent="0.2">
      <c r="A152" s="417"/>
      <c r="B152" s="91"/>
      <c r="C152" s="91"/>
      <c r="D152" s="91"/>
      <c r="E152" s="91"/>
      <c r="F152" s="897"/>
      <c r="G152" s="91"/>
      <c r="H152" s="91"/>
      <c r="I152" s="91"/>
      <c r="J152" s="91"/>
      <c r="K152" s="91"/>
      <c r="L152" s="91"/>
      <c r="M152" s="91"/>
      <c r="N152" s="91"/>
    </row>
    <row r="153" spans="1:14" ht="11.25" x14ac:dyDescent="0.2">
      <c r="A153" s="417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</row>
    <row r="154" spans="1:14" ht="11.25" x14ac:dyDescent="0.2">
      <c r="A154" s="417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</row>
    <row r="155" spans="1:14" ht="11.25" x14ac:dyDescent="0.2">
      <c r="A155" s="417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</row>
    <row r="156" spans="1:14" ht="11.25" x14ac:dyDescent="0.2">
      <c r="A156" s="417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</row>
    <row r="157" spans="1:14" ht="11.25" x14ac:dyDescent="0.2">
      <c r="A157" s="417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</row>
    <row r="158" spans="1:14" ht="11.25" x14ac:dyDescent="0.2">
      <c r="A158" s="417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</row>
    <row r="159" spans="1:14" ht="11.25" x14ac:dyDescent="0.2">
      <c r="A159" s="417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</row>
    <row r="160" spans="1:14" ht="11.25" x14ac:dyDescent="0.2">
      <c r="A160" s="417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</row>
    <row r="161" spans="1:14" ht="11.25" x14ac:dyDescent="0.2">
      <c r="A161" s="417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</row>
    <row r="162" spans="1:14" ht="11.25" x14ac:dyDescent="0.2">
      <c r="A162" s="417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</row>
    <row r="163" spans="1:14" ht="11.25" x14ac:dyDescent="0.2">
      <c r="A163" s="417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</row>
    <row r="164" spans="1:14" ht="11.25" x14ac:dyDescent="0.2">
      <c r="A164" s="417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</row>
    <row r="165" spans="1:14" ht="11.25" x14ac:dyDescent="0.2">
      <c r="A165" s="417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</row>
    <row r="166" spans="1:14" ht="11.25" x14ac:dyDescent="0.2">
      <c r="A166" s="417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</row>
    <row r="167" spans="1:14" ht="11.25" x14ac:dyDescent="0.2">
      <c r="A167" s="417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</row>
    <row r="168" spans="1:14" ht="11.25" x14ac:dyDescent="0.2">
      <c r="A168" s="417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</row>
    <row r="169" spans="1:14" ht="11.25" x14ac:dyDescent="0.2">
      <c r="A169" s="417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</row>
    <row r="170" spans="1:14" ht="11.25" x14ac:dyDescent="0.2">
      <c r="A170" s="417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</row>
    <row r="171" spans="1:14" ht="11.25" x14ac:dyDescent="0.2">
      <c r="A171" s="417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</row>
    <row r="172" spans="1:14" ht="11.25" x14ac:dyDescent="0.2">
      <c r="A172" s="417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</row>
    <row r="173" spans="1:14" ht="11.25" x14ac:dyDescent="0.2">
      <c r="A173" s="417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</row>
    <row r="174" spans="1:14" ht="11.25" x14ac:dyDescent="0.2">
      <c r="A174" s="417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</row>
    <row r="175" spans="1:14" ht="11.25" x14ac:dyDescent="0.2">
      <c r="A175" s="417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</row>
    <row r="176" spans="1:14" ht="11.25" x14ac:dyDescent="0.2">
      <c r="A176" s="417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</row>
    <row r="177" spans="1:14" ht="11.25" x14ac:dyDescent="0.2">
      <c r="A177" s="417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</row>
    <row r="178" spans="1:14" ht="11.25" x14ac:dyDescent="0.2">
      <c r="A178" s="417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</row>
    <row r="179" spans="1:14" ht="11.25" x14ac:dyDescent="0.2">
      <c r="A179" s="417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</row>
    <row r="180" spans="1:14" ht="11.25" x14ac:dyDescent="0.2">
      <c r="A180" s="417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</row>
    <row r="181" spans="1:14" ht="11.25" x14ac:dyDescent="0.2">
      <c r="A181" s="417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</row>
    <row r="182" spans="1:14" ht="11.25" x14ac:dyDescent="0.2">
      <c r="A182" s="417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</row>
    <row r="183" spans="1:14" ht="11.25" x14ac:dyDescent="0.2">
      <c r="A183" s="417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</row>
    <row r="184" spans="1:14" ht="11.25" x14ac:dyDescent="0.2">
      <c r="A184" s="417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</row>
    <row r="185" spans="1:14" ht="11.25" x14ac:dyDescent="0.2">
      <c r="A185" s="417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</row>
    <row r="186" spans="1:14" ht="11.25" x14ac:dyDescent="0.2">
      <c r="A186" s="417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</row>
    <row r="187" spans="1:14" ht="11.25" x14ac:dyDescent="0.2">
      <c r="A187" s="417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</row>
    <row r="188" spans="1:14" ht="11.25" x14ac:dyDescent="0.2">
      <c r="A188" s="417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</row>
    <row r="189" spans="1:14" ht="11.25" x14ac:dyDescent="0.2">
      <c r="A189" s="417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</row>
    <row r="190" spans="1:14" ht="11.25" x14ac:dyDescent="0.2">
      <c r="A190" s="417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</row>
    <row r="191" spans="1:14" ht="11.25" x14ac:dyDescent="0.2">
      <c r="A191" s="417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</row>
    <row r="192" spans="1:14" ht="11.25" x14ac:dyDescent="0.2">
      <c r="A192" s="417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</row>
    <row r="193" spans="1:14" ht="11.25" x14ac:dyDescent="0.2">
      <c r="A193" s="417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</row>
    <row r="194" spans="1:14" ht="11.25" x14ac:dyDescent="0.2">
      <c r="A194" s="417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</row>
    <row r="195" spans="1:14" ht="11.25" x14ac:dyDescent="0.2">
      <c r="A195" s="417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</row>
    <row r="196" spans="1:14" ht="11.25" x14ac:dyDescent="0.2">
      <c r="A196" s="417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</row>
    <row r="197" spans="1:14" ht="11.25" x14ac:dyDescent="0.2">
      <c r="A197" s="417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</row>
    <row r="198" spans="1:14" ht="11.25" x14ac:dyDescent="0.2">
      <c r="A198" s="417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</row>
    <row r="199" spans="1:14" ht="11.25" x14ac:dyDescent="0.2">
      <c r="A199" s="417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</row>
    <row r="200" spans="1:14" ht="11.25" x14ac:dyDescent="0.2">
      <c r="A200" s="417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</row>
    <row r="201" spans="1:14" ht="11.25" x14ac:dyDescent="0.2">
      <c r="A201" s="417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</row>
    <row r="202" spans="1:14" ht="11.25" x14ac:dyDescent="0.2">
      <c r="A202" s="417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</row>
    <row r="203" spans="1:14" ht="11.25" x14ac:dyDescent="0.2">
      <c r="A203" s="417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</row>
    <row r="204" spans="1:14" ht="11.25" x14ac:dyDescent="0.2">
      <c r="A204" s="417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</row>
    <row r="205" spans="1:14" ht="11.25" x14ac:dyDescent="0.2">
      <c r="A205" s="417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</row>
    <row r="206" spans="1:14" ht="11.25" x14ac:dyDescent="0.2">
      <c r="A206" s="417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</row>
    <row r="207" spans="1:14" ht="11.25" x14ac:dyDescent="0.2">
      <c r="A207" s="417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</row>
    <row r="208" spans="1:14" ht="11.25" x14ac:dyDescent="0.2">
      <c r="A208" s="417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</row>
    <row r="209" spans="1:14" ht="11.25" x14ac:dyDescent="0.2">
      <c r="A209" s="417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</row>
    <row r="210" spans="1:14" ht="11.25" x14ac:dyDescent="0.2">
      <c r="A210" s="417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</row>
    <row r="211" spans="1:14" ht="11.25" x14ac:dyDescent="0.2">
      <c r="A211" s="417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</row>
    <row r="212" spans="1:14" ht="11.25" x14ac:dyDescent="0.2">
      <c r="A212" s="417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</row>
    <row r="213" spans="1:14" ht="11.25" x14ac:dyDescent="0.2">
      <c r="A213" s="417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</row>
    <row r="214" spans="1:14" ht="11.25" x14ac:dyDescent="0.2">
      <c r="A214" s="417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</row>
    <row r="215" spans="1:14" ht="11.25" x14ac:dyDescent="0.2">
      <c r="A215" s="417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</row>
    <row r="216" spans="1:14" ht="11.25" x14ac:dyDescent="0.2">
      <c r="A216" s="417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</row>
    <row r="217" spans="1:14" ht="11.25" x14ac:dyDescent="0.2">
      <c r="A217" s="417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</row>
    <row r="218" spans="1:14" ht="11.25" x14ac:dyDescent="0.2">
      <c r="A218" s="417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</row>
    <row r="219" spans="1:14" ht="11.25" x14ac:dyDescent="0.2">
      <c r="A219" s="417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</row>
    <row r="220" spans="1:14" ht="11.25" x14ac:dyDescent="0.2">
      <c r="A220" s="417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</row>
    <row r="221" spans="1:14" ht="11.25" x14ac:dyDescent="0.2">
      <c r="A221" s="417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</row>
    <row r="222" spans="1:14" ht="11.25" x14ac:dyDescent="0.2">
      <c r="A222" s="417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</row>
    <row r="223" spans="1:14" ht="11.25" x14ac:dyDescent="0.2">
      <c r="A223" s="417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</row>
    <row r="224" spans="1:14" ht="11.25" x14ac:dyDescent="0.2">
      <c r="A224" s="417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</row>
    <row r="225" spans="1:14" ht="11.25" x14ac:dyDescent="0.2">
      <c r="A225" s="417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</row>
    <row r="226" spans="1:14" ht="11.25" x14ac:dyDescent="0.2">
      <c r="A226" s="417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</row>
    <row r="227" spans="1:14" ht="11.25" x14ac:dyDescent="0.2">
      <c r="A227" s="417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</row>
    <row r="228" spans="1:14" ht="11.25" x14ac:dyDescent="0.2">
      <c r="A228" s="417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</row>
    <row r="229" spans="1:14" ht="11.25" x14ac:dyDescent="0.2">
      <c r="A229" s="417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</row>
    <row r="230" spans="1:14" ht="11.25" x14ac:dyDescent="0.2">
      <c r="A230" s="417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</row>
    <row r="231" spans="1:14" ht="11.25" x14ac:dyDescent="0.2">
      <c r="A231" s="417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</row>
    <row r="232" spans="1:14" ht="11.25" x14ac:dyDescent="0.2">
      <c r="A232" s="417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</row>
    <row r="233" spans="1:14" ht="11.25" x14ac:dyDescent="0.2">
      <c r="A233" s="417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</row>
    <row r="234" spans="1:14" ht="11.25" x14ac:dyDescent="0.2">
      <c r="A234" s="417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</row>
    <row r="235" spans="1:14" ht="11.25" x14ac:dyDescent="0.2">
      <c r="A235" s="417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</row>
    <row r="236" spans="1:14" ht="11.25" x14ac:dyDescent="0.2">
      <c r="A236" s="417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</row>
    <row r="237" spans="1:14" ht="11.25" x14ac:dyDescent="0.2">
      <c r="A237" s="417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</row>
    <row r="238" spans="1:14" ht="11.25" x14ac:dyDescent="0.2">
      <c r="A238" s="417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</row>
    <row r="239" spans="1:14" ht="11.25" x14ac:dyDescent="0.2">
      <c r="A239" s="417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</row>
    <row r="240" spans="1:14" ht="11.25" x14ac:dyDescent="0.2">
      <c r="A240" s="417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</row>
    <row r="241" spans="1:14" ht="11.25" x14ac:dyDescent="0.2">
      <c r="A241" s="417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</row>
    <row r="242" spans="1:14" ht="11.25" x14ac:dyDescent="0.2">
      <c r="A242" s="417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</row>
    <row r="243" spans="1:14" ht="11.25" x14ac:dyDescent="0.2">
      <c r="A243" s="417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</row>
    <row r="244" spans="1:14" ht="11.25" x14ac:dyDescent="0.2">
      <c r="A244" s="417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</row>
    <row r="245" spans="1:14" ht="11.25" x14ac:dyDescent="0.2">
      <c r="A245" s="417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</row>
    <row r="246" spans="1:14" ht="11.25" x14ac:dyDescent="0.2">
      <c r="A246" s="417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</row>
    <row r="247" spans="1:14" ht="11.25" x14ac:dyDescent="0.2">
      <c r="A247" s="417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</row>
    <row r="248" spans="1:14" ht="11.25" x14ac:dyDescent="0.2">
      <c r="A248" s="417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</row>
    <row r="249" spans="1:14" ht="11.25" x14ac:dyDescent="0.2">
      <c r="A249" s="417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</row>
    <row r="250" spans="1:14" ht="11.25" x14ac:dyDescent="0.2">
      <c r="A250" s="417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</row>
    <row r="251" spans="1:14" ht="11.25" x14ac:dyDescent="0.2">
      <c r="A251" s="417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</row>
    <row r="252" spans="1:14" ht="11.25" x14ac:dyDescent="0.2">
      <c r="A252" s="417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</row>
    <row r="253" spans="1:14" ht="11.25" x14ac:dyDescent="0.2">
      <c r="A253" s="417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</row>
    <row r="254" spans="1:14" ht="11.25" x14ac:dyDescent="0.2">
      <c r="A254" s="417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</row>
    <row r="255" spans="1:14" ht="11.25" x14ac:dyDescent="0.2">
      <c r="A255" s="417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</row>
    <row r="256" spans="1:14" ht="11.25" x14ac:dyDescent="0.2">
      <c r="A256" s="417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</row>
    <row r="257" spans="1:14" ht="11.25" x14ac:dyDescent="0.2">
      <c r="A257" s="417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</row>
    <row r="258" spans="1:14" ht="11.25" x14ac:dyDescent="0.2">
      <c r="A258" s="417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</row>
    <row r="259" spans="1:14" ht="11.25" x14ac:dyDescent="0.2">
      <c r="A259" s="417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</row>
    <row r="260" spans="1:14" ht="11.25" x14ac:dyDescent="0.2">
      <c r="A260" s="417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</row>
    <row r="261" spans="1:14" ht="11.25" x14ac:dyDescent="0.2">
      <c r="A261" s="417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</row>
    <row r="262" spans="1:14" ht="11.25" x14ac:dyDescent="0.2">
      <c r="A262" s="417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</row>
    <row r="263" spans="1:14" ht="11.25" x14ac:dyDescent="0.2">
      <c r="A263" s="417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</row>
    <row r="264" spans="1:14" ht="11.25" x14ac:dyDescent="0.2">
      <c r="A264" s="417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</row>
    <row r="265" spans="1:14" ht="11.25" x14ac:dyDescent="0.2">
      <c r="A265" s="417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</row>
    <row r="266" spans="1:14" ht="11.25" x14ac:dyDescent="0.2">
      <c r="A266" s="417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</row>
    <row r="267" spans="1:14" ht="11.25" x14ac:dyDescent="0.2">
      <c r="A267" s="417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</row>
    <row r="268" spans="1:14" ht="11.25" x14ac:dyDescent="0.2">
      <c r="A268" s="417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</row>
    <row r="269" spans="1:14" ht="11.25" x14ac:dyDescent="0.2">
      <c r="A269" s="417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</row>
  </sheetData>
  <mergeCells count="8">
    <mergeCell ref="A79:L79"/>
    <mergeCell ref="A80:L80"/>
    <mergeCell ref="A82:L82"/>
    <mergeCell ref="A81:L81"/>
    <mergeCell ref="A1:L1"/>
    <mergeCell ref="A3:L3"/>
    <mergeCell ref="A2:L2"/>
    <mergeCell ref="A4:L4"/>
  </mergeCells>
  <phoneticPr fontId="3" type="noConversion"/>
  <printOptions horizontalCentered="1"/>
  <pageMargins left="0.25" right="0.25" top="0.75" bottom="0.25" header="0.5" footer="0.5"/>
  <pageSetup scale="72" orientation="portrait" horizontalDpi="300" verticalDpi="300" r:id="rId1"/>
  <headerFooter alignWithMargins="0"/>
  <rowBreaks count="1" manualBreakCount="1">
    <brk id="77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9"/>
  <sheetViews>
    <sheetView zoomScaleNormal="100" workbookViewId="0">
      <selection activeCell="F142" sqref="F142"/>
    </sheetView>
  </sheetViews>
  <sheetFormatPr defaultColWidth="9.33203125" defaultRowHeight="10.5" x14ac:dyDescent="0.15"/>
  <cols>
    <col min="1" max="2" width="9.33203125" style="3"/>
    <col min="3" max="8" width="13" style="3" customWidth="1"/>
    <col min="9" max="14" width="13" style="924" customWidth="1"/>
    <col min="15" max="15" width="15.5" style="3" customWidth="1"/>
    <col min="16" max="16" width="12.1640625" style="5" bestFit="1" customWidth="1"/>
    <col min="17" max="17" width="11" style="3" bestFit="1" customWidth="1"/>
    <col min="18" max="16384" width="9.33203125" style="3"/>
  </cols>
  <sheetData>
    <row r="1" spans="1:21" s="2" customFormat="1" ht="12.75" x14ac:dyDescent="0.2">
      <c r="A1" s="1429" t="s">
        <v>477</v>
      </c>
      <c r="B1" s="1430"/>
      <c r="C1" s="1430"/>
      <c r="D1" s="1430"/>
      <c r="E1" s="1430"/>
      <c r="F1" s="1430"/>
      <c r="G1" s="1430"/>
      <c r="H1" s="1430"/>
      <c r="I1" s="1430"/>
      <c r="J1" s="1430"/>
      <c r="K1" s="1430"/>
      <c r="L1" s="1430"/>
      <c r="M1" s="1430"/>
      <c r="N1" s="1430"/>
      <c r="O1" s="1430"/>
      <c r="P1" s="435"/>
      <c r="Q1" s="436"/>
      <c r="R1" s="81"/>
      <c r="S1" s="81"/>
      <c r="T1" s="80"/>
      <c r="U1" s="80"/>
    </row>
    <row r="2" spans="1:21" s="2" customFormat="1" ht="12.75" x14ac:dyDescent="0.2">
      <c r="A2" s="1429" t="str">
        <f>+Input!C4</f>
        <v>CASE NO. 2017-xxxxx</v>
      </c>
      <c r="B2" s="1430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  <c r="N2" s="1430"/>
      <c r="O2" s="1430"/>
      <c r="P2" s="435"/>
      <c r="Q2" s="436"/>
      <c r="R2" s="81"/>
      <c r="S2" s="81"/>
      <c r="T2" s="80"/>
      <c r="U2" s="80"/>
    </row>
    <row r="3" spans="1:21" s="2" customFormat="1" ht="12.75" x14ac:dyDescent="0.2">
      <c r="A3" s="1429" t="s">
        <v>727</v>
      </c>
      <c r="B3" s="1430"/>
      <c r="C3" s="1430"/>
      <c r="D3" s="1430"/>
      <c r="E3" s="1430"/>
      <c r="F3" s="1430"/>
      <c r="G3" s="1430"/>
      <c r="H3" s="1430"/>
      <c r="I3" s="1430"/>
      <c r="J3" s="1430"/>
      <c r="K3" s="1430"/>
      <c r="L3" s="1430"/>
      <c r="M3" s="1430"/>
      <c r="N3" s="1430"/>
      <c r="O3" s="1430"/>
      <c r="P3" s="435"/>
      <c r="Q3" s="436"/>
      <c r="R3" s="81"/>
      <c r="S3" s="81"/>
      <c r="T3" s="80"/>
      <c r="U3" s="80"/>
    </row>
    <row r="4" spans="1:21" s="2" customFormat="1" ht="12.75" x14ac:dyDescent="0.2">
      <c r="A4" s="1429" t="str">
        <f>+Input!C23</f>
        <v>FOR THE HISTORIC PERIOD 12 MONTHS ENDED DECEMBER 31, 2017 AND PRIOR PERIOD DECEMBER 31, 2016</v>
      </c>
      <c r="B4" s="1430"/>
      <c r="C4" s="1430"/>
      <c r="D4" s="1430"/>
      <c r="E4" s="1430"/>
      <c r="F4" s="1430"/>
      <c r="G4" s="1430"/>
      <c r="H4" s="1430"/>
      <c r="I4" s="1430"/>
      <c r="J4" s="1430"/>
      <c r="K4" s="1430"/>
      <c r="L4" s="1430"/>
      <c r="M4" s="1430"/>
      <c r="N4" s="1430"/>
      <c r="O4" s="1430"/>
      <c r="P4" s="435"/>
      <c r="Q4" s="436"/>
      <c r="R4" s="81"/>
      <c r="S4" s="81"/>
      <c r="T4" s="80"/>
      <c r="U4" s="80"/>
    </row>
    <row r="5" spans="1:21" ht="12.75" x14ac:dyDescent="0.2">
      <c r="A5" s="436"/>
      <c r="B5" s="436"/>
      <c r="C5" s="437"/>
      <c r="D5" s="436"/>
      <c r="E5" s="436"/>
      <c r="F5" s="436"/>
      <c r="G5" s="438"/>
      <c r="H5" s="436"/>
      <c r="I5" s="453"/>
      <c r="J5" s="453"/>
      <c r="K5" s="453"/>
      <c r="L5" s="453"/>
      <c r="M5" s="453"/>
      <c r="N5" s="453"/>
      <c r="O5" s="436"/>
      <c r="P5" s="435"/>
      <c r="Q5" s="436"/>
      <c r="R5" s="81"/>
      <c r="S5" s="81"/>
      <c r="T5" s="80"/>
      <c r="U5" s="80"/>
    </row>
    <row r="6" spans="1:21" ht="12.75" x14ac:dyDescent="0.2">
      <c r="A6" s="439" t="s">
        <v>839</v>
      </c>
      <c r="B6" s="436"/>
      <c r="C6" s="436"/>
      <c r="D6" s="436"/>
      <c r="E6" s="436"/>
      <c r="F6" s="436"/>
      <c r="G6" s="436"/>
      <c r="H6" s="436"/>
      <c r="I6" s="453"/>
      <c r="J6" s="453"/>
      <c r="K6" s="453"/>
      <c r="L6" s="453"/>
      <c r="M6" s="927"/>
      <c r="N6" s="453"/>
      <c r="O6" s="813" t="s">
        <v>752</v>
      </c>
      <c r="P6" s="435"/>
      <c r="Q6" s="436"/>
      <c r="R6" s="81"/>
      <c r="S6" s="81"/>
      <c r="T6" s="80"/>
      <c r="U6" s="80"/>
    </row>
    <row r="7" spans="1:21" ht="12.75" x14ac:dyDescent="0.2">
      <c r="A7" s="439" t="s">
        <v>490</v>
      </c>
      <c r="B7" s="436"/>
      <c r="C7" s="436"/>
      <c r="D7" s="436"/>
      <c r="E7" s="436"/>
      <c r="F7" s="436"/>
      <c r="G7" s="436"/>
      <c r="H7" s="436"/>
      <c r="I7" s="453"/>
      <c r="J7" s="453"/>
      <c r="K7" s="453"/>
      <c r="L7" s="453"/>
      <c r="M7" s="927"/>
      <c r="N7" s="453"/>
      <c r="O7" s="813" t="s">
        <v>1716</v>
      </c>
      <c r="P7" s="435"/>
      <c r="Q7" s="436"/>
      <c r="R7" s="81"/>
      <c r="S7" s="81"/>
      <c r="T7" s="80"/>
      <c r="U7" s="80"/>
    </row>
    <row r="8" spans="1:21" ht="12.75" x14ac:dyDescent="0.2">
      <c r="A8" s="441" t="s">
        <v>840</v>
      </c>
      <c r="B8" s="442"/>
      <c r="C8" s="442"/>
      <c r="D8" s="442"/>
      <c r="E8" s="442"/>
      <c r="F8" s="442"/>
      <c r="G8" s="442"/>
      <c r="H8" s="442"/>
      <c r="I8" s="918"/>
      <c r="J8" s="918"/>
      <c r="K8" s="918"/>
      <c r="L8" s="918"/>
      <c r="M8" s="928"/>
      <c r="N8" s="918"/>
      <c r="O8" s="814" t="str">
        <f>+Input!E27</f>
        <v>WITNESS:  C. Y. LAI</v>
      </c>
      <c r="P8" s="435"/>
      <c r="Q8" s="436"/>
      <c r="R8" s="81"/>
      <c r="S8" s="81"/>
      <c r="T8" s="80"/>
      <c r="U8" s="80"/>
    </row>
    <row r="9" spans="1:21" ht="12.75" x14ac:dyDescent="0.2">
      <c r="A9" s="1431" t="s">
        <v>728</v>
      </c>
      <c r="B9" s="1431"/>
      <c r="C9" s="437"/>
      <c r="D9" s="436"/>
      <c r="E9" s="436"/>
      <c r="F9" s="436"/>
      <c r="G9" s="436"/>
      <c r="H9" s="436"/>
      <c r="I9" s="453"/>
      <c r="J9" s="453"/>
      <c r="K9" s="453"/>
      <c r="L9" s="453"/>
      <c r="M9" s="453"/>
      <c r="N9" s="453"/>
      <c r="O9" s="436"/>
      <c r="P9" s="435"/>
      <c r="Q9" s="436"/>
      <c r="R9" s="81"/>
      <c r="S9" s="81"/>
      <c r="T9" s="80"/>
      <c r="U9" s="80"/>
    </row>
    <row r="10" spans="1:21" ht="12.75" x14ac:dyDescent="0.2">
      <c r="A10" s="1432" t="s">
        <v>729</v>
      </c>
      <c r="B10" s="1432"/>
      <c r="C10" s="443" t="s">
        <v>1011</v>
      </c>
      <c r="D10" s="443" t="s">
        <v>731</v>
      </c>
      <c r="E10" s="443" t="s">
        <v>732</v>
      </c>
      <c r="F10" s="443" t="s">
        <v>733</v>
      </c>
      <c r="G10" s="443" t="s">
        <v>734</v>
      </c>
      <c r="H10" s="443" t="s">
        <v>735</v>
      </c>
      <c r="I10" s="919" t="s">
        <v>736</v>
      </c>
      <c r="J10" s="919" t="s">
        <v>737</v>
      </c>
      <c r="K10" s="925" t="s">
        <v>1012</v>
      </c>
      <c r="L10" s="919" t="s">
        <v>1013</v>
      </c>
      <c r="M10" s="919" t="s">
        <v>730</v>
      </c>
      <c r="N10" s="919" t="s">
        <v>1014</v>
      </c>
      <c r="O10" s="444" t="s">
        <v>525</v>
      </c>
      <c r="P10" s="435"/>
      <c r="Q10" s="436"/>
      <c r="R10" s="81"/>
      <c r="S10" s="81"/>
      <c r="T10" s="80"/>
      <c r="U10" s="80"/>
    </row>
    <row r="11" spans="1:21" ht="12.75" x14ac:dyDescent="0.2">
      <c r="A11" s="436"/>
      <c r="B11" s="436"/>
      <c r="C11" s="445" t="s">
        <v>500</v>
      </c>
      <c r="D11" s="445" t="s">
        <v>500</v>
      </c>
      <c r="E11" s="445" t="s">
        <v>500</v>
      </c>
      <c r="F11" s="445" t="s">
        <v>500</v>
      </c>
      <c r="G11" s="445" t="s">
        <v>500</v>
      </c>
      <c r="H11" s="445" t="s">
        <v>500</v>
      </c>
      <c r="I11" s="910" t="s">
        <v>500</v>
      </c>
      <c r="J11" s="910" t="s">
        <v>500</v>
      </c>
      <c r="K11" s="910" t="s">
        <v>500</v>
      </c>
      <c r="L11" s="910" t="s">
        <v>500</v>
      </c>
      <c r="M11" s="910" t="s">
        <v>500</v>
      </c>
      <c r="N11" s="910" t="s">
        <v>500</v>
      </c>
      <c r="O11" s="445" t="s">
        <v>500</v>
      </c>
      <c r="P11" s="435"/>
      <c r="Q11" s="436"/>
      <c r="R11" s="81"/>
      <c r="S11" s="81"/>
      <c r="T11" s="80"/>
      <c r="U11" s="80"/>
    </row>
    <row r="12" spans="1:21" ht="12.75" x14ac:dyDescent="0.2">
      <c r="A12" s="436"/>
      <c r="B12" s="436"/>
      <c r="F12" s="436"/>
      <c r="G12" s="436"/>
      <c r="H12" s="436"/>
      <c r="I12" s="453"/>
      <c r="J12" s="453"/>
      <c r="K12" s="453"/>
      <c r="L12" s="453"/>
      <c r="M12" s="453"/>
      <c r="N12" s="453"/>
      <c r="O12" s="436"/>
      <c r="P12" s="435"/>
      <c r="Q12" s="436"/>
      <c r="R12" s="81"/>
      <c r="S12" s="81"/>
      <c r="T12" s="80"/>
      <c r="U12" s="80"/>
    </row>
    <row r="13" spans="1:21" ht="12.75" x14ac:dyDescent="0.2">
      <c r="A13" s="440" t="s">
        <v>738</v>
      </c>
      <c r="B13" s="436"/>
      <c r="C13" s="437"/>
      <c r="D13" s="446" t="s">
        <v>832</v>
      </c>
      <c r="E13" s="447"/>
      <c r="F13" s="447"/>
      <c r="G13" s="447"/>
      <c r="H13" s="447"/>
      <c r="I13" s="447"/>
      <c r="J13" s="447"/>
      <c r="K13" s="447"/>
      <c r="L13" s="453"/>
      <c r="M13" s="453"/>
      <c r="N13" s="453"/>
      <c r="O13" s="436"/>
      <c r="P13" s="435"/>
      <c r="Q13" s="436"/>
      <c r="R13" s="81"/>
      <c r="S13" s="81"/>
      <c r="T13" s="80"/>
      <c r="U13" s="80"/>
    </row>
    <row r="14" spans="1:21" ht="12.75" x14ac:dyDescent="0.2">
      <c r="A14" s="439" t="s">
        <v>739</v>
      </c>
      <c r="B14" s="436"/>
      <c r="C14" s="896">
        <v>422842</v>
      </c>
      <c r="D14" s="896">
        <v>424965</v>
      </c>
      <c r="E14" s="896">
        <v>425869</v>
      </c>
      <c r="F14" s="896">
        <v>426703</v>
      </c>
      <c r="G14" s="896">
        <v>427628</v>
      </c>
      <c r="H14" s="896">
        <v>428215</v>
      </c>
      <c r="I14" s="896">
        <v>429630</v>
      </c>
      <c r="J14" s="896">
        <v>431017</v>
      </c>
      <c r="K14" s="896">
        <v>431732</v>
      </c>
      <c r="L14" s="896">
        <v>432591</v>
      </c>
      <c r="M14" s="896">
        <v>435946</v>
      </c>
      <c r="N14" s="896">
        <v>439764</v>
      </c>
      <c r="O14" s="448">
        <f>SUM(C14:N14)</f>
        <v>5156902</v>
      </c>
      <c r="P14" s="435"/>
      <c r="Q14" s="449"/>
      <c r="R14" s="81"/>
      <c r="S14" s="81"/>
      <c r="T14" s="80"/>
      <c r="U14" s="80"/>
    </row>
    <row r="15" spans="1:21" ht="12.75" x14ac:dyDescent="0.2">
      <c r="A15" s="436"/>
      <c r="B15" s="436"/>
      <c r="C15" s="436"/>
      <c r="D15" s="436"/>
      <c r="E15" s="436"/>
      <c r="F15" s="436"/>
      <c r="G15" s="436"/>
      <c r="H15" s="436"/>
      <c r="I15" s="453"/>
      <c r="J15" s="453"/>
      <c r="K15" s="453"/>
      <c r="L15" s="453"/>
      <c r="M15" s="454"/>
      <c r="N15" s="453"/>
      <c r="O15" s="451"/>
      <c r="P15" s="435"/>
      <c r="Q15" s="436"/>
      <c r="R15" s="81"/>
      <c r="S15" s="81"/>
      <c r="T15" s="80"/>
      <c r="U15" s="80"/>
    </row>
    <row r="16" spans="1:21" ht="12.75" x14ac:dyDescent="0.2">
      <c r="A16" s="440" t="s">
        <v>743</v>
      </c>
      <c r="B16" s="436"/>
      <c r="C16" s="436"/>
      <c r="D16" s="436"/>
      <c r="E16" s="436"/>
      <c r="F16" s="436"/>
      <c r="G16" s="436"/>
      <c r="H16" s="436"/>
      <c r="I16" s="453"/>
      <c r="J16" s="453"/>
      <c r="K16" s="453"/>
      <c r="L16" s="453"/>
      <c r="M16" s="453"/>
      <c r="N16" s="453"/>
      <c r="O16" s="436"/>
      <c r="P16" s="435"/>
      <c r="Q16" s="436"/>
      <c r="R16" s="81"/>
      <c r="S16" s="81"/>
      <c r="T16" s="80"/>
      <c r="U16" s="80"/>
    </row>
    <row r="17" spans="1:21" ht="12.75" x14ac:dyDescent="0.2">
      <c r="A17" s="439" t="s">
        <v>739</v>
      </c>
      <c r="B17" s="436"/>
      <c r="C17" s="896">
        <v>28422</v>
      </c>
      <c r="D17" s="896">
        <v>37636</v>
      </c>
      <c r="E17" s="896">
        <v>35622</v>
      </c>
      <c r="F17" s="896">
        <v>35614</v>
      </c>
      <c r="G17" s="896">
        <v>35615</v>
      </c>
      <c r="H17" s="896">
        <v>35615</v>
      </c>
      <c r="I17" s="896">
        <v>37622</v>
      </c>
      <c r="J17" s="896">
        <v>32214</v>
      </c>
      <c r="K17" s="896">
        <v>32884</v>
      </c>
      <c r="L17" s="896">
        <v>37428</v>
      </c>
      <c r="M17" s="896">
        <v>63344</v>
      </c>
      <c r="N17" s="896">
        <v>32040</v>
      </c>
      <c r="O17" s="448">
        <f>SUM(C17:N17)</f>
        <v>444056</v>
      </c>
      <c r="P17" s="435"/>
      <c r="Q17" s="449"/>
      <c r="R17" s="81"/>
      <c r="S17" s="81"/>
      <c r="T17" s="80"/>
      <c r="U17" s="80"/>
    </row>
    <row r="18" spans="1:21" ht="12.75" x14ac:dyDescent="0.2">
      <c r="A18" s="436"/>
      <c r="B18" s="436"/>
      <c r="C18" s="436"/>
      <c r="D18" s="436"/>
      <c r="E18" s="436"/>
      <c r="F18" s="436"/>
      <c r="G18" s="436"/>
      <c r="H18" s="436"/>
      <c r="I18" s="453"/>
      <c r="J18" s="453"/>
      <c r="K18" s="453"/>
      <c r="L18" s="453"/>
      <c r="M18" s="454"/>
      <c r="N18" s="453"/>
      <c r="O18" s="451"/>
      <c r="P18" s="435"/>
      <c r="Q18" s="449"/>
      <c r="R18" s="81"/>
      <c r="S18" s="81"/>
      <c r="T18" s="80"/>
      <c r="U18" s="80"/>
    </row>
    <row r="19" spans="1:21" ht="12.75" x14ac:dyDescent="0.2">
      <c r="A19" s="440" t="s">
        <v>1603</v>
      </c>
      <c r="B19" s="436"/>
      <c r="C19" s="436"/>
      <c r="D19" s="436"/>
      <c r="E19" s="436"/>
      <c r="F19" s="436"/>
      <c r="G19" s="436"/>
      <c r="H19" s="453"/>
      <c r="I19" s="453"/>
      <c r="J19" s="453"/>
      <c r="K19" s="453"/>
      <c r="L19" s="453"/>
      <c r="M19" s="453"/>
      <c r="N19" s="453"/>
      <c r="O19" s="436"/>
      <c r="P19" s="435"/>
      <c r="Q19" s="436"/>
      <c r="R19" s="81"/>
      <c r="S19" s="81"/>
      <c r="T19" s="80"/>
      <c r="U19" s="80"/>
    </row>
    <row r="20" spans="1:21" ht="12.75" x14ac:dyDescent="0.2">
      <c r="A20" s="439" t="s">
        <v>739</v>
      </c>
      <c r="B20" s="436"/>
      <c r="C20" s="896">
        <v>0</v>
      </c>
      <c r="D20" s="896">
        <v>0</v>
      </c>
      <c r="E20" s="896">
        <v>0</v>
      </c>
      <c r="F20" s="896">
        <v>0</v>
      </c>
      <c r="G20" s="896">
        <v>0</v>
      </c>
      <c r="H20" s="896">
        <v>0</v>
      </c>
      <c r="I20" s="896">
        <v>0</v>
      </c>
      <c r="J20" s="896">
        <v>0</v>
      </c>
      <c r="K20" s="896">
        <v>0</v>
      </c>
      <c r="L20" s="896">
        <v>0</v>
      </c>
      <c r="M20" s="896">
        <v>0</v>
      </c>
      <c r="N20" s="896">
        <v>0</v>
      </c>
      <c r="O20" s="448">
        <f>SUM(C20:N20)</f>
        <v>0</v>
      </c>
      <c r="P20" s="435"/>
      <c r="Q20" s="436"/>
      <c r="R20" s="81"/>
      <c r="S20" s="81"/>
      <c r="T20" s="80"/>
      <c r="U20" s="80"/>
    </row>
    <row r="21" spans="1:21" ht="12.75" x14ac:dyDescent="0.2">
      <c r="A21" s="436"/>
      <c r="B21" s="436"/>
      <c r="C21" s="436"/>
      <c r="D21" s="452"/>
      <c r="E21" s="453"/>
      <c r="F21" s="453"/>
      <c r="G21" s="436"/>
      <c r="H21" s="436"/>
      <c r="I21" s="453"/>
      <c r="J21" s="453"/>
      <c r="K21" s="453"/>
      <c r="L21" s="453"/>
      <c r="M21" s="454"/>
      <c r="N21" s="453"/>
      <c r="O21" s="451"/>
      <c r="P21" s="435"/>
      <c r="Q21" s="436"/>
      <c r="R21" s="81"/>
      <c r="S21" s="81"/>
      <c r="T21" s="80"/>
      <c r="U21" s="80"/>
    </row>
    <row r="22" spans="1:21" ht="12.75" x14ac:dyDescent="0.2">
      <c r="A22" s="439" t="s">
        <v>744</v>
      </c>
      <c r="B22" s="436"/>
      <c r="C22" s="436"/>
      <c r="D22" s="436"/>
      <c r="E22" s="436"/>
      <c r="F22" s="436"/>
      <c r="G22" s="436"/>
      <c r="H22" s="436"/>
      <c r="I22" s="453"/>
      <c r="J22" s="453"/>
      <c r="K22" s="453"/>
      <c r="L22" s="453"/>
      <c r="M22" s="453"/>
      <c r="N22" s="453"/>
      <c r="O22" s="436"/>
      <c r="P22" s="435"/>
      <c r="Q22" s="436"/>
      <c r="R22" s="81"/>
      <c r="S22" s="81"/>
      <c r="T22" s="80"/>
      <c r="U22" s="80"/>
    </row>
    <row r="23" spans="1:21" ht="12.75" x14ac:dyDescent="0.2">
      <c r="A23" s="439" t="s">
        <v>739</v>
      </c>
      <c r="B23" s="436"/>
      <c r="C23" s="896">
        <v>213370</v>
      </c>
      <c r="D23" s="896">
        <v>257930</v>
      </c>
      <c r="E23" s="896">
        <v>195994</v>
      </c>
      <c r="F23" s="896">
        <v>209320</v>
      </c>
      <c r="G23" s="896">
        <v>206394</v>
      </c>
      <c r="H23" s="896">
        <v>203139</v>
      </c>
      <c r="I23" s="896">
        <v>205818</v>
      </c>
      <c r="J23" s="896">
        <v>220828</v>
      </c>
      <c r="K23" s="896">
        <v>204335</v>
      </c>
      <c r="L23" s="896">
        <v>210344</v>
      </c>
      <c r="M23" s="896">
        <v>211819</v>
      </c>
      <c r="N23" s="896">
        <v>230174</v>
      </c>
      <c r="O23" s="448">
        <f>SUM(C23:N23)</f>
        <v>2569465</v>
      </c>
      <c r="P23" s="435"/>
      <c r="Q23" s="449"/>
      <c r="R23" s="81"/>
      <c r="S23" s="81"/>
      <c r="T23" s="80"/>
      <c r="U23" s="80"/>
    </row>
    <row r="24" spans="1:21" ht="12.75" x14ac:dyDescent="0.2">
      <c r="A24" s="436"/>
      <c r="B24" s="436"/>
      <c r="C24" s="436"/>
      <c r="D24" s="436"/>
      <c r="E24" s="436"/>
      <c r="F24" s="436"/>
      <c r="G24" s="436"/>
      <c r="H24" s="436"/>
      <c r="I24" s="453"/>
      <c r="J24" s="453"/>
      <c r="K24" s="453"/>
      <c r="L24" s="453"/>
      <c r="M24" s="454"/>
      <c r="N24" s="453"/>
      <c r="O24" s="451"/>
      <c r="P24" s="435"/>
      <c r="Q24" s="436"/>
      <c r="R24" s="81"/>
      <c r="S24" s="81"/>
      <c r="T24" s="80"/>
      <c r="U24" s="80"/>
    </row>
    <row r="25" spans="1:21" ht="12.75" x14ac:dyDescent="0.2">
      <c r="A25" s="440" t="s">
        <v>745</v>
      </c>
      <c r="B25" s="436"/>
      <c r="C25" s="437"/>
      <c r="D25" s="436"/>
      <c r="E25" s="436"/>
      <c r="F25" s="436"/>
      <c r="G25" s="453"/>
      <c r="H25" s="436"/>
      <c r="I25" s="453"/>
      <c r="J25" s="453"/>
      <c r="K25" s="453"/>
      <c r="L25" s="453"/>
      <c r="M25" s="453"/>
      <c r="N25" s="453"/>
      <c r="O25" s="436"/>
      <c r="P25" s="435"/>
      <c r="Q25" s="436"/>
      <c r="R25" s="81"/>
      <c r="S25" s="81"/>
      <c r="T25" s="80"/>
      <c r="U25" s="80"/>
    </row>
    <row r="26" spans="1:21" ht="12.75" x14ac:dyDescent="0.2">
      <c r="A26" s="439" t="s">
        <v>739</v>
      </c>
      <c r="B26" s="436"/>
      <c r="C26" s="896">
        <f>1095481+169448+470396-62316</f>
        <v>1673009</v>
      </c>
      <c r="D26" s="896">
        <f>1339632+160591+66247-196602</f>
        <v>1369868</v>
      </c>
      <c r="E26" s="896">
        <f>-1697056+115193+2350654+92717-997</f>
        <v>860511</v>
      </c>
      <c r="F26" s="896">
        <f>529547+100693-338995+1102</f>
        <v>292347</v>
      </c>
      <c r="G26" s="896">
        <f>-122908+93591+167123-65745</f>
        <v>72061</v>
      </c>
      <c r="H26" s="896">
        <f>-1015538+61183+712114-21603-869</f>
        <v>-264713</v>
      </c>
      <c r="I26" s="896">
        <f>-1485005+47299+1239218+11008</f>
        <v>-187480</v>
      </c>
      <c r="J26" s="896">
        <f>-1588089+187885+1183173+26620</f>
        <v>-190411</v>
      </c>
      <c r="K26" s="896">
        <f>945468+50302-955409+1916-3952+1865</f>
        <v>40190</v>
      </c>
      <c r="L26" s="896">
        <f>-3162252+52941-18133+3971791+18134-867937</f>
        <v>-5456</v>
      </c>
      <c r="M26" s="896">
        <f>1565361+27800-924843-235-19895</f>
        <v>648188</v>
      </c>
      <c r="N26" s="896">
        <f>2894075+61919-1263277-466327</f>
        <v>1226390</v>
      </c>
      <c r="O26" s="448">
        <f>SUM(C26:N26)</f>
        <v>5534504</v>
      </c>
      <c r="P26" s="435"/>
      <c r="Q26" s="449"/>
      <c r="R26" s="81"/>
      <c r="S26" s="81"/>
      <c r="T26" s="80"/>
      <c r="U26" s="80"/>
    </row>
    <row r="27" spans="1:21" ht="12.75" x14ac:dyDescent="0.2">
      <c r="A27" s="436"/>
      <c r="B27" s="436"/>
      <c r="C27" s="449"/>
      <c r="D27" s="449"/>
      <c r="E27" s="449"/>
      <c r="F27" s="436"/>
      <c r="G27" s="436"/>
      <c r="H27" s="436"/>
      <c r="I27" s="453"/>
      <c r="J27" s="453"/>
      <c r="K27" s="453"/>
      <c r="L27" s="453"/>
      <c r="M27" s="454"/>
      <c r="N27" s="453"/>
      <c r="O27" s="451"/>
      <c r="P27" s="435"/>
      <c r="Q27" s="436"/>
      <c r="R27" s="81"/>
      <c r="S27" s="81"/>
      <c r="T27" s="80"/>
      <c r="U27" s="80"/>
    </row>
    <row r="28" spans="1:21" ht="12.75" x14ac:dyDescent="0.2">
      <c r="A28" s="440" t="s">
        <v>746</v>
      </c>
      <c r="B28" s="436"/>
      <c r="C28" s="436"/>
      <c r="D28" s="449"/>
      <c r="E28" s="449"/>
      <c r="F28" s="449"/>
      <c r="G28" s="449"/>
      <c r="H28" s="449"/>
      <c r="I28" s="453"/>
      <c r="J28" s="903"/>
      <c r="K28" s="903"/>
      <c r="L28" s="903"/>
      <c r="M28" s="903"/>
      <c r="N28" s="453"/>
      <c r="O28" s="436"/>
      <c r="P28" s="435"/>
      <c r="Q28" s="436"/>
      <c r="R28" s="81"/>
      <c r="S28" s="81"/>
      <c r="T28" s="80"/>
      <c r="U28" s="80"/>
    </row>
    <row r="29" spans="1:21" ht="12.75" x14ac:dyDescent="0.2">
      <c r="A29" s="439" t="s">
        <v>739</v>
      </c>
      <c r="B29" s="436"/>
      <c r="C29" s="896">
        <f>195060+30902+90242-9262-7224</f>
        <v>299718</v>
      </c>
      <c r="D29" s="896">
        <f>239261+29287+16843-33610-7224</f>
        <v>244557</v>
      </c>
      <c r="E29" s="896">
        <f>-182136+1499+21860+21008+412509-91359-182-7224</f>
        <v>175975</v>
      </c>
      <c r="F29" s="896">
        <f>122742+18363-63394-23223-7224</f>
        <v>47264</v>
      </c>
      <c r="G29" s="896">
        <f>-3007+17069+29315-29364-7224</f>
        <v>6789</v>
      </c>
      <c r="H29" s="896">
        <f>-171408+11158+129040-16291-158-7224</f>
        <v>-54883</v>
      </c>
      <c r="I29" s="896">
        <f>-257780+8626+225215-9666-7224</f>
        <v>-40829</v>
      </c>
      <c r="J29" s="896">
        <f>-276831+34265+215008-6594-7224</f>
        <v>-41376</v>
      </c>
      <c r="K29" s="896">
        <f>185422+9173-176452+350-12647+340-7223</f>
        <v>-1037</v>
      </c>
      <c r="L29" s="896">
        <f>-513516-12000-1022+5771+9654+726785-170453-7224</f>
        <v>37995</v>
      </c>
      <c r="M29" s="896">
        <f>306198+5070-169908-43-22177-7224</f>
        <v>111916</v>
      </c>
      <c r="N29" s="896">
        <f>569506+11292-225824-126279-7224</f>
        <v>221471</v>
      </c>
      <c r="O29" s="448">
        <f>SUM(C29:N29)</f>
        <v>1007560</v>
      </c>
      <c r="P29" s="435"/>
      <c r="Q29" s="449"/>
      <c r="R29" s="81"/>
      <c r="S29" s="81"/>
      <c r="T29" s="80"/>
      <c r="U29" s="80"/>
    </row>
    <row r="30" spans="1:21" ht="12.75" x14ac:dyDescent="0.2">
      <c r="A30" s="436"/>
      <c r="B30" s="436"/>
      <c r="C30" s="436"/>
      <c r="D30" s="901"/>
      <c r="E30" s="903"/>
      <c r="F30" s="903"/>
      <c r="G30" s="449"/>
      <c r="H30" s="436"/>
      <c r="I30" s="903"/>
      <c r="J30" s="903"/>
      <c r="K30" s="903"/>
      <c r="L30" s="453"/>
      <c r="M30" s="454"/>
      <c r="N30" s="453"/>
      <c r="O30" s="451"/>
      <c r="P30" s="435"/>
      <c r="Q30" s="436"/>
      <c r="R30" s="81"/>
      <c r="S30" s="81"/>
      <c r="T30" s="80"/>
      <c r="U30" s="80"/>
    </row>
    <row r="31" spans="1:21" ht="12.75" x14ac:dyDescent="0.2">
      <c r="A31" s="439" t="s">
        <v>750</v>
      </c>
      <c r="B31" s="436"/>
      <c r="C31" s="436"/>
      <c r="D31" s="436"/>
      <c r="E31" s="436"/>
      <c r="F31" s="436"/>
      <c r="G31" s="436"/>
      <c r="H31" s="449"/>
      <c r="I31" s="453"/>
      <c r="J31" s="453"/>
      <c r="K31" s="453"/>
      <c r="L31" s="903"/>
      <c r="M31" s="903"/>
      <c r="N31" s="903"/>
      <c r="O31" s="436"/>
      <c r="P31" s="435"/>
      <c r="Q31" s="436"/>
      <c r="R31" s="81"/>
      <c r="S31" s="81"/>
      <c r="T31" s="80"/>
      <c r="U31" s="80"/>
    </row>
    <row r="32" spans="1:21" ht="12.75" x14ac:dyDescent="0.2">
      <c r="A32" s="439" t="s">
        <v>739</v>
      </c>
      <c r="B32" s="436"/>
      <c r="C32" s="896">
        <v>-55795</v>
      </c>
      <c r="D32" s="896">
        <v>-106255</v>
      </c>
      <c r="E32" s="896">
        <v>-150462</v>
      </c>
      <c r="F32" s="896">
        <v>-152089</v>
      </c>
      <c r="G32" s="896">
        <v>-192028</v>
      </c>
      <c r="H32" s="896">
        <v>-125449</v>
      </c>
      <c r="I32" s="896">
        <v>-68078</v>
      </c>
      <c r="J32" s="896">
        <v>-19529</v>
      </c>
      <c r="K32" s="896">
        <v>-646</v>
      </c>
      <c r="L32" s="896">
        <v>-354</v>
      </c>
      <c r="M32" s="896">
        <v>-79</v>
      </c>
      <c r="N32" s="896">
        <v>-1137</v>
      </c>
      <c r="O32" s="448">
        <f>SUM(C32:N32)</f>
        <v>-871901</v>
      </c>
      <c r="P32" s="435"/>
      <c r="Q32" s="449"/>
      <c r="R32" s="81"/>
      <c r="S32" s="81"/>
      <c r="T32" s="80"/>
      <c r="U32" s="80"/>
    </row>
    <row r="33" spans="1:21" ht="12.75" x14ac:dyDescent="0.2">
      <c r="A33" s="436"/>
      <c r="B33" s="436"/>
      <c r="C33" s="436"/>
      <c r="D33" s="436"/>
      <c r="E33" s="436"/>
      <c r="F33" s="436"/>
      <c r="G33" s="436"/>
      <c r="H33" s="436"/>
      <c r="I33" s="453"/>
      <c r="J33" s="453"/>
      <c r="K33" s="453"/>
      <c r="L33" s="453"/>
      <c r="M33" s="454"/>
      <c r="N33" s="453"/>
      <c r="O33" s="451"/>
      <c r="P33" s="435"/>
      <c r="Q33" s="436"/>
      <c r="R33" s="81"/>
      <c r="S33" s="81"/>
      <c r="T33" s="80"/>
      <c r="U33" s="80"/>
    </row>
    <row r="34" spans="1:21" ht="12.75" x14ac:dyDescent="0.2">
      <c r="A34" s="1429" t="s">
        <v>477</v>
      </c>
      <c r="B34" s="1430"/>
      <c r="C34" s="1430"/>
      <c r="D34" s="1430"/>
      <c r="E34" s="1430"/>
      <c r="F34" s="1430"/>
      <c r="G34" s="1430"/>
      <c r="H34" s="1430"/>
      <c r="I34" s="1430"/>
      <c r="J34" s="1430"/>
      <c r="K34" s="1430"/>
      <c r="L34" s="1430"/>
      <c r="M34" s="1430"/>
      <c r="N34" s="1430"/>
      <c r="O34" s="1430"/>
      <c r="P34" s="435"/>
      <c r="Q34" s="436"/>
      <c r="R34" s="81"/>
      <c r="S34" s="81"/>
      <c r="T34" s="80"/>
      <c r="U34" s="80"/>
    </row>
    <row r="35" spans="1:21" ht="12.75" x14ac:dyDescent="0.2">
      <c r="A35" s="1429" t="str">
        <f>+Input!C4</f>
        <v>CASE NO. 2017-xxxxx</v>
      </c>
      <c r="B35" s="1430"/>
      <c r="C35" s="1430"/>
      <c r="D35" s="1430"/>
      <c r="E35" s="1430"/>
      <c r="F35" s="1430"/>
      <c r="G35" s="1430"/>
      <c r="H35" s="1430"/>
      <c r="I35" s="1430"/>
      <c r="J35" s="1430"/>
      <c r="K35" s="1430"/>
      <c r="L35" s="1430"/>
      <c r="M35" s="1430"/>
      <c r="N35" s="1430"/>
      <c r="O35" s="1430"/>
      <c r="P35" s="435"/>
      <c r="Q35" s="436"/>
      <c r="R35" s="81"/>
      <c r="S35" s="81"/>
      <c r="T35" s="80"/>
      <c r="U35" s="80"/>
    </row>
    <row r="36" spans="1:21" ht="12.75" x14ac:dyDescent="0.2">
      <c r="A36" s="1429" t="s">
        <v>727</v>
      </c>
      <c r="B36" s="1430"/>
      <c r="C36" s="1430"/>
      <c r="D36" s="1430"/>
      <c r="E36" s="1430"/>
      <c r="F36" s="1430"/>
      <c r="G36" s="1430"/>
      <c r="H36" s="1430"/>
      <c r="I36" s="1430"/>
      <c r="J36" s="1430"/>
      <c r="K36" s="1430"/>
      <c r="L36" s="1430"/>
      <c r="M36" s="1430"/>
      <c r="N36" s="1430"/>
      <c r="O36" s="1430"/>
      <c r="P36" s="435"/>
      <c r="Q36" s="436"/>
      <c r="R36" s="81"/>
      <c r="S36" s="81"/>
      <c r="T36" s="80"/>
      <c r="U36" s="80"/>
    </row>
    <row r="37" spans="1:21" ht="12.75" x14ac:dyDescent="0.2">
      <c r="A37" s="1429" t="str">
        <f>Input!C8</f>
        <v>FOR THE TWELVE MONTHS ENDED DECEMBER 31, 2017</v>
      </c>
      <c r="B37" s="1430"/>
      <c r="C37" s="1430"/>
      <c r="D37" s="1430"/>
      <c r="E37" s="1430"/>
      <c r="F37" s="1430"/>
      <c r="G37" s="1430"/>
      <c r="H37" s="1430"/>
      <c r="I37" s="1430"/>
      <c r="J37" s="1430"/>
      <c r="K37" s="1430"/>
      <c r="L37" s="1430"/>
      <c r="M37" s="1430"/>
      <c r="N37" s="1430"/>
      <c r="O37" s="1430"/>
      <c r="P37" s="435"/>
      <c r="Q37" s="436"/>
      <c r="R37" s="81"/>
      <c r="S37" s="81"/>
      <c r="T37" s="80"/>
      <c r="U37" s="80"/>
    </row>
    <row r="38" spans="1:21" ht="12.75" x14ac:dyDescent="0.2">
      <c r="A38" s="436"/>
      <c r="B38" s="436"/>
      <c r="C38" s="437"/>
      <c r="D38" s="436"/>
      <c r="E38" s="436"/>
      <c r="F38" s="436"/>
      <c r="G38" s="438"/>
      <c r="H38" s="436"/>
      <c r="I38" s="453"/>
      <c r="J38" s="453"/>
      <c r="K38" s="453"/>
      <c r="L38" s="453"/>
      <c r="M38" s="453"/>
      <c r="N38" s="453"/>
      <c r="O38" s="436"/>
      <c r="P38" s="435"/>
      <c r="Q38" s="436"/>
      <c r="R38" s="81"/>
      <c r="S38" s="81"/>
      <c r="T38" s="80"/>
      <c r="U38" s="80"/>
    </row>
    <row r="39" spans="1:21" ht="12.75" x14ac:dyDescent="0.2">
      <c r="A39" s="439" t="s">
        <v>839</v>
      </c>
      <c r="B39" s="436"/>
      <c r="C39" s="436"/>
      <c r="D39" s="436"/>
      <c r="E39" s="436"/>
      <c r="F39" s="436"/>
      <c r="G39" s="436"/>
      <c r="H39" s="436"/>
      <c r="I39" s="453"/>
      <c r="J39" s="453"/>
      <c r="K39" s="453"/>
      <c r="L39" s="453"/>
      <c r="M39" s="927"/>
      <c r="N39" s="453"/>
      <c r="O39" s="813" t="s">
        <v>752</v>
      </c>
      <c r="P39" s="435"/>
      <c r="Q39" s="436"/>
      <c r="R39" s="81"/>
      <c r="S39" s="81"/>
      <c r="T39" s="80"/>
      <c r="U39" s="80"/>
    </row>
    <row r="40" spans="1:21" ht="12.75" x14ac:dyDescent="0.2">
      <c r="A40" s="439" t="s">
        <v>490</v>
      </c>
      <c r="B40" s="436"/>
      <c r="C40" s="436"/>
      <c r="D40" s="436"/>
      <c r="E40" s="436"/>
      <c r="F40" s="436"/>
      <c r="G40" s="436"/>
      <c r="H40" s="436"/>
      <c r="I40" s="453"/>
      <c r="J40" s="453"/>
      <c r="K40" s="453"/>
      <c r="L40" s="453"/>
      <c r="M40" s="927"/>
      <c r="N40" s="453"/>
      <c r="O40" s="813" t="s">
        <v>1717</v>
      </c>
      <c r="P40" s="435"/>
      <c r="Q40" s="436"/>
      <c r="R40" s="81"/>
      <c r="S40" s="81"/>
      <c r="T40" s="80"/>
      <c r="U40" s="80"/>
    </row>
    <row r="41" spans="1:21" ht="12.75" x14ac:dyDescent="0.2">
      <c r="A41" s="441" t="s">
        <v>840</v>
      </c>
      <c r="B41" s="442"/>
      <c r="C41" s="442"/>
      <c r="D41" s="442"/>
      <c r="E41" s="442"/>
      <c r="F41" s="442"/>
      <c r="G41" s="442"/>
      <c r="H41" s="442"/>
      <c r="I41" s="918"/>
      <c r="J41" s="918"/>
      <c r="K41" s="918"/>
      <c r="L41" s="918"/>
      <c r="M41" s="928"/>
      <c r="N41" s="918"/>
      <c r="O41" s="814" t="str">
        <f>+Input!E27</f>
        <v>WITNESS:  C. Y. LAI</v>
      </c>
      <c r="P41" s="435"/>
      <c r="Q41" s="436"/>
      <c r="R41" s="81"/>
      <c r="S41" s="81"/>
      <c r="T41" s="80"/>
      <c r="U41" s="80"/>
    </row>
    <row r="42" spans="1:21" ht="12.75" x14ac:dyDescent="0.2">
      <c r="A42" s="1431" t="s">
        <v>728</v>
      </c>
      <c r="B42" s="1431"/>
      <c r="C42" s="437"/>
      <c r="D42" s="436"/>
      <c r="E42" s="436"/>
      <c r="F42" s="436"/>
      <c r="G42" s="436"/>
      <c r="H42" s="436"/>
      <c r="I42" s="453"/>
      <c r="J42" s="453"/>
      <c r="K42" s="453"/>
      <c r="L42" s="453"/>
      <c r="M42" s="453"/>
      <c r="N42" s="453"/>
      <c r="O42" s="436"/>
      <c r="P42" s="435"/>
      <c r="Q42" s="436"/>
      <c r="R42" s="81"/>
      <c r="S42" s="81"/>
      <c r="T42" s="80"/>
      <c r="U42" s="80"/>
    </row>
    <row r="43" spans="1:21" ht="12.75" x14ac:dyDescent="0.2">
      <c r="A43" s="1432" t="s">
        <v>729</v>
      </c>
      <c r="B43" s="1432"/>
      <c r="C43" s="443" t="s">
        <v>1011</v>
      </c>
      <c r="D43" s="443" t="s">
        <v>731</v>
      </c>
      <c r="E43" s="443" t="s">
        <v>732</v>
      </c>
      <c r="F43" s="443" t="s">
        <v>733</v>
      </c>
      <c r="G43" s="443" t="s">
        <v>734</v>
      </c>
      <c r="H43" s="443" t="s">
        <v>735</v>
      </c>
      <c r="I43" s="919" t="s">
        <v>736</v>
      </c>
      <c r="J43" s="919" t="s">
        <v>737</v>
      </c>
      <c r="K43" s="925" t="s">
        <v>1012</v>
      </c>
      <c r="L43" s="919" t="s">
        <v>1013</v>
      </c>
      <c r="M43" s="919" t="s">
        <v>730</v>
      </c>
      <c r="N43" s="919" t="s">
        <v>1014</v>
      </c>
      <c r="O43" s="444" t="s">
        <v>525</v>
      </c>
      <c r="P43" s="435"/>
      <c r="Q43" s="436"/>
      <c r="R43" s="81"/>
      <c r="S43" s="81"/>
      <c r="T43" s="80"/>
      <c r="U43" s="80"/>
    </row>
    <row r="44" spans="1:21" ht="12.75" x14ac:dyDescent="0.2">
      <c r="A44" s="436"/>
      <c r="B44" s="436"/>
      <c r="C44" s="445" t="s">
        <v>500</v>
      </c>
      <c r="D44" s="445" t="s">
        <v>500</v>
      </c>
      <c r="E44" s="445" t="s">
        <v>500</v>
      </c>
      <c r="F44" s="445" t="s">
        <v>500</v>
      </c>
      <c r="G44" s="445" t="s">
        <v>500</v>
      </c>
      <c r="H44" s="445" t="s">
        <v>500</v>
      </c>
      <c r="I44" s="910" t="s">
        <v>500</v>
      </c>
      <c r="J44" s="910" t="s">
        <v>500</v>
      </c>
      <c r="K44" s="910" t="s">
        <v>500</v>
      </c>
      <c r="L44" s="910" t="s">
        <v>500</v>
      </c>
      <c r="M44" s="910" t="s">
        <v>500</v>
      </c>
      <c r="N44" s="910" t="s">
        <v>500</v>
      </c>
      <c r="O44" s="445" t="s">
        <v>500</v>
      </c>
      <c r="P44" s="435"/>
      <c r="Q44" s="436"/>
      <c r="R44" s="81"/>
      <c r="S44" s="81"/>
      <c r="T44" s="80"/>
      <c r="U44" s="80"/>
    </row>
    <row r="45" spans="1:21" ht="12.75" x14ac:dyDescent="0.2">
      <c r="A45" s="436"/>
      <c r="B45" s="436"/>
      <c r="C45" s="436"/>
      <c r="D45" s="436"/>
      <c r="E45" s="436"/>
      <c r="F45" s="436"/>
      <c r="G45" s="436"/>
      <c r="H45" s="436"/>
      <c r="I45" s="453"/>
      <c r="J45" s="453"/>
      <c r="K45" s="453"/>
      <c r="L45" s="453"/>
      <c r="M45" s="453"/>
      <c r="N45" s="453"/>
      <c r="O45" s="436"/>
      <c r="P45" s="435"/>
      <c r="Q45" s="436"/>
      <c r="R45" s="81"/>
      <c r="S45" s="81"/>
      <c r="T45" s="80"/>
      <c r="U45" s="80"/>
    </row>
    <row r="46" spans="1:21" ht="12.75" x14ac:dyDescent="0.2">
      <c r="A46" s="439" t="s">
        <v>751</v>
      </c>
      <c r="B46" s="436"/>
      <c r="C46" s="436"/>
      <c r="D46" s="436"/>
      <c r="E46" s="436"/>
      <c r="F46" s="436"/>
      <c r="G46" s="436"/>
      <c r="H46" s="436"/>
      <c r="I46" s="453"/>
      <c r="J46" s="453"/>
      <c r="K46" s="453"/>
      <c r="L46" s="453"/>
      <c r="M46" s="453"/>
      <c r="N46" s="453"/>
      <c r="O46" s="436"/>
      <c r="P46" s="435"/>
      <c r="Q46" s="436"/>
      <c r="R46" s="81"/>
      <c r="S46" s="81"/>
      <c r="T46" s="80"/>
      <c r="U46" s="80"/>
    </row>
    <row r="47" spans="1:21" ht="12.75" x14ac:dyDescent="0.2">
      <c r="A47" s="439" t="s">
        <v>739</v>
      </c>
      <c r="B47" s="436"/>
      <c r="C47" s="896">
        <v>-335970</v>
      </c>
      <c r="D47" s="896">
        <v>-224369</v>
      </c>
      <c r="E47" s="896">
        <v>-114947</v>
      </c>
      <c r="F47" s="896">
        <v>-93132</v>
      </c>
      <c r="G47" s="896">
        <v>-81549</v>
      </c>
      <c r="H47" s="896">
        <v>-86989</v>
      </c>
      <c r="I47" s="896">
        <v>-88012</v>
      </c>
      <c r="J47" s="896">
        <v>-602005</v>
      </c>
      <c r="K47" s="896">
        <v>-150614</v>
      </c>
      <c r="L47" s="896">
        <v>-161088</v>
      </c>
      <c r="M47" s="896">
        <v>-33960</v>
      </c>
      <c r="N47" s="896">
        <v>-87310</v>
      </c>
      <c r="O47" s="448">
        <f>SUM(C47:N47)</f>
        <v>-2059945</v>
      </c>
      <c r="P47" s="435"/>
      <c r="Q47" s="449"/>
      <c r="R47" s="81"/>
      <c r="S47" s="81"/>
      <c r="T47" s="80"/>
      <c r="U47" s="80"/>
    </row>
    <row r="48" spans="1:21" ht="12.75" x14ac:dyDescent="0.2">
      <c r="A48" s="439"/>
      <c r="B48" s="436"/>
      <c r="C48" s="896"/>
      <c r="D48" s="896"/>
      <c r="E48" s="896"/>
      <c r="F48" s="896"/>
      <c r="G48" s="896"/>
      <c r="H48" s="896"/>
      <c r="I48" s="896"/>
      <c r="J48" s="896"/>
      <c r="K48" s="896"/>
      <c r="L48" s="896"/>
      <c r="M48" s="896"/>
      <c r="N48" s="896"/>
      <c r="O48" s="448"/>
      <c r="P48" s="435"/>
      <c r="Q48" s="449"/>
      <c r="R48" s="81"/>
      <c r="S48" s="81"/>
      <c r="T48" s="80"/>
      <c r="U48" s="80"/>
    </row>
    <row r="49" spans="1:21" ht="12.75" x14ac:dyDescent="0.2">
      <c r="A49" s="439" t="s">
        <v>756</v>
      </c>
      <c r="B49" s="436"/>
      <c r="C49" s="436"/>
      <c r="D49" s="436"/>
      <c r="E49" s="436"/>
      <c r="F49" s="436"/>
      <c r="G49" s="907"/>
      <c r="H49" s="436"/>
      <c r="I49" s="453"/>
      <c r="J49" s="453"/>
      <c r="K49" s="453"/>
      <c r="L49" s="453"/>
      <c r="M49" s="453"/>
      <c r="N49" s="453"/>
      <c r="O49" s="436"/>
      <c r="P49" s="435"/>
      <c r="Q49" s="436"/>
      <c r="R49" s="81"/>
      <c r="S49" s="81"/>
      <c r="T49" s="80"/>
      <c r="U49" s="80"/>
    </row>
    <row r="50" spans="1:21" ht="12.75" x14ac:dyDescent="0.2">
      <c r="A50" s="439" t="s">
        <v>739</v>
      </c>
      <c r="B50" s="436"/>
      <c r="C50" s="896">
        <v>11185</v>
      </c>
      <c r="D50" s="896">
        <v>-17852</v>
      </c>
      <c r="E50" s="896">
        <v>44539</v>
      </c>
      <c r="F50" s="896">
        <v>17026</v>
      </c>
      <c r="G50" s="908">
        <v>18596</v>
      </c>
      <c r="H50" s="896">
        <v>35763</v>
      </c>
      <c r="I50" s="896">
        <v>17276</v>
      </c>
      <c r="J50" s="896">
        <v>55436</v>
      </c>
      <c r="K50" s="896">
        <v>6014</v>
      </c>
      <c r="L50" s="896">
        <v>22398</v>
      </c>
      <c r="M50" s="896">
        <v>19477</v>
      </c>
      <c r="N50" s="896">
        <v>56164</v>
      </c>
      <c r="O50" s="448">
        <f>SUM(C50:N50)</f>
        <v>286022</v>
      </c>
      <c r="P50" s="435"/>
      <c r="Q50" s="449"/>
      <c r="R50" s="81"/>
      <c r="S50" s="81"/>
      <c r="T50" s="80"/>
      <c r="U50" s="80"/>
    </row>
    <row r="51" spans="1:21" ht="12.75" x14ac:dyDescent="0.2">
      <c r="A51" s="436"/>
      <c r="B51" s="436"/>
      <c r="C51" s="436"/>
      <c r="D51" s="436"/>
      <c r="E51" s="436"/>
      <c r="F51" s="436"/>
      <c r="G51" s="436"/>
      <c r="H51" s="436"/>
      <c r="I51" s="453"/>
      <c r="J51" s="453"/>
      <c r="K51" s="453"/>
      <c r="L51" s="453"/>
      <c r="M51" s="454"/>
      <c r="N51" s="453"/>
      <c r="O51" s="451"/>
      <c r="P51" s="435"/>
      <c r="Q51" s="436"/>
      <c r="R51" s="81"/>
      <c r="S51" s="81"/>
      <c r="T51" s="80"/>
      <c r="U51" s="80"/>
    </row>
    <row r="52" spans="1:21" ht="12.75" x14ac:dyDescent="0.2">
      <c r="A52" s="439" t="s">
        <v>757</v>
      </c>
      <c r="B52" s="436"/>
      <c r="C52" s="436"/>
      <c r="D52" s="436"/>
      <c r="E52" s="436"/>
      <c r="F52" s="436"/>
      <c r="G52" s="436"/>
      <c r="H52" s="436"/>
      <c r="I52" s="453"/>
      <c r="J52" s="453"/>
      <c r="K52" s="453"/>
      <c r="L52" s="453"/>
      <c r="M52" s="453"/>
      <c r="N52" s="453"/>
      <c r="O52" s="436"/>
      <c r="P52" s="435"/>
      <c r="Q52" s="436"/>
      <c r="R52" s="81"/>
      <c r="S52" s="81"/>
      <c r="T52" s="80"/>
      <c r="U52" s="80"/>
    </row>
    <row r="53" spans="1:21" ht="12.75" x14ac:dyDescent="0.2">
      <c r="A53" s="439" t="s">
        <v>739</v>
      </c>
      <c r="B53" s="436"/>
      <c r="C53" s="896">
        <v>278850</v>
      </c>
      <c r="D53" s="896">
        <v>260859</v>
      </c>
      <c r="E53" s="896">
        <v>278849</v>
      </c>
      <c r="F53" s="896">
        <v>269854</v>
      </c>
      <c r="G53" s="896">
        <v>278850</v>
      </c>
      <c r="H53" s="896">
        <v>269855</v>
      </c>
      <c r="I53" s="896">
        <v>278851</v>
      </c>
      <c r="J53" s="896">
        <v>290680</v>
      </c>
      <c r="K53" s="896">
        <v>321888</v>
      </c>
      <c r="L53" s="896">
        <v>370875</v>
      </c>
      <c r="M53" s="896">
        <v>356498</v>
      </c>
      <c r="N53" s="896">
        <v>330268</v>
      </c>
      <c r="O53" s="448">
        <f>SUM(C53:N53)</f>
        <v>3586177</v>
      </c>
      <c r="P53" s="435"/>
      <c r="Q53" s="449"/>
      <c r="R53" s="81"/>
      <c r="S53" s="81"/>
      <c r="T53" s="80"/>
      <c r="U53" s="80"/>
    </row>
    <row r="54" spans="1:21" ht="12.75" x14ac:dyDescent="0.2">
      <c r="A54" s="436"/>
      <c r="B54" s="436"/>
      <c r="C54" s="436"/>
      <c r="D54" s="436"/>
      <c r="E54" s="436"/>
      <c r="F54" s="436"/>
      <c r="G54" s="436"/>
      <c r="H54" s="436"/>
      <c r="I54" s="453"/>
      <c r="J54" s="453"/>
      <c r="K54" s="453"/>
      <c r="L54" s="453"/>
      <c r="M54" s="454"/>
      <c r="N54" s="453"/>
      <c r="O54" s="451"/>
      <c r="P54" s="435"/>
      <c r="Q54" s="436"/>
      <c r="R54" s="81"/>
      <c r="S54" s="81"/>
      <c r="T54" s="80"/>
      <c r="U54" s="80"/>
    </row>
    <row r="55" spans="1:21" ht="12.75" x14ac:dyDescent="0.2">
      <c r="A55" s="439" t="s">
        <v>762</v>
      </c>
      <c r="B55" s="436"/>
      <c r="C55" s="436"/>
      <c r="D55" s="436"/>
      <c r="E55" s="436"/>
      <c r="F55" s="436"/>
      <c r="G55" s="436"/>
      <c r="H55" s="436"/>
      <c r="I55" s="453"/>
      <c r="J55" s="453"/>
      <c r="K55" s="453"/>
      <c r="L55" s="453"/>
      <c r="M55" s="453"/>
      <c r="N55" s="453"/>
      <c r="O55" s="436"/>
      <c r="P55" s="435"/>
      <c r="Q55" s="436"/>
      <c r="R55" s="81"/>
      <c r="S55" s="81"/>
      <c r="T55" s="80"/>
      <c r="U55" s="80"/>
    </row>
    <row r="56" spans="1:21" ht="12.75" x14ac:dyDescent="0.2">
      <c r="A56" s="439" t="s">
        <v>739</v>
      </c>
      <c r="B56" s="436"/>
      <c r="C56" s="896">
        <v>14051</v>
      </c>
      <c r="D56" s="896">
        <v>13219</v>
      </c>
      <c r="E56" s="896">
        <v>17473</v>
      </c>
      <c r="F56" s="896">
        <v>13767</v>
      </c>
      <c r="G56" s="896">
        <v>13757</v>
      </c>
      <c r="H56" s="896">
        <v>15023</v>
      </c>
      <c r="I56" s="896">
        <v>11984</v>
      </c>
      <c r="J56" s="896">
        <v>11652</v>
      </c>
      <c r="K56" s="896">
        <v>-395</v>
      </c>
      <c r="L56" s="896">
        <v>11447</v>
      </c>
      <c r="M56" s="896">
        <v>42039</v>
      </c>
      <c r="N56" s="896">
        <v>12659</v>
      </c>
      <c r="O56" s="448">
        <f>SUM(C56:N56)</f>
        <v>176676</v>
      </c>
      <c r="P56" s="435"/>
      <c r="Q56" s="449"/>
      <c r="R56" s="81"/>
      <c r="S56" s="81"/>
      <c r="T56" s="80"/>
      <c r="U56" s="80"/>
    </row>
    <row r="57" spans="1:21" ht="12.75" x14ac:dyDescent="0.2">
      <c r="A57" s="436"/>
      <c r="B57" s="436"/>
      <c r="C57" s="436"/>
      <c r="D57" s="436"/>
      <c r="E57" s="436"/>
      <c r="F57" s="436"/>
      <c r="G57" s="436"/>
      <c r="H57" s="436"/>
      <c r="I57" s="453"/>
      <c r="J57" s="453"/>
      <c r="K57" s="453"/>
      <c r="L57" s="453"/>
      <c r="M57" s="454"/>
      <c r="N57" s="453"/>
      <c r="O57" s="451"/>
      <c r="P57" s="435"/>
      <c r="Q57" s="436"/>
      <c r="R57" s="81"/>
      <c r="S57" s="81"/>
      <c r="T57" s="80"/>
      <c r="U57" s="80"/>
    </row>
    <row r="58" spans="1:21" ht="12.75" x14ac:dyDescent="0.2">
      <c r="A58" s="439" t="s">
        <v>763</v>
      </c>
      <c r="B58" s="436"/>
      <c r="C58" s="436"/>
      <c r="D58" s="436"/>
      <c r="E58" s="436"/>
      <c r="F58" s="436"/>
      <c r="G58" s="436"/>
      <c r="H58" s="436"/>
      <c r="I58" s="453"/>
      <c r="J58" s="453"/>
      <c r="K58" s="453"/>
      <c r="L58" s="453"/>
      <c r="M58" s="453"/>
      <c r="N58" s="453"/>
      <c r="O58" s="436"/>
      <c r="P58" s="435"/>
      <c r="Q58" s="436"/>
      <c r="R58" s="81"/>
      <c r="S58" s="81"/>
      <c r="T58" s="80"/>
      <c r="U58" s="80"/>
    </row>
    <row r="59" spans="1:21" ht="12.75" x14ac:dyDescent="0.2">
      <c r="A59" s="439" t="s">
        <v>739</v>
      </c>
      <c r="B59" s="436"/>
      <c r="C59" s="896">
        <v>-4814</v>
      </c>
      <c r="D59" s="896">
        <v>-4620</v>
      </c>
      <c r="E59" s="896">
        <v>-5106</v>
      </c>
      <c r="F59" s="896">
        <v>-7561</v>
      </c>
      <c r="G59" s="896">
        <v>-12379</v>
      </c>
      <c r="H59" s="896">
        <v>-8060</v>
      </c>
      <c r="I59" s="896">
        <v>-14181</v>
      </c>
      <c r="J59" s="896">
        <v>-11912</v>
      </c>
      <c r="K59" s="896">
        <v>20016</v>
      </c>
      <c r="L59" s="896">
        <v>-7083</v>
      </c>
      <c r="M59" s="896">
        <v>-7657</v>
      </c>
      <c r="N59" s="896">
        <v>32839</v>
      </c>
      <c r="O59" s="448">
        <f>SUM(C59:N59)</f>
        <v>-30518</v>
      </c>
      <c r="P59" s="435"/>
      <c r="Q59" s="449"/>
      <c r="R59" s="81"/>
      <c r="S59" s="81"/>
      <c r="T59" s="80"/>
      <c r="U59" s="80"/>
    </row>
    <row r="60" spans="1:21" ht="12.75" x14ac:dyDescent="0.2">
      <c r="A60" s="436"/>
      <c r="B60" s="436"/>
      <c r="C60" s="436"/>
      <c r="D60" s="453"/>
      <c r="E60" s="453"/>
      <c r="F60" s="453"/>
      <c r="G60" s="436"/>
      <c r="H60" s="436"/>
      <c r="I60" s="453"/>
      <c r="J60" s="453"/>
      <c r="K60" s="453"/>
      <c r="L60" s="453"/>
      <c r="M60" s="454"/>
      <c r="N60" s="453"/>
      <c r="O60" s="451"/>
      <c r="P60" s="435"/>
      <c r="Q60" s="436"/>
      <c r="R60" s="81"/>
      <c r="S60" s="81"/>
      <c r="T60" s="80"/>
      <c r="U60" s="80"/>
    </row>
    <row r="61" spans="1:21" ht="12.75" x14ac:dyDescent="0.2">
      <c r="A61" s="439" t="s">
        <v>764</v>
      </c>
      <c r="B61" s="436"/>
      <c r="C61" s="436"/>
      <c r="D61" s="436"/>
      <c r="E61" s="436"/>
      <c r="F61" s="436"/>
      <c r="G61" s="436"/>
      <c r="H61" s="436"/>
      <c r="I61" s="453"/>
      <c r="J61" s="453"/>
      <c r="K61" s="453"/>
      <c r="L61" s="453"/>
      <c r="M61" s="453"/>
      <c r="N61" s="453"/>
      <c r="O61" s="436"/>
      <c r="P61" s="435"/>
      <c r="Q61" s="436"/>
      <c r="R61" s="81"/>
      <c r="S61" s="81"/>
      <c r="T61" s="80"/>
      <c r="U61" s="80"/>
    </row>
    <row r="62" spans="1:21" ht="12.75" x14ac:dyDescent="0.2">
      <c r="A62" s="439" t="s">
        <v>739</v>
      </c>
      <c r="B62" s="436"/>
      <c r="C62" s="896">
        <v>-18154795</v>
      </c>
      <c r="D62" s="896">
        <v>-18566873</v>
      </c>
      <c r="E62" s="896">
        <v>-16953188</v>
      </c>
      <c r="F62" s="896">
        <v>-10158249</v>
      </c>
      <c r="G62" s="896">
        <v>-4996860</v>
      </c>
      <c r="H62" s="896">
        <v>-3565862</v>
      </c>
      <c r="I62" s="896">
        <v>-2638351</v>
      </c>
      <c r="J62" s="896">
        <v>-2534836</v>
      </c>
      <c r="K62" s="896">
        <v>-2558641</v>
      </c>
      <c r="L62" s="896">
        <v>-3059442</v>
      </c>
      <c r="M62" s="896">
        <v>-8554360</v>
      </c>
      <c r="N62" s="896">
        <v>-18921073</v>
      </c>
      <c r="O62" s="448">
        <f>SUM(C62:N62)</f>
        <v>-110662530</v>
      </c>
      <c r="P62" s="435"/>
      <c r="Q62" s="436"/>
      <c r="R62" s="81"/>
      <c r="S62" s="81"/>
      <c r="T62" s="80"/>
      <c r="U62" s="80"/>
    </row>
    <row r="63" spans="1:21" ht="12.75" x14ac:dyDescent="0.2">
      <c r="A63" s="436"/>
      <c r="B63" s="436"/>
      <c r="C63" s="436"/>
      <c r="D63" s="436"/>
      <c r="E63" s="436"/>
      <c r="F63" s="436"/>
      <c r="G63" s="436"/>
      <c r="H63" s="436"/>
      <c r="I63" s="453"/>
      <c r="J63" s="453"/>
      <c r="K63" s="453"/>
      <c r="L63" s="453"/>
      <c r="M63" s="454"/>
      <c r="N63" s="453"/>
      <c r="O63" s="451"/>
      <c r="P63" s="435"/>
      <c r="Q63" s="436"/>
      <c r="R63" s="81"/>
      <c r="S63" s="81"/>
      <c r="T63" s="80"/>
      <c r="U63" s="80"/>
    </row>
    <row r="64" spans="1:21" ht="12.75" x14ac:dyDescent="0.2">
      <c r="A64" s="439" t="s">
        <v>765</v>
      </c>
      <c r="B64" s="436"/>
      <c r="C64" s="436"/>
      <c r="D64" s="436"/>
      <c r="E64" s="436"/>
      <c r="F64" s="436"/>
      <c r="G64" s="436"/>
      <c r="H64" s="436"/>
      <c r="I64" s="453"/>
      <c r="J64" s="453"/>
      <c r="K64" s="453"/>
      <c r="L64" s="453"/>
      <c r="M64" s="453"/>
      <c r="N64" s="453"/>
      <c r="O64" s="436"/>
      <c r="P64" s="435"/>
      <c r="Q64" s="436"/>
      <c r="R64" s="81"/>
      <c r="S64" s="81"/>
      <c r="T64" s="80"/>
      <c r="U64" s="80"/>
    </row>
    <row r="65" spans="1:21" ht="12.75" x14ac:dyDescent="0.2">
      <c r="A65" s="439" t="s">
        <v>739</v>
      </c>
      <c r="B65" s="436"/>
      <c r="C65" s="896">
        <f>-4818+15318-9062468-103060-47276</f>
        <v>-9202304</v>
      </c>
      <c r="D65" s="896">
        <f>-5078+16189-9567003+50843-79380</f>
        <v>-9584429</v>
      </c>
      <c r="E65" s="896">
        <f>-7633-376090-8152810+135545-52783</f>
        <v>-8453771</v>
      </c>
      <c r="F65" s="896">
        <f>-4992-243446-5186191+30685-53399</f>
        <v>-5457343</v>
      </c>
      <c r="G65" s="896">
        <f>-2343-114017-2678788-3-20307</f>
        <v>-2815458</v>
      </c>
      <c r="H65" s="896">
        <f>-812-71263-2262318+110-11925</f>
        <v>-2346208</v>
      </c>
      <c r="I65" s="896">
        <f>-643-58025-1955500-57-5522</f>
        <v>-2019747</v>
      </c>
      <c r="J65" s="896">
        <f>-624-56209-1807086-74-7974</f>
        <v>-1871967</v>
      </c>
      <c r="K65" s="896">
        <f>-660-59535-2051503+22-7372</f>
        <v>-2119048</v>
      </c>
      <c r="L65" s="896">
        <f>-785-72840-2375385+13-6959</f>
        <v>-2455956</v>
      </c>
      <c r="M65" s="896">
        <f>-1705-156690-4521229-10-13699</f>
        <v>-4693333</v>
      </c>
      <c r="N65" s="896">
        <f>-4111-376603-9746207+148546-47512</f>
        <v>-10025887</v>
      </c>
      <c r="O65" s="448">
        <f>SUM(C65:N65)</f>
        <v>-61045451</v>
      </c>
      <c r="P65" s="435"/>
      <c r="Q65" s="436"/>
      <c r="R65" s="81"/>
      <c r="S65" s="81"/>
      <c r="T65" s="80"/>
      <c r="U65" s="80"/>
    </row>
    <row r="66" spans="1:21" ht="12.75" x14ac:dyDescent="0.2">
      <c r="A66" s="436"/>
      <c r="B66" s="436"/>
      <c r="C66" s="449"/>
      <c r="D66" s="436"/>
      <c r="E66" s="436"/>
      <c r="F66" s="436"/>
      <c r="G66" s="436"/>
      <c r="H66" s="436"/>
      <c r="I66" s="453"/>
      <c r="J66" s="453"/>
      <c r="K66" s="453"/>
      <c r="L66" s="453"/>
      <c r="M66" s="454"/>
      <c r="N66" s="453"/>
      <c r="O66" s="451"/>
      <c r="P66" s="435"/>
      <c r="Q66" s="436"/>
      <c r="R66" s="81"/>
      <c r="S66" s="81"/>
      <c r="T66" s="80"/>
      <c r="U66" s="80"/>
    </row>
    <row r="67" spans="1:21" ht="12.75" x14ac:dyDescent="0.2">
      <c r="A67" s="1429" t="s">
        <v>477</v>
      </c>
      <c r="B67" s="1429"/>
      <c r="C67" s="1429"/>
      <c r="D67" s="1429"/>
      <c r="E67" s="1429"/>
      <c r="F67" s="1429"/>
      <c r="G67" s="1429"/>
      <c r="H67" s="1429"/>
      <c r="I67" s="1429"/>
      <c r="J67" s="1429"/>
      <c r="K67" s="1429"/>
      <c r="L67" s="1429"/>
      <c r="M67" s="1429"/>
      <c r="N67" s="1429"/>
      <c r="O67" s="1429"/>
      <c r="P67" s="435"/>
      <c r="Q67" s="436"/>
      <c r="R67" s="81"/>
      <c r="S67" s="81"/>
      <c r="T67" s="80"/>
      <c r="U67" s="80"/>
    </row>
    <row r="68" spans="1:21" ht="12.75" x14ac:dyDescent="0.2">
      <c r="A68" s="1429" t="str">
        <f>+Input!C4</f>
        <v>CASE NO. 2017-xxxxx</v>
      </c>
      <c r="B68" s="1430"/>
      <c r="C68" s="1430"/>
      <c r="D68" s="1430"/>
      <c r="E68" s="1430"/>
      <c r="F68" s="1430"/>
      <c r="G68" s="1430"/>
      <c r="H68" s="1430"/>
      <c r="I68" s="1430"/>
      <c r="J68" s="1430"/>
      <c r="K68" s="1430"/>
      <c r="L68" s="1430"/>
      <c r="M68" s="1430"/>
      <c r="N68" s="1430"/>
      <c r="O68" s="1430"/>
      <c r="P68" s="435"/>
      <c r="Q68" s="436"/>
      <c r="R68" s="81"/>
      <c r="S68" s="81"/>
      <c r="T68" s="80"/>
      <c r="U68" s="80"/>
    </row>
    <row r="69" spans="1:21" ht="12.75" x14ac:dyDescent="0.2">
      <c r="A69" s="1429" t="s">
        <v>727</v>
      </c>
      <c r="B69" s="1429"/>
      <c r="C69" s="1429"/>
      <c r="D69" s="1429"/>
      <c r="E69" s="1429"/>
      <c r="F69" s="1429"/>
      <c r="G69" s="1429"/>
      <c r="H69" s="1429"/>
      <c r="I69" s="1429"/>
      <c r="J69" s="1429"/>
      <c r="K69" s="1429"/>
      <c r="L69" s="1429"/>
      <c r="M69" s="1429"/>
      <c r="N69" s="1429"/>
      <c r="O69" s="1429"/>
      <c r="P69" s="435"/>
      <c r="Q69" s="436"/>
      <c r="R69" s="81"/>
      <c r="S69" s="81"/>
      <c r="T69" s="80"/>
      <c r="U69" s="80"/>
    </row>
    <row r="70" spans="1:21" ht="12.75" x14ac:dyDescent="0.2">
      <c r="A70" s="1429" t="str">
        <f>+Input!C23</f>
        <v>FOR THE HISTORIC PERIOD 12 MONTHS ENDED DECEMBER 31, 2017 AND PRIOR PERIOD DECEMBER 31, 2016</v>
      </c>
      <c r="B70" s="1429"/>
      <c r="C70" s="1429"/>
      <c r="D70" s="1429"/>
      <c r="E70" s="1429"/>
      <c r="F70" s="1429"/>
      <c r="G70" s="1429"/>
      <c r="H70" s="1429"/>
      <c r="I70" s="1429"/>
      <c r="J70" s="1429"/>
      <c r="K70" s="1429"/>
      <c r="L70" s="1429"/>
      <c r="M70" s="1429"/>
      <c r="N70" s="1429"/>
      <c r="O70" s="1429"/>
      <c r="P70" s="435"/>
      <c r="Q70" s="436"/>
      <c r="R70" s="81"/>
      <c r="S70" s="81"/>
      <c r="T70" s="80"/>
      <c r="U70" s="80"/>
    </row>
    <row r="71" spans="1:21" ht="12.75" x14ac:dyDescent="0.2">
      <c r="A71" s="433"/>
      <c r="B71" s="434"/>
      <c r="C71" s="434"/>
      <c r="D71" s="434"/>
      <c r="E71" s="434"/>
      <c r="F71" s="434"/>
      <c r="G71" s="434"/>
      <c r="H71" s="434"/>
      <c r="I71" s="920"/>
      <c r="J71" s="920"/>
      <c r="K71" s="920"/>
      <c r="L71" s="920"/>
      <c r="M71" s="920"/>
      <c r="N71" s="920"/>
      <c r="O71" s="434"/>
      <c r="P71" s="435"/>
      <c r="Q71" s="436"/>
      <c r="R71" s="81"/>
      <c r="S71" s="81"/>
      <c r="T71" s="80"/>
      <c r="U71" s="80"/>
    </row>
    <row r="72" spans="1:21" ht="12.75" x14ac:dyDescent="0.2">
      <c r="A72" s="439" t="s">
        <v>839</v>
      </c>
      <c r="B72" s="436"/>
      <c r="C72" s="436"/>
      <c r="D72" s="436"/>
      <c r="E72" s="436"/>
      <c r="F72" s="436"/>
      <c r="G72" s="436"/>
      <c r="H72" s="436"/>
      <c r="I72" s="453"/>
      <c r="J72" s="453"/>
      <c r="K72" s="453"/>
      <c r="L72" s="453"/>
      <c r="M72" s="927"/>
      <c r="N72" s="927"/>
      <c r="O72" s="813" t="s">
        <v>752</v>
      </c>
      <c r="P72" s="435"/>
      <c r="Q72" s="436"/>
      <c r="R72" s="81"/>
      <c r="S72" s="81"/>
      <c r="T72" s="80"/>
      <c r="U72" s="80"/>
    </row>
    <row r="73" spans="1:21" ht="12.75" x14ac:dyDescent="0.2">
      <c r="A73" s="439" t="s">
        <v>490</v>
      </c>
      <c r="B73" s="436"/>
      <c r="C73" s="436"/>
      <c r="D73" s="436"/>
      <c r="E73" s="436"/>
      <c r="F73" s="436"/>
      <c r="G73" s="436"/>
      <c r="H73" s="436"/>
      <c r="I73" s="453"/>
      <c r="J73" s="453"/>
      <c r="K73" s="453"/>
      <c r="L73" s="453"/>
      <c r="M73" s="927"/>
      <c r="N73" s="927"/>
      <c r="O73" s="813" t="s">
        <v>1718</v>
      </c>
      <c r="P73" s="435"/>
      <c r="Q73" s="436"/>
      <c r="R73" s="81"/>
      <c r="S73" s="81"/>
      <c r="T73" s="80"/>
      <c r="U73" s="80"/>
    </row>
    <row r="74" spans="1:21" ht="12.75" x14ac:dyDescent="0.2">
      <c r="A74" s="441" t="s">
        <v>840</v>
      </c>
      <c r="B74" s="442"/>
      <c r="C74" s="442"/>
      <c r="D74" s="442"/>
      <c r="E74" s="442"/>
      <c r="F74" s="442"/>
      <c r="G74" s="442"/>
      <c r="H74" s="442"/>
      <c r="I74" s="918"/>
      <c r="J74" s="918"/>
      <c r="K74" s="918"/>
      <c r="L74" s="918"/>
      <c r="M74" s="928"/>
      <c r="N74" s="928"/>
      <c r="O74" s="814" t="str">
        <f>+Input!E27</f>
        <v>WITNESS:  C. Y. LAI</v>
      </c>
      <c r="P74" s="435"/>
      <c r="Q74" s="436"/>
      <c r="R74" s="81"/>
      <c r="S74" s="81"/>
      <c r="T74" s="80"/>
      <c r="U74" s="80"/>
    </row>
    <row r="75" spans="1:21" ht="12.75" x14ac:dyDescent="0.2">
      <c r="A75" s="1431" t="s">
        <v>728</v>
      </c>
      <c r="B75" s="1431"/>
      <c r="C75" s="437"/>
      <c r="D75" s="436"/>
      <c r="E75" s="436"/>
      <c r="F75" s="436"/>
      <c r="G75" s="436"/>
      <c r="H75" s="436"/>
      <c r="I75" s="453"/>
      <c r="J75" s="453"/>
      <c r="K75" s="453"/>
      <c r="L75" s="453"/>
      <c r="M75" s="453"/>
      <c r="N75" s="453"/>
      <c r="O75" s="436"/>
      <c r="P75" s="435"/>
      <c r="Q75" s="436"/>
      <c r="R75" s="81"/>
      <c r="S75" s="81"/>
      <c r="T75" s="80"/>
      <c r="U75" s="80"/>
    </row>
    <row r="76" spans="1:21" ht="12.75" x14ac:dyDescent="0.2">
      <c r="A76" s="1432" t="s">
        <v>729</v>
      </c>
      <c r="B76" s="1432"/>
      <c r="C76" s="443" t="s">
        <v>1011</v>
      </c>
      <c r="D76" s="443" t="s">
        <v>731</v>
      </c>
      <c r="E76" s="443" t="s">
        <v>732</v>
      </c>
      <c r="F76" s="443" t="s">
        <v>733</v>
      </c>
      <c r="G76" s="443" t="s">
        <v>734</v>
      </c>
      <c r="H76" s="443" t="s">
        <v>735</v>
      </c>
      <c r="I76" s="919" t="s">
        <v>736</v>
      </c>
      <c r="J76" s="919" t="s">
        <v>737</v>
      </c>
      <c r="K76" s="925" t="s">
        <v>1012</v>
      </c>
      <c r="L76" s="919" t="s">
        <v>1013</v>
      </c>
      <c r="M76" s="919" t="s">
        <v>730</v>
      </c>
      <c r="N76" s="919" t="s">
        <v>1014</v>
      </c>
      <c r="O76" s="444" t="s">
        <v>525</v>
      </c>
      <c r="P76" s="435"/>
      <c r="Q76" s="436"/>
      <c r="R76" s="81"/>
      <c r="S76" s="81"/>
      <c r="T76" s="80"/>
      <c r="U76" s="80"/>
    </row>
    <row r="77" spans="1:21" ht="12.75" x14ac:dyDescent="0.2">
      <c r="A77" s="436"/>
      <c r="B77" s="436"/>
      <c r="C77" s="445" t="s">
        <v>500</v>
      </c>
      <c r="D77" s="445" t="s">
        <v>500</v>
      </c>
      <c r="E77" s="445" t="s">
        <v>500</v>
      </c>
      <c r="F77" s="445" t="s">
        <v>500</v>
      </c>
      <c r="G77" s="445" t="s">
        <v>500</v>
      </c>
      <c r="H77" s="445" t="s">
        <v>500</v>
      </c>
      <c r="I77" s="910" t="s">
        <v>500</v>
      </c>
      <c r="J77" s="910" t="s">
        <v>500</v>
      </c>
      <c r="K77" s="910" t="s">
        <v>500</v>
      </c>
      <c r="L77" s="910" t="s">
        <v>500</v>
      </c>
      <c r="M77" s="910" t="s">
        <v>500</v>
      </c>
      <c r="N77" s="910" t="s">
        <v>500</v>
      </c>
      <c r="O77" s="445" t="s">
        <v>500</v>
      </c>
      <c r="P77" s="435"/>
      <c r="Q77" s="436"/>
      <c r="R77" s="81"/>
      <c r="S77" s="81"/>
      <c r="T77" s="80"/>
      <c r="U77" s="80"/>
    </row>
    <row r="78" spans="1:21" ht="12.75" x14ac:dyDescent="0.2">
      <c r="A78" s="436"/>
      <c r="B78" s="436"/>
      <c r="C78" s="445"/>
      <c r="D78" s="445"/>
      <c r="E78" s="445"/>
      <c r="F78" s="902"/>
      <c r="G78" s="445"/>
      <c r="H78" s="445"/>
      <c r="I78" s="910"/>
      <c r="J78" s="910"/>
      <c r="K78" s="910"/>
      <c r="L78" s="910"/>
      <c r="M78" s="910"/>
      <c r="N78" s="910"/>
      <c r="O78" s="445"/>
      <c r="P78" s="435"/>
      <c r="Q78" s="436"/>
      <c r="R78" s="81"/>
      <c r="S78" s="81"/>
      <c r="T78" s="80"/>
      <c r="U78" s="80"/>
    </row>
    <row r="79" spans="1:21" ht="12.75" x14ac:dyDescent="0.2">
      <c r="A79" s="439" t="s">
        <v>766</v>
      </c>
      <c r="B79" s="436"/>
      <c r="C79" s="436"/>
      <c r="D79" s="449"/>
      <c r="E79" s="449"/>
      <c r="F79" s="436"/>
      <c r="G79" s="449"/>
      <c r="H79" s="449"/>
      <c r="I79" s="903"/>
      <c r="J79" s="903"/>
      <c r="K79" s="903"/>
      <c r="L79" s="903"/>
      <c r="M79" s="903"/>
      <c r="N79" s="903"/>
      <c r="O79" s="436"/>
      <c r="P79" s="435"/>
      <c r="Q79" s="436"/>
      <c r="R79" s="81"/>
      <c r="S79" s="81"/>
      <c r="T79" s="80"/>
      <c r="U79" s="80"/>
    </row>
    <row r="80" spans="1:21" ht="12.75" x14ac:dyDescent="0.2">
      <c r="A80" s="439" t="s">
        <v>739</v>
      </c>
      <c r="B80" s="436"/>
      <c r="C80" s="896">
        <f>-150+470-342204-24</f>
        <v>-341908</v>
      </c>
      <c r="D80" s="896">
        <f>-236+1252-460376-24</f>
        <v>-459384</v>
      </c>
      <c r="E80" s="896">
        <f>-115-8854-246743-24</f>
        <v>-255736</v>
      </c>
      <c r="F80" s="896">
        <f>-85-4160-240106-5558</f>
        <v>-249909</v>
      </c>
      <c r="G80" s="896">
        <f>-134-6528-121266-5919</f>
        <v>-133847</v>
      </c>
      <c r="H80" s="896">
        <f>-25-3197-128199-24</f>
        <v>-131445</v>
      </c>
      <c r="I80" s="896">
        <f>-33-2979-90988-24</f>
        <v>-94024</v>
      </c>
      <c r="J80" s="896">
        <f>-36-3256-95609-5352</f>
        <v>-104253</v>
      </c>
      <c r="K80" s="896">
        <f>-50-4456-112868-24</f>
        <v>-117398</v>
      </c>
      <c r="L80" s="896">
        <f>-92-8134-227253-5164</f>
        <v>-240643</v>
      </c>
      <c r="M80" s="896">
        <f>-70-6274-175860-2339</f>
        <v>-184543</v>
      </c>
      <c r="N80" s="896">
        <f>-103-9160-228392-23</f>
        <v>-237678</v>
      </c>
      <c r="O80" s="448">
        <f>SUM(C80:N80)</f>
        <v>-2550768</v>
      </c>
      <c r="P80" s="435"/>
      <c r="Q80" s="436"/>
      <c r="R80" s="81"/>
      <c r="S80" s="81"/>
      <c r="T80" s="80"/>
      <c r="U80" s="80"/>
    </row>
    <row r="81" spans="1:21" ht="12.75" x14ac:dyDescent="0.2">
      <c r="A81" s="436"/>
      <c r="B81" s="436"/>
      <c r="C81" s="449"/>
      <c r="D81" s="449"/>
      <c r="E81" s="449"/>
      <c r="F81" s="449"/>
      <c r="G81" s="449"/>
      <c r="H81" s="449"/>
      <c r="I81" s="903"/>
      <c r="J81" s="903"/>
      <c r="K81" s="903"/>
      <c r="L81" s="903"/>
      <c r="M81" s="454"/>
      <c r="N81" s="453"/>
      <c r="O81" s="451"/>
      <c r="P81" s="435"/>
      <c r="Q81" s="436"/>
      <c r="R81" s="81"/>
      <c r="S81" s="81"/>
      <c r="T81" s="80"/>
      <c r="U81" s="80"/>
    </row>
    <row r="82" spans="1:21" ht="12.75" x14ac:dyDescent="0.2">
      <c r="A82" s="439" t="s">
        <v>767</v>
      </c>
      <c r="B82" s="436"/>
      <c r="C82" s="436"/>
      <c r="D82" s="436"/>
      <c r="E82" s="436"/>
      <c r="F82" s="436"/>
      <c r="G82" s="436"/>
      <c r="H82" s="436"/>
      <c r="I82" s="453"/>
      <c r="J82" s="453"/>
      <c r="K82" s="453"/>
      <c r="L82" s="453"/>
      <c r="M82" s="453"/>
      <c r="N82" s="903"/>
      <c r="O82" s="436"/>
      <c r="P82" s="435"/>
      <c r="Q82" s="436"/>
      <c r="R82" s="81"/>
      <c r="S82" s="81"/>
      <c r="T82" s="80"/>
      <c r="U82" s="80"/>
    </row>
    <row r="83" spans="1:21" ht="12.75" x14ac:dyDescent="0.2">
      <c r="A83" s="439" t="s">
        <v>739</v>
      </c>
      <c r="B83" s="436"/>
      <c r="C83" s="896">
        <v>-27532</v>
      </c>
      <c r="D83" s="896">
        <v>-38382</v>
      </c>
      <c r="E83" s="896">
        <v>-31619</v>
      </c>
      <c r="F83" s="896">
        <v>-26219</v>
      </c>
      <c r="G83" s="896">
        <v>-14997</v>
      </c>
      <c r="H83" s="896">
        <v>-11132</v>
      </c>
      <c r="I83" s="896">
        <v>-10974</v>
      </c>
      <c r="J83" s="896">
        <v>-10983</v>
      </c>
      <c r="K83" s="896">
        <v>-10478</v>
      </c>
      <c r="L83" s="896">
        <v>-9522</v>
      </c>
      <c r="M83" s="896">
        <v>-15718</v>
      </c>
      <c r="N83" s="896">
        <v>-35703</v>
      </c>
      <c r="O83" s="448">
        <f>SUM(C83:N83)</f>
        <v>-243259</v>
      </c>
      <c r="P83" s="435"/>
      <c r="Q83" s="436"/>
      <c r="R83" s="81"/>
      <c r="S83" s="81"/>
      <c r="T83" s="80"/>
      <c r="U83" s="80"/>
    </row>
    <row r="84" spans="1:21" ht="12.75" x14ac:dyDescent="0.2">
      <c r="A84" s="436"/>
      <c r="B84" s="436"/>
      <c r="C84" s="436"/>
      <c r="D84" s="453"/>
      <c r="E84" s="453"/>
      <c r="F84" s="453"/>
      <c r="G84" s="436"/>
      <c r="H84" s="436"/>
      <c r="I84" s="453"/>
      <c r="J84" s="453"/>
      <c r="K84" s="453"/>
      <c r="L84" s="453"/>
      <c r="M84" s="453"/>
      <c r="N84" s="453"/>
      <c r="O84" s="451"/>
      <c r="P84" s="435"/>
      <c r="Q84" s="436"/>
      <c r="R84" s="81"/>
      <c r="S84" s="81"/>
      <c r="T84" s="80"/>
      <c r="U84" s="80"/>
    </row>
    <row r="85" spans="1:21" ht="12.75" x14ac:dyDescent="0.2">
      <c r="A85" s="439" t="s">
        <v>768</v>
      </c>
      <c r="B85" s="436"/>
      <c r="C85" s="436"/>
      <c r="D85" s="436"/>
      <c r="E85" s="436"/>
      <c r="F85" s="436"/>
      <c r="G85" s="436"/>
      <c r="H85" s="436"/>
      <c r="I85" s="453"/>
      <c r="J85" s="453"/>
      <c r="K85" s="453"/>
      <c r="L85" s="453"/>
      <c r="M85" s="453"/>
      <c r="N85" s="453"/>
      <c r="O85" s="436"/>
      <c r="P85" s="435"/>
      <c r="Q85" s="436"/>
      <c r="R85" s="81"/>
      <c r="S85" s="81"/>
      <c r="T85" s="80"/>
      <c r="U85" s="80"/>
    </row>
    <row r="86" spans="1:21" ht="12.75" x14ac:dyDescent="0.2">
      <c r="A86" s="439" t="s">
        <v>739</v>
      </c>
      <c r="B86" s="436"/>
      <c r="C86" s="896">
        <v>-16444</v>
      </c>
      <c r="D86" s="896">
        <v>-25779</v>
      </c>
      <c r="E86" s="896">
        <v>-38057</v>
      </c>
      <c r="F86" s="896">
        <v>-25589</v>
      </c>
      <c r="G86" s="896">
        <v>-16309</v>
      </c>
      <c r="H86" s="896">
        <v>-8493</v>
      </c>
      <c r="I86" s="896">
        <v>-7942</v>
      </c>
      <c r="J86" s="896">
        <v>-16996</v>
      </c>
      <c r="K86" s="896">
        <v>-6625</v>
      </c>
      <c r="L86" s="896">
        <v>-942</v>
      </c>
      <c r="M86" s="896">
        <v>-10576</v>
      </c>
      <c r="N86" s="896">
        <v>-18961</v>
      </c>
      <c r="O86" s="448">
        <f>SUM(C86:N86)</f>
        <v>-192713</v>
      </c>
      <c r="P86" s="435"/>
      <c r="Q86" s="436"/>
      <c r="R86" s="81"/>
      <c r="S86" s="81"/>
      <c r="T86" s="80"/>
      <c r="U86" s="80"/>
    </row>
    <row r="87" spans="1:21" ht="12.75" x14ac:dyDescent="0.2">
      <c r="A87" s="436"/>
      <c r="B87" s="436"/>
      <c r="C87" s="436"/>
      <c r="D87" s="436"/>
      <c r="E87" s="436"/>
      <c r="F87" s="436"/>
      <c r="G87" s="436"/>
      <c r="H87" s="436"/>
      <c r="I87" s="453"/>
      <c r="J87" s="453"/>
      <c r="K87" s="453"/>
      <c r="L87" s="453"/>
      <c r="M87" s="454"/>
      <c r="N87" s="453"/>
      <c r="O87" s="451"/>
      <c r="P87" s="435"/>
      <c r="Q87" s="436"/>
      <c r="R87" s="81"/>
      <c r="S87" s="81"/>
      <c r="T87" s="80"/>
      <c r="U87" s="80"/>
    </row>
    <row r="88" spans="1:21" ht="12.75" x14ac:dyDescent="0.2">
      <c r="A88" s="439" t="s">
        <v>769</v>
      </c>
      <c r="B88" s="436"/>
      <c r="C88" s="436"/>
      <c r="D88" s="436"/>
      <c r="E88" s="436"/>
      <c r="F88" s="436"/>
      <c r="G88" s="436"/>
      <c r="H88" s="436"/>
      <c r="I88" s="453"/>
      <c r="J88" s="453"/>
      <c r="K88" s="453"/>
      <c r="L88" s="453"/>
      <c r="M88" s="453"/>
      <c r="N88" s="453"/>
      <c r="O88" s="436"/>
      <c r="P88" s="435"/>
      <c r="Q88" s="436"/>
      <c r="R88" s="81"/>
      <c r="S88" s="81"/>
      <c r="T88" s="80"/>
      <c r="U88" s="80"/>
    </row>
    <row r="89" spans="1:21" ht="12.75" x14ac:dyDescent="0.2">
      <c r="A89" s="439" t="s">
        <v>739</v>
      </c>
      <c r="B89" s="436"/>
      <c r="C89" s="896">
        <v>-10766</v>
      </c>
      <c r="D89" s="896">
        <v>-12133</v>
      </c>
      <c r="E89" s="896">
        <v>-15593</v>
      </c>
      <c r="F89" s="896">
        <v>-23447</v>
      </c>
      <c r="G89" s="896">
        <v>-989</v>
      </c>
      <c r="H89" s="896">
        <v>-12871</v>
      </c>
      <c r="I89" s="896">
        <v>-16319</v>
      </c>
      <c r="J89" s="896">
        <v>1247</v>
      </c>
      <c r="K89" s="896">
        <v>-8972</v>
      </c>
      <c r="L89" s="896">
        <v>-32400</v>
      </c>
      <c r="M89" s="896">
        <v>-16209</v>
      </c>
      <c r="N89" s="896">
        <v>1138</v>
      </c>
      <c r="O89" s="448">
        <f>SUM(C89:N89)</f>
        <v>-147314</v>
      </c>
      <c r="P89" s="435"/>
      <c r="Q89" s="436"/>
      <c r="R89" s="81"/>
      <c r="S89" s="81"/>
      <c r="T89" s="80"/>
      <c r="U89" s="80"/>
    </row>
    <row r="90" spans="1:21" ht="12.75" x14ac:dyDescent="0.2">
      <c r="A90" s="436"/>
      <c r="B90" s="436"/>
      <c r="C90" s="436"/>
      <c r="D90" s="453"/>
      <c r="E90" s="453"/>
      <c r="F90" s="453"/>
      <c r="G90" s="453"/>
      <c r="H90" s="453"/>
      <c r="I90" s="453"/>
      <c r="J90" s="453"/>
      <c r="K90" s="453"/>
      <c r="L90" s="453"/>
      <c r="M90" s="454"/>
      <c r="N90" s="453"/>
      <c r="O90" s="451"/>
      <c r="P90" s="435"/>
      <c r="Q90" s="436"/>
      <c r="R90" s="81"/>
      <c r="S90" s="81"/>
      <c r="T90" s="80"/>
      <c r="U90" s="80"/>
    </row>
    <row r="91" spans="1:21" ht="12.75" x14ac:dyDescent="0.2">
      <c r="A91" s="439" t="s">
        <v>770</v>
      </c>
      <c r="B91" s="436"/>
      <c r="C91" s="436"/>
      <c r="D91" s="436"/>
      <c r="E91" s="436"/>
      <c r="F91" s="436"/>
      <c r="G91" s="436"/>
      <c r="H91" s="436"/>
      <c r="I91" s="453"/>
      <c r="J91" s="453"/>
      <c r="K91" s="453"/>
      <c r="L91" s="453"/>
      <c r="M91" s="453"/>
      <c r="N91" s="453"/>
      <c r="O91" s="436"/>
      <c r="P91" s="435"/>
      <c r="Q91" s="436"/>
      <c r="R91" s="81"/>
      <c r="S91" s="81"/>
      <c r="T91" s="80"/>
      <c r="U91" s="80"/>
    </row>
    <row r="92" spans="1:21" ht="12.75" x14ac:dyDescent="0.2">
      <c r="A92" s="439" t="s">
        <v>739</v>
      </c>
      <c r="B92" s="436"/>
      <c r="C92" s="896">
        <f>-246000+238999-265409-566516-32651</f>
        <v>-871577</v>
      </c>
      <c r="D92" s="896">
        <f>-232000+245999-75999+76999-151556-562506+18655</f>
        <v>-680408</v>
      </c>
      <c r="E92" s="896">
        <f>-161000+231999-76999+75999-177693-470172+43301</f>
        <v>-534565</v>
      </c>
      <c r="F92" s="896">
        <f>-79000+160999-75999+76999-108059-331813+9397</f>
        <v>-347476</v>
      </c>
      <c r="G92" s="896">
        <f>-52999+78999-105309-196826+112</f>
        <v>-276023</v>
      </c>
      <c r="H92" s="896">
        <f>-29000+52999-59053-170138+119</f>
        <v>-205073</v>
      </c>
      <c r="I92" s="896">
        <f>-33000+28999-55658-144726-10</f>
        <v>-204395</v>
      </c>
      <c r="J92" s="896">
        <f>-47999+32999-104753-134285-11</f>
        <v>-254049</v>
      </c>
      <c r="K92" s="896">
        <f>-39000+47999-74999+75999-64498-138191</f>
        <v>-192690</v>
      </c>
      <c r="L92" s="896">
        <f>-106000+38999-77999+74999-131704-166595+6</f>
        <v>-368294</v>
      </c>
      <c r="M92" s="896">
        <f>-212000+105999-78999+77999-266597-288869+4</f>
        <v>-662463</v>
      </c>
      <c r="N92" s="896">
        <f>-230999+211999-79999+78999-206166-525221+56265</f>
        <v>-695122</v>
      </c>
      <c r="O92" s="448">
        <f>SUM(C92:N92)</f>
        <v>-5292135</v>
      </c>
      <c r="P92" s="455"/>
      <c r="Q92" s="436"/>
      <c r="R92" s="81"/>
      <c r="S92" s="81"/>
      <c r="T92" s="80"/>
      <c r="U92" s="80"/>
    </row>
    <row r="93" spans="1:21" ht="12.75" x14ac:dyDescent="0.2">
      <c r="A93" s="439"/>
      <c r="B93" s="436"/>
      <c r="C93" s="896"/>
      <c r="D93" s="896"/>
      <c r="E93" s="896"/>
      <c r="F93" s="896"/>
      <c r="G93" s="896"/>
      <c r="H93" s="896"/>
      <c r="I93" s="896"/>
      <c r="J93" s="896"/>
      <c r="K93" s="896"/>
      <c r="L93" s="896"/>
      <c r="M93" s="896"/>
      <c r="N93" s="896"/>
      <c r="O93" s="448"/>
      <c r="P93" s="455"/>
      <c r="Q93" s="436"/>
      <c r="R93" s="81"/>
      <c r="S93" s="81"/>
      <c r="T93" s="80"/>
      <c r="U93" s="80"/>
    </row>
    <row r="94" spans="1:21" ht="12.75" x14ac:dyDescent="0.2">
      <c r="A94" s="439" t="s">
        <v>771</v>
      </c>
      <c r="B94" s="436"/>
      <c r="C94" s="453"/>
      <c r="D94" s="453"/>
      <c r="E94" s="453"/>
      <c r="F94" s="453"/>
      <c r="G94" s="453"/>
      <c r="H94" s="453"/>
      <c r="I94" s="453"/>
      <c r="J94" s="453"/>
      <c r="K94" s="453"/>
      <c r="L94" s="453"/>
      <c r="M94" s="453"/>
      <c r="N94" s="453"/>
      <c r="O94" s="453"/>
      <c r="P94" s="455"/>
      <c r="Q94" s="436"/>
      <c r="R94" s="81"/>
      <c r="S94" s="81"/>
      <c r="T94" s="80"/>
      <c r="U94" s="80"/>
    </row>
    <row r="95" spans="1:21" ht="12.75" x14ac:dyDescent="0.2">
      <c r="A95" s="439" t="s">
        <v>739</v>
      </c>
      <c r="B95" s="436"/>
      <c r="C95" s="896">
        <f>-575011-1410</f>
        <v>-576421</v>
      </c>
      <c r="D95" s="896">
        <f>-532965+1686</f>
        <v>-531279</v>
      </c>
      <c r="E95" s="896">
        <f>-478327+83</f>
        <v>-478244</v>
      </c>
      <c r="F95" s="896">
        <f>-425674+4736</f>
        <v>-420938</v>
      </c>
      <c r="G95" s="896">
        <f>-420216+3287</f>
        <v>-416929</v>
      </c>
      <c r="H95" s="896">
        <f>-316160+839</f>
        <v>-315321</v>
      </c>
      <c r="I95" s="896">
        <f>-351290+624</f>
        <v>-350666</v>
      </c>
      <c r="J95" s="896">
        <f>-381386+577</f>
        <v>-380809</v>
      </c>
      <c r="K95" s="896">
        <f>-452362+556</f>
        <v>-451806</v>
      </c>
      <c r="L95" s="896">
        <f>-431633-1114</f>
        <v>-432747</v>
      </c>
      <c r="M95" s="896">
        <f>-598853+1946</f>
        <v>-596907</v>
      </c>
      <c r="N95" s="896">
        <f>-360701+3504</f>
        <v>-357197</v>
      </c>
      <c r="O95" s="448">
        <f>SUM(C95:N95)</f>
        <v>-5309264</v>
      </c>
      <c r="P95" s="455"/>
      <c r="Q95" s="436"/>
      <c r="R95" s="81"/>
      <c r="S95" s="81"/>
      <c r="T95" s="80"/>
      <c r="U95" s="80"/>
    </row>
    <row r="96" spans="1:21" ht="12.75" x14ac:dyDescent="0.2">
      <c r="A96" s="439"/>
      <c r="B96" s="436"/>
      <c r="C96" s="448"/>
      <c r="D96" s="448"/>
      <c r="E96" s="448"/>
      <c r="F96" s="448"/>
      <c r="G96" s="448"/>
      <c r="H96" s="448"/>
      <c r="I96" s="917"/>
      <c r="J96" s="917"/>
      <c r="K96" s="917"/>
      <c r="L96" s="917"/>
      <c r="M96" s="454"/>
      <c r="N96" s="453"/>
      <c r="O96" s="451"/>
      <c r="P96" s="455"/>
      <c r="Q96" s="436"/>
      <c r="R96" s="81"/>
      <c r="S96" s="81"/>
      <c r="T96" s="80"/>
      <c r="U96" s="80"/>
    </row>
    <row r="97" spans="1:21" ht="12.75" x14ac:dyDescent="0.2">
      <c r="A97" s="439" t="s">
        <v>844</v>
      </c>
      <c r="B97" s="436"/>
      <c r="C97" s="448"/>
      <c r="D97" s="448"/>
      <c r="E97" s="448"/>
      <c r="F97" s="448"/>
      <c r="G97" s="448"/>
      <c r="H97" s="448"/>
      <c r="I97" s="917"/>
      <c r="J97" s="917"/>
      <c r="K97" s="917"/>
      <c r="L97" s="917"/>
      <c r="M97" s="917"/>
      <c r="N97" s="917"/>
      <c r="O97" s="448"/>
      <c r="P97" s="455"/>
      <c r="Q97" s="436"/>
      <c r="R97" s="81"/>
      <c r="S97" s="81"/>
      <c r="T97" s="80"/>
      <c r="U97" s="80"/>
    </row>
    <row r="98" spans="1:21" ht="12.75" x14ac:dyDescent="0.2">
      <c r="A98" s="439" t="s">
        <v>739</v>
      </c>
      <c r="B98" s="436"/>
      <c r="C98" s="896">
        <f>-435999+360999-963761-59737</f>
        <v>-1098498</v>
      </c>
      <c r="D98" s="896">
        <f>-393999+435999-235999+227999-1046294+28416</f>
        <v>-983878</v>
      </c>
      <c r="E98" s="896">
        <f>-257999+393999-236999+235999-927632+81874</f>
        <v>-710758</v>
      </c>
      <c r="F98" s="896">
        <f>-117999+257999-238999+236999-653241+22079</f>
        <v>-493162</v>
      </c>
      <c r="G98" s="896">
        <f>-66999+117999-237999+238999-419263-209</f>
        <v>-367472</v>
      </c>
      <c r="H98" s="896">
        <f>-32999+66999-239999+237999-334716-10</f>
        <v>-302726</v>
      </c>
      <c r="I98" s="896">
        <f>-30999+32999-238999+239999-299567-8</f>
        <v>-296575</v>
      </c>
      <c r="J98" s="896">
        <f>-34999+30999-239999+238999-294580+37</f>
        <v>-299543</v>
      </c>
      <c r="K98" s="896">
        <f>-299723+18</f>
        <v>-299705</v>
      </c>
      <c r="L98" s="896">
        <f>-162999+34999-240999+239999-319189+26</f>
        <v>-448163</v>
      </c>
      <c r="M98" s="896">
        <f>-368999+162999-244999+240999-545222</f>
        <v>-755222</v>
      </c>
      <c r="N98" s="896">
        <f>-408999+368999-253999+244999-1032821+113985</f>
        <v>-967836</v>
      </c>
      <c r="O98" s="448">
        <f>SUM(C98:N98)</f>
        <v>-7023538</v>
      </c>
      <c r="P98" s="455"/>
      <c r="Q98" s="436"/>
      <c r="R98" s="81"/>
      <c r="S98" s="81"/>
      <c r="T98" s="80"/>
      <c r="U98" s="80"/>
    </row>
    <row r="99" spans="1:21" ht="12.75" x14ac:dyDescent="0.2">
      <c r="A99" s="439"/>
      <c r="B99" s="436"/>
      <c r="C99" s="449"/>
      <c r="D99" s="901"/>
      <c r="E99" s="903"/>
      <c r="F99" s="903"/>
      <c r="G99" s="903"/>
      <c r="H99" s="449"/>
      <c r="I99" s="903"/>
      <c r="J99" s="903"/>
      <c r="K99" s="903"/>
      <c r="L99" s="903"/>
      <c r="M99" s="454"/>
      <c r="N99" s="453"/>
      <c r="O99" s="451"/>
      <c r="P99" s="435"/>
      <c r="Q99" s="436"/>
      <c r="R99" s="81"/>
      <c r="S99" s="81"/>
      <c r="T99" s="80"/>
      <c r="U99" s="80"/>
    </row>
    <row r="100" spans="1:21" ht="12.75" x14ac:dyDescent="0.2">
      <c r="A100" s="1429" t="s">
        <v>477</v>
      </c>
      <c r="B100" s="1430"/>
      <c r="C100" s="1430"/>
      <c r="D100" s="1430"/>
      <c r="E100" s="1430"/>
      <c r="F100" s="1430"/>
      <c r="G100" s="1430"/>
      <c r="H100" s="1430"/>
      <c r="I100" s="1430"/>
      <c r="J100" s="1430"/>
      <c r="K100" s="1430"/>
      <c r="L100" s="1430"/>
      <c r="M100" s="1430"/>
      <c r="N100" s="1430"/>
      <c r="O100" s="1430"/>
      <c r="P100" s="455"/>
      <c r="Q100" s="436"/>
      <c r="R100" s="81"/>
      <c r="S100" s="81"/>
      <c r="T100" s="80"/>
      <c r="U100" s="80"/>
    </row>
    <row r="101" spans="1:21" ht="12.75" x14ac:dyDescent="0.2">
      <c r="A101" s="1429" t="str">
        <f>+Input!C4</f>
        <v>CASE NO. 2017-xxxxx</v>
      </c>
      <c r="B101" s="1430"/>
      <c r="C101" s="1430"/>
      <c r="D101" s="1430"/>
      <c r="E101" s="1430"/>
      <c r="F101" s="1430"/>
      <c r="G101" s="1430"/>
      <c r="H101" s="1430"/>
      <c r="I101" s="1430"/>
      <c r="J101" s="1430"/>
      <c r="K101" s="1430"/>
      <c r="L101" s="1430"/>
      <c r="M101" s="1430"/>
      <c r="N101" s="1430"/>
      <c r="O101" s="1430"/>
      <c r="P101" s="455"/>
      <c r="Q101" s="436"/>
      <c r="R101" s="81"/>
      <c r="S101" s="81"/>
      <c r="T101" s="80"/>
      <c r="U101" s="80"/>
    </row>
    <row r="102" spans="1:21" ht="12.75" x14ac:dyDescent="0.2">
      <c r="A102" s="1429" t="s">
        <v>727</v>
      </c>
      <c r="B102" s="1430"/>
      <c r="C102" s="1430"/>
      <c r="D102" s="1430"/>
      <c r="E102" s="1430"/>
      <c r="F102" s="1430"/>
      <c r="G102" s="1430"/>
      <c r="H102" s="1430"/>
      <c r="I102" s="1430"/>
      <c r="J102" s="1430"/>
      <c r="K102" s="1430"/>
      <c r="L102" s="1430"/>
      <c r="M102" s="1430"/>
      <c r="N102" s="1430"/>
      <c r="O102" s="1430"/>
      <c r="P102" s="455"/>
      <c r="Q102" s="436"/>
      <c r="R102" s="81"/>
      <c r="S102" s="81"/>
      <c r="T102" s="80"/>
      <c r="U102" s="80"/>
    </row>
    <row r="103" spans="1:21" ht="12.75" x14ac:dyDescent="0.2">
      <c r="A103" s="1429" t="str">
        <f>+Input!C23</f>
        <v>FOR THE HISTORIC PERIOD 12 MONTHS ENDED DECEMBER 31, 2017 AND PRIOR PERIOD DECEMBER 31, 2016</v>
      </c>
      <c r="B103" s="1430"/>
      <c r="C103" s="1430"/>
      <c r="D103" s="1430"/>
      <c r="E103" s="1430"/>
      <c r="F103" s="1430"/>
      <c r="G103" s="1430"/>
      <c r="H103" s="1430"/>
      <c r="I103" s="1430"/>
      <c r="J103" s="1430"/>
      <c r="K103" s="1430"/>
      <c r="L103" s="1430"/>
      <c r="M103" s="1430"/>
      <c r="N103" s="1430"/>
      <c r="O103" s="1430"/>
      <c r="P103" s="455"/>
      <c r="Q103" s="436"/>
      <c r="R103" s="81"/>
      <c r="S103" s="81"/>
      <c r="T103" s="80"/>
      <c r="U103" s="80"/>
    </row>
    <row r="104" spans="1:21" ht="12.75" x14ac:dyDescent="0.2">
      <c r="A104" s="433"/>
      <c r="B104" s="434"/>
      <c r="C104" s="434"/>
      <c r="D104" s="434"/>
      <c r="E104" s="434"/>
      <c r="F104" s="434"/>
      <c r="G104" s="434"/>
      <c r="H104" s="434"/>
      <c r="I104" s="920"/>
      <c r="J104" s="920"/>
      <c r="K104" s="920"/>
      <c r="L104" s="920"/>
      <c r="M104" s="920"/>
      <c r="N104" s="930"/>
      <c r="O104" s="434"/>
      <c r="P104" s="455"/>
      <c r="Q104" s="436"/>
      <c r="R104" s="81"/>
      <c r="S104" s="81"/>
      <c r="T104" s="80"/>
      <c r="U104" s="80"/>
    </row>
    <row r="105" spans="1:21" ht="12.75" x14ac:dyDescent="0.2">
      <c r="A105" s="439" t="s">
        <v>839</v>
      </c>
      <c r="B105" s="436"/>
      <c r="C105" s="436"/>
      <c r="D105" s="436"/>
      <c r="E105" s="436"/>
      <c r="F105" s="436"/>
      <c r="G105" s="436"/>
      <c r="H105" s="436"/>
      <c r="I105" s="453"/>
      <c r="J105" s="453"/>
      <c r="K105" s="453"/>
      <c r="L105" s="453"/>
      <c r="M105" s="927"/>
      <c r="N105" s="453"/>
      <c r="O105" s="813" t="s">
        <v>752</v>
      </c>
      <c r="P105" s="455"/>
      <c r="Q105" s="436"/>
      <c r="R105" s="81"/>
      <c r="S105" s="81"/>
      <c r="T105" s="80"/>
      <c r="U105" s="80"/>
    </row>
    <row r="106" spans="1:21" ht="12.75" x14ac:dyDescent="0.2">
      <c r="A106" s="439" t="s">
        <v>490</v>
      </c>
      <c r="B106" s="436"/>
      <c r="C106" s="436"/>
      <c r="D106" s="436"/>
      <c r="E106" s="436"/>
      <c r="F106" s="436"/>
      <c r="G106" s="436"/>
      <c r="H106" s="436"/>
      <c r="I106" s="453"/>
      <c r="J106" s="453"/>
      <c r="K106" s="453"/>
      <c r="L106" s="453"/>
      <c r="M106" s="927"/>
      <c r="N106" s="453"/>
      <c r="O106" s="813" t="s">
        <v>1719</v>
      </c>
      <c r="P106" s="455"/>
      <c r="Q106" s="436"/>
      <c r="R106" s="81"/>
      <c r="S106" s="81"/>
      <c r="T106" s="80"/>
      <c r="U106" s="80"/>
    </row>
    <row r="107" spans="1:21" ht="12.75" x14ac:dyDescent="0.2">
      <c r="A107" s="441" t="s">
        <v>840</v>
      </c>
      <c r="B107" s="442"/>
      <c r="C107" s="442"/>
      <c r="D107" s="442"/>
      <c r="E107" s="442"/>
      <c r="F107" s="442"/>
      <c r="G107" s="442"/>
      <c r="H107" s="442"/>
      <c r="I107" s="918"/>
      <c r="J107" s="918"/>
      <c r="K107" s="918"/>
      <c r="L107" s="918"/>
      <c r="M107" s="928"/>
      <c r="N107" s="918"/>
      <c r="O107" s="814" t="str">
        <f>+Input!E27</f>
        <v>WITNESS:  C. Y. LAI</v>
      </c>
      <c r="P107" s="455"/>
      <c r="Q107" s="436"/>
      <c r="R107" s="81"/>
      <c r="S107" s="81"/>
      <c r="T107" s="80"/>
      <c r="U107" s="80"/>
    </row>
    <row r="108" spans="1:21" ht="12.75" x14ac:dyDescent="0.2">
      <c r="A108" s="1431" t="s">
        <v>728</v>
      </c>
      <c r="B108" s="1431"/>
      <c r="C108" s="437"/>
      <c r="D108" s="436"/>
      <c r="E108" s="436"/>
      <c r="F108" s="436"/>
      <c r="G108" s="436"/>
      <c r="H108" s="436"/>
      <c r="I108" s="453"/>
      <c r="J108" s="453"/>
      <c r="K108" s="453"/>
      <c r="L108" s="453"/>
      <c r="M108" s="453"/>
      <c r="N108" s="453"/>
      <c r="O108" s="436"/>
      <c r="P108" s="455"/>
      <c r="Q108" s="436"/>
      <c r="R108" s="81"/>
      <c r="S108" s="81"/>
      <c r="T108" s="80"/>
      <c r="U108" s="80"/>
    </row>
    <row r="109" spans="1:21" ht="12.75" x14ac:dyDescent="0.2">
      <c r="A109" s="1432" t="s">
        <v>729</v>
      </c>
      <c r="B109" s="1432"/>
      <c r="C109" s="443" t="s">
        <v>1011</v>
      </c>
      <c r="D109" s="443" t="s">
        <v>731</v>
      </c>
      <c r="E109" s="443" t="s">
        <v>732</v>
      </c>
      <c r="F109" s="443" t="s">
        <v>733</v>
      </c>
      <c r="G109" s="443" t="s">
        <v>734</v>
      </c>
      <c r="H109" s="443" t="s">
        <v>735</v>
      </c>
      <c r="I109" s="919" t="s">
        <v>736</v>
      </c>
      <c r="J109" s="919" t="s">
        <v>737</v>
      </c>
      <c r="K109" s="925" t="s">
        <v>1012</v>
      </c>
      <c r="L109" s="919" t="s">
        <v>1013</v>
      </c>
      <c r="M109" s="919" t="s">
        <v>730</v>
      </c>
      <c r="N109" s="919" t="s">
        <v>1014</v>
      </c>
      <c r="O109" s="444" t="s">
        <v>525</v>
      </c>
      <c r="P109" s="455"/>
      <c r="Q109" s="436"/>
      <c r="R109" s="81"/>
      <c r="S109" s="81"/>
      <c r="T109" s="80"/>
      <c r="U109" s="80"/>
    </row>
    <row r="110" spans="1:21" ht="12.75" x14ac:dyDescent="0.2">
      <c r="A110" s="436"/>
      <c r="B110" s="436"/>
      <c r="C110" s="445" t="s">
        <v>500</v>
      </c>
      <c r="D110" s="445" t="s">
        <v>500</v>
      </c>
      <c r="E110" s="445" t="s">
        <v>500</v>
      </c>
      <c r="F110" s="445" t="s">
        <v>500</v>
      </c>
      <c r="G110" s="445" t="s">
        <v>500</v>
      </c>
      <c r="H110" s="445" t="s">
        <v>500</v>
      </c>
      <c r="I110" s="910" t="s">
        <v>500</v>
      </c>
      <c r="J110" s="910" t="s">
        <v>500</v>
      </c>
      <c r="K110" s="910" t="s">
        <v>500</v>
      </c>
      <c r="L110" s="910" t="s">
        <v>500</v>
      </c>
      <c r="M110" s="910" t="s">
        <v>500</v>
      </c>
      <c r="N110" s="910" t="s">
        <v>500</v>
      </c>
      <c r="O110" s="445" t="s">
        <v>500</v>
      </c>
      <c r="P110" s="455"/>
      <c r="Q110" s="436"/>
      <c r="R110" s="81"/>
      <c r="S110" s="81"/>
      <c r="T110" s="80"/>
      <c r="U110" s="80"/>
    </row>
    <row r="111" spans="1:21" ht="12.75" x14ac:dyDescent="0.2">
      <c r="A111" s="436"/>
      <c r="B111" s="436"/>
      <c r="C111" s="445"/>
      <c r="D111" s="445"/>
      <c r="E111" s="445"/>
      <c r="F111" s="445"/>
      <c r="G111" s="445"/>
      <c r="H111" s="445"/>
      <c r="I111" s="910"/>
      <c r="J111" s="910"/>
      <c r="K111" s="910"/>
      <c r="L111" s="910"/>
      <c r="M111" s="910"/>
      <c r="N111" s="910"/>
      <c r="O111" s="445"/>
      <c r="P111" s="455"/>
      <c r="Q111" s="436"/>
      <c r="R111" s="81"/>
      <c r="S111" s="81"/>
      <c r="T111" s="80"/>
      <c r="U111" s="80"/>
    </row>
    <row r="112" spans="1:21" ht="12.75" x14ac:dyDescent="0.2">
      <c r="A112" s="439" t="s">
        <v>772</v>
      </c>
      <c r="B112" s="436"/>
      <c r="C112" s="436"/>
      <c r="D112" s="436"/>
      <c r="E112" s="436"/>
      <c r="F112" s="436"/>
      <c r="G112" s="436"/>
      <c r="H112" s="436"/>
      <c r="I112" s="453"/>
      <c r="J112" s="453"/>
      <c r="K112" s="453"/>
      <c r="L112" s="926"/>
      <c r="M112" s="926"/>
      <c r="N112" s="453"/>
      <c r="O112" s="436"/>
      <c r="P112" s="455"/>
      <c r="Q112" s="436"/>
      <c r="R112" s="81"/>
      <c r="S112" s="81"/>
      <c r="T112" s="80"/>
      <c r="U112" s="80"/>
    </row>
    <row r="113" spans="1:21" ht="12.75" x14ac:dyDescent="0.2">
      <c r="A113" s="439" t="s">
        <v>739</v>
      </c>
      <c r="B113" s="436"/>
      <c r="C113" s="896">
        <v>-5726007</v>
      </c>
      <c r="D113" s="896">
        <v>1052152</v>
      </c>
      <c r="E113" s="896">
        <v>2048502</v>
      </c>
      <c r="F113" s="896">
        <v>3284652</v>
      </c>
      <c r="G113" s="896">
        <v>-1367431</v>
      </c>
      <c r="H113" s="896">
        <v>883604</v>
      </c>
      <c r="I113" s="896">
        <v>-481632</v>
      </c>
      <c r="J113" s="896">
        <v>-267434</v>
      </c>
      <c r="K113" s="896">
        <v>-59889</v>
      </c>
      <c r="L113" s="896">
        <v>-5036440</v>
      </c>
      <c r="M113" s="896">
        <v>-8267601</v>
      </c>
      <c r="N113" s="896">
        <v>-2024385</v>
      </c>
      <c r="O113" s="448">
        <f>SUM(C113:N113)</f>
        <v>-15961909</v>
      </c>
      <c r="P113" s="455"/>
      <c r="Q113" s="436"/>
      <c r="R113" s="81"/>
      <c r="S113" s="81"/>
      <c r="T113" s="80"/>
      <c r="U113" s="80"/>
    </row>
    <row r="114" spans="1:21" ht="12.75" x14ac:dyDescent="0.2">
      <c r="A114" s="439" t="s">
        <v>740</v>
      </c>
      <c r="B114" s="436"/>
      <c r="C114" s="916">
        <v>-7261870</v>
      </c>
      <c r="D114" s="916">
        <v>522332</v>
      </c>
      <c r="E114" s="916">
        <v>5203952</v>
      </c>
      <c r="F114" s="916">
        <v>537772</v>
      </c>
      <c r="G114" s="916">
        <v>-1991022</v>
      </c>
      <c r="H114" s="916">
        <v>-1188378</v>
      </c>
      <c r="I114" s="916">
        <v>-1370865</v>
      </c>
      <c r="J114" s="916">
        <v>-65082</v>
      </c>
      <c r="K114" s="916">
        <v>-771394</v>
      </c>
      <c r="L114" s="916">
        <v>-2207445</v>
      </c>
      <c r="M114" s="916">
        <v>-4731441</v>
      </c>
      <c r="N114" s="916">
        <v>-4731984</v>
      </c>
      <c r="O114" s="450">
        <f>SUM(C114:N114)</f>
        <v>-18055425</v>
      </c>
      <c r="P114" s="455"/>
      <c r="Q114" s="436"/>
      <c r="R114" s="81"/>
      <c r="S114" s="81"/>
      <c r="T114" s="80"/>
      <c r="U114" s="80"/>
    </row>
    <row r="115" spans="1:21" ht="12.75" x14ac:dyDescent="0.2">
      <c r="A115" s="439" t="s">
        <v>741</v>
      </c>
      <c r="B115" s="436"/>
      <c r="C115" s="448">
        <f t="shared" ref="C115:N115" si="0">C113-C114</f>
        <v>1535863</v>
      </c>
      <c r="D115" s="448">
        <f t="shared" si="0"/>
        <v>529820</v>
      </c>
      <c r="E115" s="448">
        <f t="shared" si="0"/>
        <v>-3155450</v>
      </c>
      <c r="F115" s="448">
        <f t="shared" si="0"/>
        <v>2746880</v>
      </c>
      <c r="G115" s="448">
        <f t="shared" si="0"/>
        <v>623591</v>
      </c>
      <c r="H115" s="448">
        <f t="shared" si="0"/>
        <v>2071982</v>
      </c>
      <c r="I115" s="917">
        <f t="shared" si="0"/>
        <v>889233</v>
      </c>
      <c r="J115" s="917">
        <f t="shared" si="0"/>
        <v>-202352</v>
      </c>
      <c r="K115" s="917">
        <f t="shared" si="0"/>
        <v>711505</v>
      </c>
      <c r="L115" s="917">
        <f t="shared" si="0"/>
        <v>-2828995</v>
      </c>
      <c r="M115" s="917">
        <f t="shared" si="0"/>
        <v>-3536160</v>
      </c>
      <c r="N115" s="917">
        <f t="shared" si="0"/>
        <v>2707599</v>
      </c>
      <c r="O115" s="448">
        <f>SUM(C115:N115)</f>
        <v>2093516</v>
      </c>
      <c r="P115" s="455"/>
      <c r="Q115" s="436"/>
      <c r="R115" s="81"/>
      <c r="S115" s="81"/>
      <c r="T115" s="80"/>
      <c r="U115" s="80"/>
    </row>
    <row r="116" spans="1:21" ht="12.75" x14ac:dyDescent="0.2">
      <c r="A116" s="436"/>
      <c r="B116" s="436"/>
      <c r="C116" s="436"/>
      <c r="D116" s="453"/>
      <c r="E116" s="453"/>
      <c r="F116" s="453"/>
      <c r="G116" s="436"/>
      <c r="H116" s="436"/>
      <c r="I116" s="453"/>
      <c r="J116" s="453"/>
      <c r="K116" s="453"/>
      <c r="L116" s="453"/>
      <c r="M116" s="454" t="s">
        <v>742</v>
      </c>
      <c r="N116" s="453"/>
      <c r="O116" s="451">
        <f>(+O115/O114)*100</f>
        <v>-11.594941686501425</v>
      </c>
      <c r="P116" s="455"/>
      <c r="Q116" s="436"/>
      <c r="R116" s="81"/>
      <c r="S116" s="81"/>
      <c r="T116" s="80"/>
      <c r="U116" s="80"/>
    </row>
    <row r="117" spans="1:21" ht="12.75" x14ac:dyDescent="0.2">
      <c r="A117" s="440" t="s">
        <v>773</v>
      </c>
      <c r="B117" s="436"/>
      <c r="C117" s="436"/>
      <c r="D117" s="436"/>
      <c r="E117" s="436"/>
      <c r="F117" s="436"/>
      <c r="G117" s="436"/>
      <c r="H117" s="436"/>
      <c r="I117" s="453"/>
      <c r="J117" s="453"/>
      <c r="K117" s="453"/>
      <c r="L117" s="453"/>
      <c r="M117" s="453"/>
      <c r="N117" s="453"/>
      <c r="O117" s="436"/>
      <c r="P117" s="455"/>
      <c r="Q117" s="436"/>
      <c r="R117" s="81"/>
      <c r="S117" s="81"/>
      <c r="T117" s="80"/>
      <c r="U117" s="80"/>
    </row>
    <row r="118" spans="1:21" ht="12.75" x14ac:dyDescent="0.2">
      <c r="A118" s="439" t="s">
        <v>739</v>
      </c>
      <c r="B118" s="436"/>
      <c r="C118" s="896">
        <v>162</v>
      </c>
      <c r="D118" s="896">
        <v>85</v>
      </c>
      <c r="E118" s="896">
        <v>39</v>
      </c>
      <c r="F118" s="896">
        <v>76</v>
      </c>
      <c r="G118" s="896">
        <v>0</v>
      </c>
      <c r="H118" s="896">
        <v>97</v>
      </c>
      <c r="I118" s="896">
        <v>0</v>
      </c>
      <c r="J118" s="896">
        <v>93</v>
      </c>
      <c r="K118" s="896">
        <v>44</v>
      </c>
      <c r="L118" s="896">
        <v>0</v>
      </c>
      <c r="M118" s="896">
        <v>66</v>
      </c>
      <c r="N118" s="896">
        <v>44</v>
      </c>
      <c r="O118" s="448">
        <f>SUM(C118:N118)</f>
        <v>706</v>
      </c>
      <c r="P118" s="455"/>
      <c r="Q118" s="436"/>
      <c r="R118" s="81"/>
      <c r="S118" s="81"/>
      <c r="T118" s="80"/>
      <c r="U118" s="80"/>
    </row>
    <row r="119" spans="1:21" ht="12.75" x14ac:dyDescent="0.2">
      <c r="A119" s="439" t="s">
        <v>740</v>
      </c>
      <c r="B119" s="436"/>
      <c r="C119" s="916">
        <v>0</v>
      </c>
      <c r="D119" s="916">
        <v>84</v>
      </c>
      <c r="E119" s="916">
        <v>218</v>
      </c>
      <c r="F119" s="916">
        <v>93</v>
      </c>
      <c r="G119" s="916">
        <v>0</v>
      </c>
      <c r="H119" s="916">
        <v>49</v>
      </c>
      <c r="I119" s="916">
        <v>56</v>
      </c>
      <c r="J119" s="916">
        <v>37</v>
      </c>
      <c r="K119" s="916">
        <v>46</v>
      </c>
      <c r="L119" s="916">
        <v>47</v>
      </c>
      <c r="M119" s="916">
        <v>68</v>
      </c>
      <c r="N119" s="916">
        <v>21</v>
      </c>
      <c r="O119" s="450">
        <f>SUM(C119:N119)</f>
        <v>719</v>
      </c>
      <c r="P119" s="455"/>
      <c r="Q119" s="436"/>
      <c r="R119" s="81"/>
      <c r="S119" s="81"/>
      <c r="T119" s="80"/>
      <c r="U119" s="80"/>
    </row>
    <row r="120" spans="1:21" ht="12.75" x14ac:dyDescent="0.2">
      <c r="A120" s="439" t="s">
        <v>741</v>
      </c>
      <c r="B120" s="436"/>
      <c r="C120" s="448">
        <f t="shared" ref="C120:N120" si="1">C118-C119</f>
        <v>162</v>
      </c>
      <c r="D120" s="448">
        <f t="shared" si="1"/>
        <v>1</v>
      </c>
      <c r="E120" s="448">
        <f t="shared" si="1"/>
        <v>-179</v>
      </c>
      <c r="F120" s="448">
        <f t="shared" si="1"/>
        <v>-17</v>
      </c>
      <c r="G120" s="448">
        <f t="shared" si="1"/>
        <v>0</v>
      </c>
      <c r="H120" s="448">
        <f t="shared" si="1"/>
        <v>48</v>
      </c>
      <c r="I120" s="917">
        <f t="shared" si="1"/>
        <v>-56</v>
      </c>
      <c r="J120" s="917">
        <f t="shared" si="1"/>
        <v>56</v>
      </c>
      <c r="K120" s="917">
        <f t="shared" si="1"/>
        <v>-2</v>
      </c>
      <c r="L120" s="917">
        <f t="shared" si="1"/>
        <v>-47</v>
      </c>
      <c r="M120" s="917">
        <f t="shared" si="1"/>
        <v>-2</v>
      </c>
      <c r="N120" s="917">
        <f t="shared" si="1"/>
        <v>23</v>
      </c>
      <c r="O120" s="448">
        <f>SUM(C120:N120)</f>
        <v>-13</v>
      </c>
      <c r="P120" s="455"/>
      <c r="Q120" s="436"/>
      <c r="R120" s="81"/>
      <c r="S120" s="81"/>
      <c r="T120" s="80"/>
      <c r="U120" s="80"/>
    </row>
    <row r="121" spans="1:21" ht="12.75" x14ac:dyDescent="0.2">
      <c r="A121" s="436"/>
      <c r="B121" s="436"/>
      <c r="C121" s="436"/>
      <c r="D121" s="436"/>
      <c r="E121" s="436"/>
      <c r="F121" s="436"/>
      <c r="G121" s="436"/>
      <c r="H121" s="436"/>
      <c r="I121" s="453"/>
      <c r="J121" s="453"/>
      <c r="K121" s="453"/>
      <c r="L121" s="453"/>
      <c r="M121" s="454" t="s">
        <v>742</v>
      </c>
      <c r="N121" s="453"/>
      <c r="O121" s="451">
        <f>(+O120/O119)*100</f>
        <v>-1.8080667593880391</v>
      </c>
      <c r="P121" s="455"/>
      <c r="Q121" s="436"/>
      <c r="R121" s="81"/>
      <c r="S121" s="81"/>
      <c r="T121" s="80"/>
      <c r="U121" s="80"/>
    </row>
    <row r="122" spans="1:21" ht="12.75" x14ac:dyDescent="0.2">
      <c r="A122" s="440" t="s">
        <v>775</v>
      </c>
      <c r="B122" s="436"/>
      <c r="C122" s="436"/>
      <c r="D122" s="436"/>
      <c r="E122" s="436"/>
      <c r="F122" s="436"/>
      <c r="G122" s="436"/>
      <c r="H122" s="436"/>
      <c r="I122" s="453"/>
      <c r="J122" s="453"/>
      <c r="K122" s="453"/>
      <c r="L122" s="453"/>
      <c r="M122" s="453"/>
      <c r="N122" s="453"/>
      <c r="O122" s="436"/>
      <c r="P122" s="455"/>
      <c r="Q122" s="436"/>
      <c r="R122" s="81"/>
      <c r="S122" s="81"/>
      <c r="T122" s="80"/>
      <c r="U122" s="80"/>
    </row>
    <row r="123" spans="1:21" ht="12.75" x14ac:dyDescent="0.2">
      <c r="A123" s="439" t="s">
        <v>739</v>
      </c>
      <c r="B123" s="436"/>
      <c r="C123" s="896">
        <v>0</v>
      </c>
      <c r="D123" s="896">
        <v>0</v>
      </c>
      <c r="E123" s="896">
        <v>0</v>
      </c>
      <c r="F123" s="896">
        <v>0</v>
      </c>
      <c r="G123" s="896">
        <v>0</v>
      </c>
      <c r="H123" s="896">
        <v>0</v>
      </c>
      <c r="I123" s="896">
        <v>0</v>
      </c>
      <c r="J123" s="896">
        <v>0</v>
      </c>
      <c r="K123" s="896">
        <v>0</v>
      </c>
      <c r="L123" s="896">
        <v>0</v>
      </c>
      <c r="M123" s="896">
        <v>0</v>
      </c>
      <c r="N123" s="896">
        <v>0</v>
      </c>
      <c r="O123" s="448">
        <f>SUM(C123:N123)</f>
        <v>0</v>
      </c>
      <c r="P123" s="455"/>
      <c r="Q123" s="436"/>
      <c r="R123" s="81"/>
      <c r="S123" s="81"/>
      <c r="T123" s="80"/>
      <c r="U123" s="80"/>
    </row>
    <row r="124" spans="1:21" ht="12.75" x14ac:dyDescent="0.2">
      <c r="A124" s="439" t="s">
        <v>740</v>
      </c>
      <c r="B124" s="436"/>
      <c r="C124" s="916">
        <v>0</v>
      </c>
      <c r="D124" s="916">
        <v>0</v>
      </c>
      <c r="E124" s="916">
        <v>0</v>
      </c>
      <c r="F124" s="916">
        <v>0</v>
      </c>
      <c r="G124" s="916">
        <v>0</v>
      </c>
      <c r="H124" s="916">
        <v>0</v>
      </c>
      <c r="I124" s="916">
        <v>0</v>
      </c>
      <c r="J124" s="916">
        <v>0</v>
      </c>
      <c r="K124" s="916">
        <v>0</v>
      </c>
      <c r="L124" s="916">
        <v>0</v>
      </c>
      <c r="M124" s="916">
        <v>0</v>
      </c>
      <c r="N124" s="916">
        <v>0</v>
      </c>
      <c r="O124" s="450">
        <f>SUM(C124:N124)</f>
        <v>0</v>
      </c>
      <c r="P124" s="455"/>
      <c r="Q124" s="436"/>
      <c r="R124" s="81"/>
      <c r="S124" s="81"/>
      <c r="T124" s="80"/>
      <c r="U124" s="80"/>
    </row>
    <row r="125" spans="1:21" ht="12.75" x14ac:dyDescent="0.2">
      <c r="A125" s="439" t="s">
        <v>741</v>
      </c>
      <c r="B125" s="436"/>
      <c r="C125" s="448">
        <f t="shared" ref="C125:O125" si="2">C123-C124</f>
        <v>0</v>
      </c>
      <c r="D125" s="448">
        <f t="shared" si="2"/>
        <v>0</v>
      </c>
      <c r="E125" s="448">
        <f t="shared" si="2"/>
        <v>0</v>
      </c>
      <c r="F125" s="448">
        <f t="shared" si="2"/>
        <v>0</v>
      </c>
      <c r="G125" s="448">
        <f t="shared" si="2"/>
        <v>0</v>
      </c>
      <c r="H125" s="448">
        <f t="shared" si="2"/>
        <v>0</v>
      </c>
      <c r="I125" s="917">
        <f t="shared" si="2"/>
        <v>0</v>
      </c>
      <c r="J125" s="917">
        <f t="shared" si="2"/>
        <v>0</v>
      </c>
      <c r="K125" s="917">
        <f t="shared" si="2"/>
        <v>0</v>
      </c>
      <c r="L125" s="917">
        <f t="shared" si="2"/>
        <v>0</v>
      </c>
      <c r="M125" s="917">
        <f t="shared" si="2"/>
        <v>0</v>
      </c>
      <c r="N125" s="917">
        <f t="shared" si="2"/>
        <v>0</v>
      </c>
      <c r="O125" s="448">
        <f t="shared" si="2"/>
        <v>0</v>
      </c>
      <c r="P125" s="455"/>
      <c r="Q125" s="436"/>
      <c r="R125" s="81"/>
      <c r="S125" s="81"/>
      <c r="T125" s="80"/>
      <c r="U125" s="80"/>
    </row>
    <row r="126" spans="1:21" ht="12.75" x14ac:dyDescent="0.2">
      <c r="A126" s="436"/>
      <c r="B126" s="436"/>
      <c r="C126" s="436"/>
      <c r="D126" s="436"/>
      <c r="E126" s="436"/>
      <c r="F126" s="436"/>
      <c r="G126" s="436"/>
      <c r="H126" s="436"/>
      <c r="I126" s="453"/>
      <c r="J126" s="453"/>
      <c r="K126" s="453"/>
      <c r="L126" s="453"/>
      <c r="M126" s="454" t="s">
        <v>742</v>
      </c>
      <c r="N126" s="453"/>
      <c r="O126" s="451">
        <v>0</v>
      </c>
      <c r="P126" s="455"/>
      <c r="Q126" s="436"/>
      <c r="R126" s="81"/>
      <c r="S126" s="81"/>
      <c r="T126" s="80"/>
      <c r="U126" s="80"/>
    </row>
    <row r="127" spans="1:21" ht="12.75" x14ac:dyDescent="0.2">
      <c r="A127" s="440" t="s">
        <v>776</v>
      </c>
      <c r="B127" s="436"/>
      <c r="C127" s="436"/>
      <c r="D127" s="436"/>
      <c r="E127" s="436"/>
      <c r="F127" s="436"/>
      <c r="G127" s="436"/>
      <c r="H127" s="436"/>
      <c r="I127" s="453"/>
      <c r="J127" s="453"/>
      <c r="K127" s="453"/>
      <c r="L127" s="453"/>
      <c r="M127" s="453"/>
      <c r="N127" s="453"/>
      <c r="O127" s="436"/>
      <c r="P127" s="455"/>
      <c r="Q127" s="436"/>
      <c r="R127" s="81"/>
      <c r="S127" s="81"/>
      <c r="T127" s="80"/>
      <c r="U127" s="80"/>
    </row>
    <row r="128" spans="1:21" ht="12.75" x14ac:dyDescent="0.2">
      <c r="A128" s="439" t="s">
        <v>739</v>
      </c>
      <c r="B128" s="436"/>
      <c r="C128" s="896">
        <v>0</v>
      </c>
      <c r="D128" s="896">
        <v>0</v>
      </c>
      <c r="E128" s="896">
        <v>0</v>
      </c>
      <c r="F128" s="896">
        <v>0</v>
      </c>
      <c r="G128" s="896">
        <v>0</v>
      </c>
      <c r="H128" s="896">
        <v>0</v>
      </c>
      <c r="I128" s="896">
        <v>0</v>
      </c>
      <c r="J128" s="896">
        <v>0</v>
      </c>
      <c r="K128" s="896">
        <v>0</v>
      </c>
      <c r="L128" s="896">
        <v>0</v>
      </c>
      <c r="M128" s="896">
        <v>0</v>
      </c>
      <c r="N128" s="896">
        <v>0</v>
      </c>
      <c r="O128" s="448">
        <f>SUM(C128:N128)</f>
        <v>0</v>
      </c>
      <c r="P128" s="455"/>
      <c r="Q128" s="436"/>
      <c r="R128" s="81"/>
      <c r="S128" s="81"/>
      <c r="T128" s="80"/>
      <c r="U128" s="80"/>
    </row>
    <row r="129" spans="1:21" ht="12.75" x14ac:dyDescent="0.2">
      <c r="A129" s="439" t="s">
        <v>740</v>
      </c>
      <c r="B129" s="436"/>
      <c r="C129" s="916">
        <v>0</v>
      </c>
      <c r="D129" s="916">
        <v>0</v>
      </c>
      <c r="E129" s="916">
        <v>0</v>
      </c>
      <c r="F129" s="916">
        <v>0</v>
      </c>
      <c r="G129" s="916">
        <v>0</v>
      </c>
      <c r="H129" s="916">
        <v>0</v>
      </c>
      <c r="I129" s="916">
        <v>0</v>
      </c>
      <c r="J129" s="916">
        <v>0</v>
      </c>
      <c r="K129" s="916">
        <v>0</v>
      </c>
      <c r="L129" s="916">
        <v>0</v>
      </c>
      <c r="M129" s="916">
        <v>0</v>
      </c>
      <c r="N129" s="916">
        <v>0</v>
      </c>
      <c r="O129" s="450">
        <f>SUM(C129:N129)</f>
        <v>0</v>
      </c>
      <c r="P129" s="455"/>
      <c r="Q129" s="436"/>
      <c r="R129" s="81"/>
      <c r="S129" s="81"/>
      <c r="T129" s="80"/>
      <c r="U129" s="80"/>
    </row>
    <row r="130" spans="1:21" ht="12.75" x14ac:dyDescent="0.2">
      <c r="A130" s="439" t="s">
        <v>741</v>
      </c>
      <c r="B130" s="436"/>
      <c r="C130" s="448">
        <f t="shared" ref="C130:O130" si="3">C128-C129</f>
        <v>0</v>
      </c>
      <c r="D130" s="448">
        <f t="shared" si="3"/>
        <v>0</v>
      </c>
      <c r="E130" s="448">
        <f t="shared" si="3"/>
        <v>0</v>
      </c>
      <c r="F130" s="448">
        <f t="shared" si="3"/>
        <v>0</v>
      </c>
      <c r="G130" s="448">
        <f t="shared" si="3"/>
        <v>0</v>
      </c>
      <c r="H130" s="448">
        <f t="shared" si="3"/>
        <v>0</v>
      </c>
      <c r="I130" s="917">
        <f t="shared" si="3"/>
        <v>0</v>
      </c>
      <c r="J130" s="917">
        <f t="shared" si="3"/>
        <v>0</v>
      </c>
      <c r="K130" s="917">
        <f t="shared" si="3"/>
        <v>0</v>
      </c>
      <c r="L130" s="917">
        <f t="shared" si="3"/>
        <v>0</v>
      </c>
      <c r="M130" s="917">
        <f t="shared" si="3"/>
        <v>0</v>
      </c>
      <c r="N130" s="917">
        <f t="shared" si="3"/>
        <v>0</v>
      </c>
      <c r="O130" s="448">
        <f t="shared" si="3"/>
        <v>0</v>
      </c>
      <c r="P130" s="455"/>
      <c r="Q130" s="436"/>
      <c r="R130" s="81"/>
      <c r="S130" s="81"/>
      <c r="T130" s="80"/>
      <c r="U130" s="80"/>
    </row>
    <row r="131" spans="1:21" ht="12.75" x14ac:dyDescent="0.2">
      <c r="A131" s="436"/>
      <c r="B131" s="436"/>
      <c r="C131" s="436"/>
      <c r="D131" s="436"/>
      <c r="E131" s="436"/>
      <c r="F131" s="436"/>
      <c r="G131" s="436"/>
      <c r="H131" s="436"/>
      <c r="I131" s="453"/>
      <c r="J131" s="453"/>
      <c r="K131" s="453"/>
      <c r="L131" s="453"/>
      <c r="M131" s="454" t="s">
        <v>742</v>
      </c>
      <c r="N131" s="453"/>
      <c r="O131" s="451">
        <v>0</v>
      </c>
      <c r="P131" s="455"/>
      <c r="Q131" s="436"/>
      <c r="R131" s="81"/>
      <c r="S131" s="81"/>
      <c r="T131" s="80"/>
      <c r="U131" s="80"/>
    </row>
    <row r="132" spans="1:21" ht="12.75" x14ac:dyDescent="0.2">
      <c r="A132" s="436"/>
      <c r="B132" s="436"/>
      <c r="C132" s="445"/>
      <c r="D132" s="445"/>
      <c r="E132" s="445"/>
      <c r="F132" s="445"/>
      <c r="G132" s="445"/>
      <c r="H132" s="445"/>
      <c r="I132" s="910"/>
      <c r="J132" s="910"/>
      <c r="K132" s="910"/>
      <c r="L132" s="910"/>
      <c r="M132" s="910"/>
      <c r="N132" s="910"/>
      <c r="O132" s="445"/>
      <c r="P132" s="455"/>
      <c r="Q132" s="436"/>
      <c r="R132" s="81"/>
      <c r="S132" s="81"/>
      <c r="T132" s="80"/>
      <c r="U132" s="80"/>
    </row>
    <row r="133" spans="1:21" ht="12.75" x14ac:dyDescent="0.2">
      <c r="A133" s="440" t="s">
        <v>777</v>
      </c>
      <c r="B133" s="436"/>
      <c r="C133" s="436"/>
      <c r="D133" s="436"/>
      <c r="E133" s="436"/>
      <c r="F133" s="436"/>
      <c r="G133" s="436"/>
      <c r="H133" s="436"/>
      <c r="I133" s="453"/>
      <c r="J133" s="453"/>
      <c r="K133" s="453"/>
      <c r="L133" s="453"/>
      <c r="M133" s="453"/>
      <c r="N133" s="453"/>
      <c r="O133" s="436"/>
      <c r="P133" s="455"/>
      <c r="Q133" s="436"/>
      <c r="R133" s="81"/>
      <c r="S133" s="81"/>
      <c r="T133" s="80"/>
      <c r="U133" s="80"/>
    </row>
    <row r="134" spans="1:21" ht="12.75" x14ac:dyDescent="0.2">
      <c r="A134" s="439" t="s">
        <v>739</v>
      </c>
      <c r="B134" s="436"/>
      <c r="C134" s="896">
        <v>0</v>
      </c>
      <c r="D134" s="896">
        <v>0</v>
      </c>
      <c r="E134" s="896">
        <v>0</v>
      </c>
      <c r="F134" s="896">
        <v>0</v>
      </c>
      <c r="G134" s="896">
        <v>0</v>
      </c>
      <c r="H134" s="896">
        <v>0</v>
      </c>
      <c r="I134" s="896">
        <v>0</v>
      </c>
      <c r="J134" s="896">
        <v>0</v>
      </c>
      <c r="K134" s="896">
        <v>0</v>
      </c>
      <c r="L134" s="896">
        <v>0</v>
      </c>
      <c r="M134" s="896">
        <v>0</v>
      </c>
      <c r="N134" s="896">
        <v>0</v>
      </c>
      <c r="O134" s="448">
        <f>SUM(C134:N134)</f>
        <v>0</v>
      </c>
      <c r="P134" s="455"/>
      <c r="Q134" s="436"/>
      <c r="R134" s="81"/>
      <c r="S134" s="81"/>
      <c r="T134" s="80"/>
      <c r="U134" s="80"/>
    </row>
    <row r="135" spans="1:21" ht="12.75" x14ac:dyDescent="0.2">
      <c r="A135" s="439" t="s">
        <v>740</v>
      </c>
      <c r="B135" s="436"/>
      <c r="C135" s="916">
        <v>0</v>
      </c>
      <c r="D135" s="916">
        <v>0</v>
      </c>
      <c r="E135" s="916">
        <v>0</v>
      </c>
      <c r="F135" s="916">
        <v>0</v>
      </c>
      <c r="G135" s="916">
        <v>0</v>
      </c>
      <c r="H135" s="916">
        <v>0</v>
      </c>
      <c r="I135" s="916">
        <v>0</v>
      </c>
      <c r="J135" s="916">
        <v>0</v>
      </c>
      <c r="K135" s="916">
        <v>0</v>
      </c>
      <c r="L135" s="916">
        <v>0</v>
      </c>
      <c r="M135" s="916">
        <v>0</v>
      </c>
      <c r="N135" s="916">
        <v>0</v>
      </c>
      <c r="O135" s="450">
        <f>SUM(C135:N135)</f>
        <v>0</v>
      </c>
      <c r="P135" s="455"/>
      <c r="Q135" s="436"/>
      <c r="R135" s="81"/>
      <c r="S135" s="81"/>
      <c r="T135" s="80"/>
      <c r="U135" s="80"/>
    </row>
    <row r="136" spans="1:21" ht="12.75" x14ac:dyDescent="0.2">
      <c r="A136" s="439" t="s">
        <v>741</v>
      </c>
      <c r="B136" s="436"/>
      <c r="C136" s="448">
        <f t="shared" ref="C136:O136" si="4">C134-C135</f>
        <v>0</v>
      </c>
      <c r="D136" s="448">
        <f t="shared" si="4"/>
        <v>0</v>
      </c>
      <c r="E136" s="448">
        <f t="shared" si="4"/>
        <v>0</v>
      </c>
      <c r="F136" s="448">
        <f t="shared" si="4"/>
        <v>0</v>
      </c>
      <c r="G136" s="448">
        <f t="shared" si="4"/>
        <v>0</v>
      </c>
      <c r="H136" s="448">
        <f t="shared" si="4"/>
        <v>0</v>
      </c>
      <c r="I136" s="917">
        <f t="shared" si="4"/>
        <v>0</v>
      </c>
      <c r="J136" s="917">
        <f t="shared" si="4"/>
        <v>0</v>
      </c>
      <c r="K136" s="917">
        <f t="shared" si="4"/>
        <v>0</v>
      </c>
      <c r="L136" s="917">
        <f t="shared" si="4"/>
        <v>0</v>
      </c>
      <c r="M136" s="917">
        <f t="shared" si="4"/>
        <v>0</v>
      </c>
      <c r="N136" s="917">
        <f t="shared" si="4"/>
        <v>0</v>
      </c>
      <c r="O136" s="448">
        <f t="shared" si="4"/>
        <v>0</v>
      </c>
      <c r="P136" s="455"/>
      <c r="Q136" s="436"/>
      <c r="R136" s="81"/>
      <c r="S136" s="81"/>
      <c r="T136" s="80"/>
      <c r="U136" s="80"/>
    </row>
    <row r="137" spans="1:21" ht="12.75" x14ac:dyDescent="0.2">
      <c r="A137" s="436"/>
      <c r="B137" s="436"/>
      <c r="C137" s="436"/>
      <c r="D137" s="436"/>
      <c r="E137" s="436"/>
      <c r="F137" s="436"/>
      <c r="G137" s="436"/>
      <c r="H137" s="436"/>
      <c r="I137" s="453"/>
      <c r="J137" s="453"/>
      <c r="K137" s="453"/>
      <c r="L137" s="453"/>
      <c r="M137" s="454" t="s">
        <v>742</v>
      </c>
      <c r="N137" s="453"/>
      <c r="O137" s="451">
        <v>0</v>
      </c>
      <c r="P137" s="455"/>
      <c r="Q137" s="436"/>
      <c r="R137" s="81"/>
      <c r="S137" s="81"/>
      <c r="T137" s="80"/>
      <c r="U137" s="80"/>
    </row>
    <row r="138" spans="1:21" ht="12.75" x14ac:dyDescent="0.2">
      <c r="A138" s="440" t="s">
        <v>778</v>
      </c>
      <c r="B138" s="436"/>
      <c r="C138" s="436"/>
      <c r="D138" s="436"/>
      <c r="E138" s="436"/>
      <c r="F138" s="436"/>
      <c r="G138" s="436"/>
      <c r="H138" s="436"/>
      <c r="I138" s="453"/>
      <c r="J138" s="453"/>
      <c r="K138" s="453"/>
      <c r="L138" s="453"/>
      <c r="M138" s="453"/>
      <c r="N138" s="453"/>
      <c r="O138" s="436"/>
      <c r="P138" s="455"/>
      <c r="Q138" s="436"/>
      <c r="R138" s="81"/>
      <c r="S138" s="81"/>
      <c r="T138" s="80"/>
      <c r="U138" s="80"/>
    </row>
    <row r="139" spans="1:21" ht="12.75" x14ac:dyDescent="0.2">
      <c r="A139" s="439" t="s">
        <v>739</v>
      </c>
      <c r="B139" s="436"/>
      <c r="C139" s="896">
        <v>0</v>
      </c>
      <c r="D139" s="896">
        <v>0</v>
      </c>
      <c r="E139" s="896">
        <v>0</v>
      </c>
      <c r="F139" s="896">
        <v>0</v>
      </c>
      <c r="G139" s="896">
        <v>0</v>
      </c>
      <c r="H139" s="896">
        <v>0</v>
      </c>
      <c r="I139" s="896">
        <v>0</v>
      </c>
      <c r="J139" s="896">
        <v>0</v>
      </c>
      <c r="K139" s="896">
        <v>0</v>
      </c>
      <c r="L139" s="896">
        <v>0</v>
      </c>
      <c r="M139" s="896">
        <v>0</v>
      </c>
      <c r="N139" s="896">
        <v>0</v>
      </c>
      <c r="O139" s="448">
        <f>SUM(C139:N139)</f>
        <v>0</v>
      </c>
      <c r="P139" s="455"/>
      <c r="Q139" s="436"/>
      <c r="R139" s="81"/>
      <c r="S139" s="81"/>
      <c r="T139" s="80"/>
      <c r="U139" s="80"/>
    </row>
    <row r="140" spans="1:21" ht="12.75" x14ac:dyDescent="0.2">
      <c r="A140" s="439" t="s">
        <v>740</v>
      </c>
      <c r="B140" s="436"/>
      <c r="C140" s="916">
        <v>0</v>
      </c>
      <c r="D140" s="916">
        <v>0</v>
      </c>
      <c r="E140" s="916">
        <v>0</v>
      </c>
      <c r="F140" s="916">
        <v>0</v>
      </c>
      <c r="G140" s="916">
        <v>0</v>
      </c>
      <c r="H140" s="916">
        <v>0</v>
      </c>
      <c r="I140" s="916">
        <v>0</v>
      </c>
      <c r="J140" s="916">
        <v>0</v>
      </c>
      <c r="K140" s="916">
        <v>0</v>
      </c>
      <c r="L140" s="916">
        <v>0</v>
      </c>
      <c r="M140" s="916">
        <v>0</v>
      </c>
      <c r="N140" s="916">
        <v>0</v>
      </c>
      <c r="O140" s="450">
        <f>SUM(C140:N140)</f>
        <v>0</v>
      </c>
      <c r="P140" s="455"/>
      <c r="Q140" s="436"/>
      <c r="R140" s="81"/>
      <c r="S140" s="81"/>
      <c r="T140" s="80"/>
      <c r="U140" s="80"/>
    </row>
    <row r="141" spans="1:21" ht="12.75" x14ac:dyDescent="0.2">
      <c r="A141" s="439" t="s">
        <v>741</v>
      </c>
      <c r="B141" s="436"/>
      <c r="C141" s="448">
        <f t="shared" ref="C141:O141" si="5">C139-C140</f>
        <v>0</v>
      </c>
      <c r="D141" s="448">
        <f t="shared" si="5"/>
        <v>0</v>
      </c>
      <c r="E141" s="448">
        <f t="shared" si="5"/>
        <v>0</v>
      </c>
      <c r="F141" s="448">
        <f t="shared" si="5"/>
        <v>0</v>
      </c>
      <c r="G141" s="448">
        <f t="shared" si="5"/>
        <v>0</v>
      </c>
      <c r="H141" s="448">
        <f t="shared" si="5"/>
        <v>0</v>
      </c>
      <c r="I141" s="917">
        <f t="shared" si="5"/>
        <v>0</v>
      </c>
      <c r="J141" s="917">
        <f t="shared" si="5"/>
        <v>0</v>
      </c>
      <c r="K141" s="917">
        <f t="shared" si="5"/>
        <v>0</v>
      </c>
      <c r="L141" s="917">
        <f t="shared" si="5"/>
        <v>0</v>
      </c>
      <c r="M141" s="917">
        <f t="shared" si="5"/>
        <v>0</v>
      </c>
      <c r="N141" s="917">
        <f t="shared" si="5"/>
        <v>0</v>
      </c>
      <c r="O141" s="448">
        <f t="shared" si="5"/>
        <v>0</v>
      </c>
      <c r="P141" s="455"/>
      <c r="Q141" s="436"/>
      <c r="R141" s="81"/>
      <c r="S141" s="81"/>
      <c r="T141" s="80"/>
      <c r="U141" s="80"/>
    </row>
    <row r="142" spans="1:21" ht="12.75" x14ac:dyDescent="0.2">
      <c r="A142" s="436"/>
      <c r="B142" s="436"/>
      <c r="C142" s="436"/>
      <c r="D142" s="452"/>
      <c r="E142" s="453"/>
      <c r="F142" s="453"/>
      <c r="G142" s="436"/>
      <c r="H142" s="436"/>
      <c r="I142" s="453"/>
      <c r="J142" s="453"/>
      <c r="K142" s="453"/>
      <c r="L142" s="453"/>
      <c r="M142" s="454" t="s">
        <v>742</v>
      </c>
      <c r="N142" s="453"/>
      <c r="O142" s="451">
        <v>0</v>
      </c>
      <c r="P142" s="455"/>
      <c r="Q142" s="436"/>
      <c r="R142" s="81"/>
      <c r="S142" s="81"/>
      <c r="T142" s="80"/>
      <c r="U142" s="80"/>
    </row>
    <row r="143" spans="1:21" ht="12.75" x14ac:dyDescent="0.2">
      <c r="A143" s="440" t="s">
        <v>779</v>
      </c>
      <c r="B143" s="436"/>
      <c r="C143" s="436"/>
      <c r="D143" s="436"/>
      <c r="E143" s="436"/>
      <c r="F143" s="436"/>
      <c r="G143" s="436"/>
      <c r="H143" s="436"/>
      <c r="I143" s="453"/>
      <c r="J143" s="453"/>
      <c r="K143" s="453"/>
      <c r="L143" s="453"/>
      <c r="M143" s="453"/>
      <c r="N143" s="453"/>
      <c r="O143" s="436"/>
      <c r="P143" s="455"/>
      <c r="Q143" s="436"/>
      <c r="R143" s="81"/>
      <c r="S143" s="81"/>
      <c r="T143" s="80"/>
      <c r="U143" s="80"/>
    </row>
    <row r="144" spans="1:21" ht="12.75" x14ac:dyDescent="0.2">
      <c r="A144" s="439" t="s">
        <v>739</v>
      </c>
      <c r="B144" s="436"/>
      <c r="C144" s="896">
        <f>92574+6427191</f>
        <v>6519765</v>
      </c>
      <c r="D144" s="896">
        <f>71441+6432621</f>
        <v>6504062</v>
      </c>
      <c r="E144" s="896">
        <f>106869+4022843</f>
        <v>4129712</v>
      </c>
      <c r="F144" s="896">
        <f>155001+17182750</f>
        <v>17337751</v>
      </c>
      <c r="G144" s="896">
        <f>147116+28734262</f>
        <v>28881378</v>
      </c>
      <c r="H144" s="896">
        <f>187673+25053282</f>
        <v>25240955</v>
      </c>
      <c r="I144" s="896">
        <f>222000+32850322</f>
        <v>33072322</v>
      </c>
      <c r="J144" s="896">
        <f>225766+18921648</f>
        <v>19147414</v>
      </c>
      <c r="K144" s="896">
        <f>108635+11553135</f>
        <v>11661770</v>
      </c>
      <c r="L144" s="896">
        <f>112432+7031658</f>
        <v>7144090</v>
      </c>
      <c r="M144" s="896">
        <f>97485+6259850</f>
        <v>6357335</v>
      </c>
      <c r="N144" s="896">
        <f>82427+6152570</f>
        <v>6234997</v>
      </c>
      <c r="O144" s="448">
        <f>SUM(C144:N144)</f>
        <v>172231551</v>
      </c>
      <c r="P144" s="455"/>
      <c r="Q144" s="436"/>
      <c r="R144" s="81"/>
      <c r="S144" s="81"/>
      <c r="T144" s="80"/>
      <c r="U144" s="80"/>
    </row>
    <row r="145" spans="1:21" ht="12.75" x14ac:dyDescent="0.2">
      <c r="A145" s="439" t="s">
        <v>740</v>
      </c>
      <c r="B145" s="436"/>
      <c r="C145" s="916">
        <f>132452+5916427</f>
        <v>6048879</v>
      </c>
      <c r="D145" s="916">
        <f>59083+9574628</f>
        <v>9633711</v>
      </c>
      <c r="E145" s="916">
        <f>71739+2699195</f>
        <v>2770934</v>
      </c>
      <c r="F145" s="916">
        <f>135704+19983314</f>
        <v>20119018</v>
      </c>
      <c r="G145" s="916">
        <f>109562+9508865</f>
        <v>9618427</v>
      </c>
      <c r="H145" s="916">
        <f>120401+23155740</f>
        <v>23276141</v>
      </c>
      <c r="I145" s="916">
        <f>125313+17489385</f>
        <v>17614698</v>
      </c>
      <c r="J145" s="916">
        <f>95182+4891607</f>
        <v>4986789</v>
      </c>
      <c r="K145" s="916">
        <f>57975+9081052</f>
        <v>9139027</v>
      </c>
      <c r="L145" s="916">
        <f>94790+7718821</f>
        <v>7813611</v>
      </c>
      <c r="M145" s="916">
        <f>97495+2335587</f>
        <v>2433082</v>
      </c>
      <c r="N145" s="916">
        <f>115653+6875987</f>
        <v>6991640</v>
      </c>
      <c r="O145" s="450">
        <f>SUM(C145:N145)</f>
        <v>120445957</v>
      </c>
      <c r="P145" s="455"/>
      <c r="Q145" s="436"/>
      <c r="R145" s="81"/>
      <c r="S145" s="81"/>
      <c r="T145" s="80"/>
      <c r="U145" s="80"/>
    </row>
    <row r="146" spans="1:21" ht="12.75" x14ac:dyDescent="0.2">
      <c r="A146" s="439" t="s">
        <v>741</v>
      </c>
      <c r="B146" s="436"/>
      <c r="C146" s="448">
        <f t="shared" ref="C146:N146" si="6">C144-C145</f>
        <v>470886</v>
      </c>
      <c r="D146" s="448">
        <f t="shared" si="6"/>
        <v>-3129649</v>
      </c>
      <c r="E146" s="448">
        <f t="shared" si="6"/>
        <v>1358778</v>
      </c>
      <c r="F146" s="448">
        <f t="shared" si="6"/>
        <v>-2781267</v>
      </c>
      <c r="G146" s="448">
        <f t="shared" si="6"/>
        <v>19262951</v>
      </c>
      <c r="H146" s="448">
        <f t="shared" si="6"/>
        <v>1964814</v>
      </c>
      <c r="I146" s="917">
        <f t="shared" si="6"/>
        <v>15457624</v>
      </c>
      <c r="J146" s="917">
        <f t="shared" si="6"/>
        <v>14160625</v>
      </c>
      <c r="K146" s="917">
        <f t="shared" si="6"/>
        <v>2522743</v>
      </c>
      <c r="L146" s="917">
        <f t="shared" si="6"/>
        <v>-669521</v>
      </c>
      <c r="M146" s="917">
        <f t="shared" si="6"/>
        <v>3924253</v>
      </c>
      <c r="N146" s="917">
        <f t="shared" si="6"/>
        <v>-756643</v>
      </c>
      <c r="O146" s="448">
        <f>SUM(C146:N146)</f>
        <v>51785594</v>
      </c>
      <c r="P146" s="455"/>
      <c r="Q146" s="436"/>
      <c r="R146" s="81"/>
      <c r="S146" s="81"/>
      <c r="T146" s="80"/>
      <c r="U146" s="80"/>
    </row>
    <row r="147" spans="1:21" ht="12.75" x14ac:dyDescent="0.2">
      <c r="A147" s="436"/>
      <c r="B147" s="436"/>
      <c r="C147" s="436"/>
      <c r="D147" s="436"/>
      <c r="E147" s="436"/>
      <c r="F147" s="436"/>
      <c r="G147" s="436"/>
      <c r="H147" s="436"/>
      <c r="I147" s="453"/>
      <c r="J147" s="453"/>
      <c r="K147" s="453"/>
      <c r="L147" s="453"/>
      <c r="M147" s="454" t="s">
        <v>742</v>
      </c>
      <c r="N147" s="453"/>
      <c r="O147" s="451">
        <f>(+O146/O145)*100</f>
        <v>42.994879437920858</v>
      </c>
      <c r="P147" s="455"/>
      <c r="Q147" s="436"/>
      <c r="R147" s="81"/>
      <c r="S147" s="81"/>
      <c r="T147" s="80"/>
      <c r="U147" s="80"/>
    </row>
    <row r="148" spans="1:21" ht="12.75" x14ac:dyDescent="0.2">
      <c r="A148" s="1429" t="s">
        <v>477</v>
      </c>
      <c r="B148" s="1430"/>
      <c r="C148" s="1430"/>
      <c r="D148" s="1430"/>
      <c r="E148" s="1430"/>
      <c r="F148" s="1430"/>
      <c r="G148" s="1430"/>
      <c r="H148" s="1430"/>
      <c r="I148" s="1430"/>
      <c r="J148" s="1430"/>
      <c r="K148" s="1430"/>
      <c r="L148" s="1430"/>
      <c r="M148" s="1430"/>
      <c r="N148" s="1430"/>
      <c r="O148" s="1430"/>
      <c r="P148" s="455"/>
      <c r="Q148" s="436"/>
      <c r="R148" s="81"/>
      <c r="S148" s="81"/>
      <c r="T148" s="80"/>
      <c r="U148" s="80"/>
    </row>
    <row r="149" spans="1:21" ht="12.75" x14ac:dyDescent="0.2">
      <c r="A149" s="1429" t="str">
        <f>+Input!C4</f>
        <v>CASE NO. 2017-xxxxx</v>
      </c>
      <c r="B149" s="1430"/>
      <c r="C149" s="1430"/>
      <c r="D149" s="1430"/>
      <c r="E149" s="1430"/>
      <c r="F149" s="1430"/>
      <c r="G149" s="1430"/>
      <c r="H149" s="1430"/>
      <c r="I149" s="1430"/>
      <c r="J149" s="1430"/>
      <c r="K149" s="1430"/>
      <c r="L149" s="1430"/>
      <c r="M149" s="1430"/>
      <c r="N149" s="1430"/>
      <c r="O149" s="1430"/>
      <c r="P149" s="455"/>
      <c r="Q149" s="436"/>
      <c r="R149" s="81"/>
      <c r="S149" s="81"/>
      <c r="T149" s="80"/>
      <c r="U149" s="80"/>
    </row>
    <row r="150" spans="1:21" ht="12.75" x14ac:dyDescent="0.2">
      <c r="A150" s="1429" t="s">
        <v>727</v>
      </c>
      <c r="B150" s="1430"/>
      <c r="C150" s="1430"/>
      <c r="D150" s="1430"/>
      <c r="E150" s="1430"/>
      <c r="F150" s="1430"/>
      <c r="G150" s="1430"/>
      <c r="H150" s="1430"/>
      <c r="I150" s="1430"/>
      <c r="J150" s="1430"/>
      <c r="K150" s="1430"/>
      <c r="L150" s="1430"/>
      <c r="M150" s="1430"/>
      <c r="N150" s="1430"/>
      <c r="O150" s="1430"/>
      <c r="P150" s="455"/>
      <c r="Q150" s="436"/>
      <c r="R150" s="81"/>
      <c r="S150" s="81"/>
      <c r="T150" s="80"/>
      <c r="U150" s="80"/>
    </row>
    <row r="151" spans="1:21" ht="12.75" x14ac:dyDescent="0.2">
      <c r="A151" s="1429" t="str">
        <f>+Input!C23</f>
        <v>FOR THE HISTORIC PERIOD 12 MONTHS ENDED DECEMBER 31, 2017 AND PRIOR PERIOD DECEMBER 31, 2016</v>
      </c>
      <c r="B151" s="1430"/>
      <c r="C151" s="1430"/>
      <c r="D151" s="1430"/>
      <c r="E151" s="1430"/>
      <c r="F151" s="1430"/>
      <c r="G151" s="1430"/>
      <c r="H151" s="1430"/>
      <c r="I151" s="1430"/>
      <c r="J151" s="1430"/>
      <c r="K151" s="1430"/>
      <c r="L151" s="1430"/>
      <c r="M151" s="1430"/>
      <c r="N151" s="1430"/>
      <c r="O151" s="1430"/>
      <c r="P151" s="455"/>
      <c r="Q151" s="436"/>
      <c r="R151" s="81"/>
      <c r="S151" s="81"/>
      <c r="T151" s="80"/>
      <c r="U151" s="80"/>
    </row>
    <row r="152" spans="1:21" ht="12.75" x14ac:dyDescent="0.2">
      <c r="A152" s="436"/>
      <c r="B152" s="436"/>
      <c r="C152" s="437"/>
      <c r="D152" s="436"/>
      <c r="E152" s="436"/>
      <c r="F152" s="436"/>
      <c r="G152" s="438"/>
      <c r="H152" s="436"/>
      <c r="I152" s="453"/>
      <c r="J152" s="453"/>
      <c r="K152" s="453"/>
      <c r="L152" s="453"/>
      <c r="M152" s="453"/>
      <c r="N152" s="453"/>
      <c r="O152" s="436"/>
      <c r="P152" s="455"/>
      <c r="Q152" s="436"/>
      <c r="R152" s="81"/>
      <c r="S152" s="81"/>
      <c r="T152" s="80"/>
      <c r="U152" s="80"/>
    </row>
    <row r="153" spans="1:21" ht="12.75" x14ac:dyDescent="0.2">
      <c r="A153" s="439" t="s">
        <v>839</v>
      </c>
      <c r="B153" s="436"/>
      <c r="C153" s="436"/>
      <c r="D153" s="436"/>
      <c r="E153" s="436"/>
      <c r="F153" s="436"/>
      <c r="G153" s="436"/>
      <c r="H153" s="436"/>
      <c r="I153" s="453"/>
      <c r="J153" s="453"/>
      <c r="K153" s="453"/>
      <c r="L153" s="453"/>
      <c r="M153" s="927"/>
      <c r="N153" s="453"/>
      <c r="O153" s="813" t="s">
        <v>752</v>
      </c>
      <c r="P153" s="455"/>
      <c r="Q153" s="436"/>
      <c r="R153" s="81"/>
      <c r="S153" s="81"/>
      <c r="T153" s="80"/>
      <c r="U153" s="80"/>
    </row>
    <row r="154" spans="1:21" ht="12.75" x14ac:dyDescent="0.2">
      <c r="A154" s="439" t="s">
        <v>490</v>
      </c>
      <c r="B154" s="436"/>
      <c r="C154" s="436"/>
      <c r="D154" s="436"/>
      <c r="E154" s="436"/>
      <c r="F154" s="436"/>
      <c r="G154" s="436"/>
      <c r="H154" s="436"/>
      <c r="I154" s="453"/>
      <c r="J154" s="453"/>
      <c r="K154" s="453"/>
      <c r="L154" s="453"/>
      <c r="M154" s="927"/>
      <c r="N154" s="453"/>
      <c r="O154" s="813" t="s">
        <v>1720</v>
      </c>
      <c r="P154" s="455"/>
      <c r="Q154" s="436"/>
      <c r="R154" s="81"/>
      <c r="S154" s="81"/>
      <c r="T154" s="80"/>
      <c r="U154" s="80"/>
    </row>
    <row r="155" spans="1:21" ht="12.75" x14ac:dyDescent="0.2">
      <c r="A155" s="441" t="s">
        <v>840</v>
      </c>
      <c r="B155" s="442"/>
      <c r="C155" s="442"/>
      <c r="D155" s="442"/>
      <c r="E155" s="442"/>
      <c r="F155" s="442"/>
      <c r="G155" s="442"/>
      <c r="H155" s="442"/>
      <c r="I155" s="918"/>
      <c r="J155" s="918"/>
      <c r="K155" s="918"/>
      <c r="L155" s="918"/>
      <c r="M155" s="928"/>
      <c r="N155" s="918"/>
      <c r="O155" s="814" t="str">
        <f>+Input!E27</f>
        <v>WITNESS:  C. Y. LAI</v>
      </c>
      <c r="P155" s="455"/>
      <c r="Q155" s="436"/>
      <c r="R155" s="81"/>
      <c r="S155" s="81"/>
      <c r="T155" s="80"/>
      <c r="U155" s="80"/>
    </row>
    <row r="156" spans="1:21" ht="12.75" x14ac:dyDescent="0.2">
      <c r="A156" s="1431" t="s">
        <v>728</v>
      </c>
      <c r="B156" s="1431"/>
      <c r="C156" s="437"/>
      <c r="D156" s="436"/>
      <c r="E156" s="436"/>
      <c r="F156" s="436"/>
      <c r="G156" s="436"/>
      <c r="H156" s="436"/>
      <c r="I156" s="453"/>
      <c r="J156" s="453"/>
      <c r="K156" s="453"/>
      <c r="L156" s="453"/>
      <c r="M156" s="453"/>
      <c r="N156" s="453"/>
      <c r="O156" s="436"/>
      <c r="P156" s="455"/>
      <c r="Q156" s="436"/>
      <c r="R156" s="81"/>
      <c r="S156" s="81"/>
      <c r="T156" s="80"/>
      <c r="U156" s="80"/>
    </row>
    <row r="157" spans="1:21" ht="12.75" x14ac:dyDescent="0.2">
      <c r="A157" s="1432" t="s">
        <v>729</v>
      </c>
      <c r="B157" s="1432"/>
      <c r="C157" s="443" t="s">
        <v>1011</v>
      </c>
      <c r="D157" s="443" t="s">
        <v>731</v>
      </c>
      <c r="E157" s="443" t="s">
        <v>732</v>
      </c>
      <c r="F157" s="443" t="s">
        <v>733</v>
      </c>
      <c r="G157" s="443" t="s">
        <v>734</v>
      </c>
      <c r="H157" s="443" t="s">
        <v>735</v>
      </c>
      <c r="I157" s="919" t="s">
        <v>736</v>
      </c>
      <c r="J157" s="919" t="s">
        <v>737</v>
      </c>
      <c r="K157" s="925" t="s">
        <v>1012</v>
      </c>
      <c r="L157" s="919" t="s">
        <v>1013</v>
      </c>
      <c r="M157" s="919" t="s">
        <v>730</v>
      </c>
      <c r="N157" s="919" t="s">
        <v>1014</v>
      </c>
      <c r="O157" s="444" t="s">
        <v>525</v>
      </c>
      <c r="P157" s="455"/>
      <c r="Q157" s="436"/>
      <c r="R157" s="81"/>
      <c r="S157" s="81"/>
      <c r="T157" s="80"/>
      <c r="U157" s="80"/>
    </row>
    <row r="158" spans="1:21" ht="12.75" x14ac:dyDescent="0.2">
      <c r="A158" s="436"/>
      <c r="B158" s="436"/>
      <c r="C158" s="445" t="s">
        <v>500</v>
      </c>
      <c r="D158" s="445" t="s">
        <v>500</v>
      </c>
      <c r="E158" s="445" t="s">
        <v>500</v>
      </c>
      <c r="F158" s="445" t="s">
        <v>500</v>
      </c>
      <c r="G158" s="445" t="s">
        <v>500</v>
      </c>
      <c r="H158" s="445" t="s">
        <v>500</v>
      </c>
      <c r="I158" s="910" t="s">
        <v>500</v>
      </c>
      <c r="J158" s="910" t="s">
        <v>500</v>
      </c>
      <c r="K158" s="910" t="s">
        <v>500</v>
      </c>
      <c r="L158" s="910" t="s">
        <v>500</v>
      </c>
      <c r="M158" s="910" t="s">
        <v>500</v>
      </c>
      <c r="N158" s="910" t="s">
        <v>500</v>
      </c>
      <c r="O158" s="445" t="s">
        <v>500</v>
      </c>
      <c r="P158" s="455"/>
      <c r="Q158" s="436"/>
      <c r="R158" s="81"/>
      <c r="S158" s="81"/>
      <c r="T158" s="80"/>
      <c r="U158" s="80"/>
    </row>
    <row r="159" spans="1:21" ht="12.75" x14ac:dyDescent="0.2">
      <c r="A159" s="436"/>
      <c r="B159" s="436"/>
      <c r="C159" s="445"/>
      <c r="D159" s="445"/>
      <c r="E159" s="445"/>
      <c r="F159" s="445"/>
      <c r="G159" s="445"/>
      <c r="H159" s="445"/>
      <c r="I159" s="910"/>
      <c r="J159" s="910"/>
      <c r="K159" s="910"/>
      <c r="L159" s="910"/>
      <c r="M159" s="910"/>
      <c r="N159" s="910"/>
      <c r="O159" s="445"/>
      <c r="P159" s="455"/>
      <c r="Q159" s="436"/>
      <c r="R159" s="81"/>
      <c r="S159" s="81"/>
      <c r="T159" s="80"/>
      <c r="U159" s="80"/>
    </row>
    <row r="160" spans="1:21" ht="12.75" x14ac:dyDescent="0.2">
      <c r="A160" s="440" t="s">
        <v>780</v>
      </c>
      <c r="B160" s="436"/>
      <c r="C160" s="448"/>
      <c r="D160" s="448"/>
      <c r="E160" s="448"/>
      <c r="F160" s="448"/>
      <c r="G160" s="448"/>
      <c r="H160" s="448"/>
      <c r="I160" s="917"/>
      <c r="J160" s="917"/>
      <c r="K160" s="917"/>
      <c r="L160" s="917"/>
      <c r="M160" s="917"/>
      <c r="N160" s="917"/>
      <c r="O160" s="448"/>
      <c r="P160" s="455"/>
      <c r="Q160" s="436"/>
      <c r="R160" s="81"/>
      <c r="S160" s="81"/>
      <c r="T160" s="80"/>
      <c r="U160" s="80"/>
    </row>
    <row r="161" spans="1:21" ht="12.75" x14ac:dyDescent="0.2">
      <c r="A161" s="439" t="s">
        <v>739</v>
      </c>
      <c r="B161" s="436"/>
      <c r="C161" s="896">
        <v>366533</v>
      </c>
      <c r="D161" s="896">
        <v>932971</v>
      </c>
      <c r="E161" s="896">
        <v>474490</v>
      </c>
      <c r="F161" s="896">
        <v>177424</v>
      </c>
      <c r="G161" s="896">
        <v>-10006</v>
      </c>
      <c r="H161" s="896">
        <v>80059</v>
      </c>
      <c r="I161" s="896">
        <v>254067</v>
      </c>
      <c r="J161" s="896">
        <v>81770</v>
      </c>
      <c r="K161" s="896">
        <v>64011</v>
      </c>
      <c r="L161" s="896">
        <v>59661</v>
      </c>
      <c r="M161" s="896">
        <f>82392</f>
        <v>82392</v>
      </c>
      <c r="N161" s="896">
        <v>221319</v>
      </c>
      <c r="O161" s="448">
        <f>SUM(C161:N161)</f>
        <v>2784691</v>
      </c>
      <c r="P161" s="455"/>
      <c r="Q161" s="436"/>
      <c r="R161" s="81"/>
      <c r="S161" s="81"/>
      <c r="T161" s="80"/>
      <c r="U161" s="80"/>
    </row>
    <row r="162" spans="1:21" ht="12.75" x14ac:dyDescent="0.2">
      <c r="A162" s="439" t="s">
        <v>740</v>
      </c>
      <c r="B162" s="436"/>
      <c r="C162" s="916">
        <v>416176</v>
      </c>
      <c r="D162" s="916">
        <v>302260</v>
      </c>
      <c r="E162" s="916">
        <v>321403</v>
      </c>
      <c r="F162" s="916">
        <v>312564</v>
      </c>
      <c r="G162" s="916">
        <v>87585</v>
      </c>
      <c r="H162" s="916">
        <f>58390</f>
        <v>58390</v>
      </c>
      <c r="I162" s="916">
        <v>119903</v>
      </c>
      <c r="J162" s="916">
        <v>58088</v>
      </c>
      <c r="K162" s="916">
        <v>44429</v>
      </c>
      <c r="L162" s="916">
        <v>130609</v>
      </c>
      <c r="M162" s="916">
        <f>274942</f>
        <v>274942</v>
      </c>
      <c r="N162" s="916">
        <v>-56139</v>
      </c>
      <c r="O162" s="450">
        <f>SUM(C162:N162)</f>
        <v>2070210</v>
      </c>
      <c r="P162" s="455"/>
      <c r="Q162" s="436"/>
      <c r="R162" s="81"/>
      <c r="S162" s="81"/>
      <c r="T162" s="80"/>
      <c r="U162" s="80"/>
    </row>
    <row r="163" spans="1:21" ht="12.75" x14ac:dyDescent="0.2">
      <c r="A163" s="439" t="s">
        <v>741</v>
      </c>
      <c r="B163" s="436"/>
      <c r="C163" s="448">
        <f t="shared" ref="C163:N163" si="7">C161-C162</f>
        <v>-49643</v>
      </c>
      <c r="D163" s="448">
        <f t="shared" si="7"/>
        <v>630711</v>
      </c>
      <c r="E163" s="448">
        <f t="shared" si="7"/>
        <v>153087</v>
      </c>
      <c r="F163" s="448">
        <f t="shared" si="7"/>
        <v>-135140</v>
      </c>
      <c r="G163" s="448">
        <f t="shared" si="7"/>
        <v>-97591</v>
      </c>
      <c r="H163" s="448">
        <f t="shared" si="7"/>
        <v>21669</v>
      </c>
      <c r="I163" s="917">
        <f t="shared" si="7"/>
        <v>134164</v>
      </c>
      <c r="J163" s="917">
        <f t="shared" si="7"/>
        <v>23682</v>
      </c>
      <c r="K163" s="917">
        <f t="shared" si="7"/>
        <v>19582</v>
      </c>
      <c r="L163" s="917">
        <f t="shared" si="7"/>
        <v>-70948</v>
      </c>
      <c r="M163" s="917">
        <f t="shared" si="7"/>
        <v>-192550</v>
      </c>
      <c r="N163" s="917">
        <f t="shared" si="7"/>
        <v>277458</v>
      </c>
      <c r="O163" s="448">
        <f>SUM(C163:N163)</f>
        <v>714481</v>
      </c>
      <c r="P163" s="455"/>
      <c r="Q163" s="436"/>
      <c r="R163" s="81"/>
      <c r="S163" s="81"/>
      <c r="T163" s="80"/>
      <c r="U163" s="80"/>
    </row>
    <row r="164" spans="1:21" ht="12.75" x14ac:dyDescent="0.2">
      <c r="A164" s="436"/>
      <c r="B164" s="436"/>
      <c r="C164" s="436"/>
      <c r="D164" s="436"/>
      <c r="E164" s="436"/>
      <c r="F164" s="436"/>
      <c r="G164" s="436"/>
      <c r="H164" s="436"/>
      <c r="I164" s="453"/>
      <c r="J164" s="453"/>
      <c r="K164" s="453"/>
      <c r="L164" s="453"/>
      <c r="M164" s="454" t="s">
        <v>742</v>
      </c>
      <c r="N164" s="453"/>
      <c r="O164" s="451">
        <f>(+O163/O162)*100</f>
        <v>34.512489071157034</v>
      </c>
      <c r="P164" s="455"/>
      <c r="Q164" s="436"/>
      <c r="R164" s="81"/>
      <c r="S164" s="81"/>
      <c r="T164" s="80"/>
      <c r="U164" s="80"/>
    </row>
    <row r="165" spans="1:21" ht="12.75" x14ac:dyDescent="0.2">
      <c r="A165" s="440" t="s">
        <v>781</v>
      </c>
      <c r="B165" s="436"/>
      <c r="C165" s="448"/>
      <c r="D165" s="448"/>
      <c r="E165" s="448"/>
      <c r="F165" s="448"/>
      <c r="G165" s="448"/>
      <c r="H165" s="448"/>
      <c r="I165" s="917"/>
      <c r="J165" s="917"/>
      <c r="K165" s="917"/>
      <c r="L165" s="917"/>
      <c r="M165" s="917"/>
      <c r="N165" s="917"/>
      <c r="O165" s="448"/>
      <c r="P165" s="455"/>
      <c r="Q165" s="436"/>
      <c r="R165" s="81"/>
      <c r="S165" s="81"/>
      <c r="T165" s="80"/>
      <c r="U165" s="80"/>
    </row>
    <row r="166" spans="1:21" ht="12.75" x14ac:dyDescent="0.2">
      <c r="A166" s="439" t="s">
        <v>739</v>
      </c>
      <c r="B166" s="436"/>
      <c r="C166" s="896">
        <v>-5823004</v>
      </c>
      <c r="D166" s="896">
        <v>-1921602</v>
      </c>
      <c r="E166" s="896">
        <v>-47929</v>
      </c>
      <c r="F166" s="896">
        <v>4022920</v>
      </c>
      <c r="G166" s="896">
        <v>-6490160</v>
      </c>
      <c r="H166" s="896">
        <v>-5242758</v>
      </c>
      <c r="I166" s="896">
        <v>-4737013</v>
      </c>
      <c r="J166" s="896">
        <v>1326125</v>
      </c>
      <c r="K166" s="896">
        <v>-748256</v>
      </c>
      <c r="L166" s="896">
        <v>10798518</v>
      </c>
      <c r="M166" s="896">
        <f>825687</f>
        <v>825687</v>
      </c>
      <c r="N166" s="896">
        <v>8920248</v>
      </c>
      <c r="O166" s="448">
        <f>SUM(C166:N166)</f>
        <v>882776</v>
      </c>
      <c r="P166" s="455"/>
      <c r="Q166" s="436"/>
      <c r="R166" s="81"/>
      <c r="S166" s="81"/>
      <c r="T166" s="80"/>
      <c r="U166" s="80"/>
    </row>
    <row r="167" spans="1:21" ht="12.75" x14ac:dyDescent="0.2">
      <c r="A167" s="439" t="s">
        <v>740</v>
      </c>
      <c r="B167" s="436"/>
      <c r="C167" s="916">
        <v>-615187</v>
      </c>
      <c r="D167" s="916">
        <v>-11951306</v>
      </c>
      <c r="E167" s="916">
        <v>4036393</v>
      </c>
      <c r="F167" s="916">
        <v>-3259625</v>
      </c>
      <c r="G167" s="916">
        <v>3822752</v>
      </c>
      <c r="H167" s="916">
        <v>95166</v>
      </c>
      <c r="I167" s="916">
        <v>509794</v>
      </c>
      <c r="J167" s="916">
        <v>1557705</v>
      </c>
      <c r="K167" s="916">
        <v>2733094</v>
      </c>
      <c r="L167" s="916">
        <v>-1472108</v>
      </c>
      <c r="M167" s="916">
        <v>-3759868</v>
      </c>
      <c r="N167" s="916">
        <v>717859</v>
      </c>
      <c r="O167" s="450">
        <f>SUM(C167:N167)</f>
        <v>-7585331</v>
      </c>
      <c r="P167" s="455"/>
      <c r="Q167" s="436"/>
      <c r="R167" s="81"/>
      <c r="S167" s="81"/>
      <c r="T167" s="80"/>
      <c r="U167" s="80"/>
    </row>
    <row r="168" spans="1:21" ht="12.75" x14ac:dyDescent="0.2">
      <c r="A168" s="439" t="s">
        <v>741</v>
      </c>
      <c r="B168" s="436"/>
      <c r="C168" s="448">
        <f t="shared" ref="C168:N168" si="8">C166-C167</f>
        <v>-5207817</v>
      </c>
      <c r="D168" s="448">
        <f t="shared" si="8"/>
        <v>10029704</v>
      </c>
      <c r="E168" s="448">
        <f t="shared" si="8"/>
        <v>-4084322</v>
      </c>
      <c r="F168" s="448">
        <f t="shared" si="8"/>
        <v>7282545</v>
      </c>
      <c r="G168" s="448">
        <f t="shared" si="8"/>
        <v>-10312912</v>
      </c>
      <c r="H168" s="448">
        <f t="shared" si="8"/>
        <v>-5337924</v>
      </c>
      <c r="I168" s="917">
        <f t="shared" si="8"/>
        <v>-5246807</v>
      </c>
      <c r="J168" s="917">
        <f t="shared" si="8"/>
        <v>-231580</v>
      </c>
      <c r="K168" s="917">
        <f t="shared" si="8"/>
        <v>-3481350</v>
      </c>
      <c r="L168" s="917">
        <f t="shared" si="8"/>
        <v>12270626</v>
      </c>
      <c r="M168" s="917">
        <f t="shared" si="8"/>
        <v>4585555</v>
      </c>
      <c r="N168" s="917">
        <f t="shared" si="8"/>
        <v>8202389</v>
      </c>
      <c r="O168" s="448">
        <f>SUM(C168:N168)</f>
        <v>8468107</v>
      </c>
      <c r="P168" s="455"/>
      <c r="Q168" s="436"/>
      <c r="R168" s="81"/>
      <c r="S168" s="81"/>
      <c r="T168" s="80"/>
      <c r="U168" s="80"/>
    </row>
    <row r="169" spans="1:21" ht="12.75" x14ac:dyDescent="0.2">
      <c r="A169" s="436"/>
      <c r="B169" s="436"/>
      <c r="C169" s="436"/>
      <c r="D169" s="436"/>
      <c r="E169" s="436"/>
      <c r="F169" s="436"/>
      <c r="G169" s="436"/>
      <c r="H169" s="436"/>
      <c r="I169" s="453"/>
      <c r="J169" s="453"/>
      <c r="K169" s="453"/>
      <c r="L169" s="453"/>
      <c r="M169" s="454" t="s">
        <v>742</v>
      </c>
      <c r="N169" s="453"/>
      <c r="O169" s="451">
        <f>(+O168/O167)*100</f>
        <v>-111.63793643283333</v>
      </c>
      <c r="P169" s="455"/>
      <c r="Q169" s="436"/>
      <c r="R169" s="81"/>
      <c r="S169" s="81"/>
      <c r="T169" s="80"/>
      <c r="U169" s="80"/>
    </row>
    <row r="170" spans="1:21" ht="12.75" x14ac:dyDescent="0.2">
      <c r="A170" s="440" t="s">
        <v>782</v>
      </c>
      <c r="B170" s="436"/>
      <c r="C170" s="448"/>
      <c r="D170" s="448"/>
      <c r="E170" s="448"/>
      <c r="F170" s="448"/>
      <c r="G170" s="448"/>
      <c r="H170" s="448"/>
      <c r="I170" s="917"/>
      <c r="J170" s="917"/>
      <c r="K170" s="917"/>
      <c r="L170" s="917"/>
      <c r="M170" s="917"/>
      <c r="N170" s="917"/>
      <c r="O170" s="448"/>
      <c r="P170" s="455"/>
      <c r="Q170" s="436"/>
      <c r="R170" s="81"/>
      <c r="S170" s="81"/>
      <c r="T170" s="80"/>
      <c r="U170" s="80"/>
    </row>
    <row r="171" spans="1:21" ht="12.75" x14ac:dyDescent="0.2">
      <c r="A171" s="439" t="s">
        <v>739</v>
      </c>
      <c r="B171" s="436"/>
      <c r="C171" s="896">
        <v>-3526959</v>
      </c>
      <c r="D171" s="896">
        <v>-6247261</v>
      </c>
      <c r="E171" s="896">
        <v>-4498124</v>
      </c>
      <c r="F171" s="896">
        <v>-3831310</v>
      </c>
      <c r="G171" s="896">
        <v>448349</v>
      </c>
      <c r="H171" s="896">
        <v>812391</v>
      </c>
      <c r="I171" s="896">
        <v>102077</v>
      </c>
      <c r="J171" s="896">
        <v>605196</v>
      </c>
      <c r="K171" s="896">
        <v>4098059</v>
      </c>
      <c r="L171" s="896">
        <v>654248</v>
      </c>
      <c r="M171" s="896">
        <v>1003151</v>
      </c>
      <c r="N171" s="896">
        <v>887210</v>
      </c>
      <c r="O171" s="448">
        <f>SUM(C171:N171)</f>
        <v>-9492973</v>
      </c>
      <c r="P171" s="455"/>
      <c r="Q171" s="436"/>
      <c r="R171" s="81"/>
      <c r="S171" s="81"/>
      <c r="T171" s="80"/>
      <c r="U171" s="80"/>
    </row>
    <row r="172" spans="1:21" ht="12.75" x14ac:dyDescent="0.2">
      <c r="A172" s="439" t="s">
        <v>740</v>
      </c>
      <c r="B172" s="436"/>
      <c r="C172" s="916">
        <v>-7334611</v>
      </c>
      <c r="D172" s="916">
        <v>-4266594</v>
      </c>
      <c r="E172" s="916">
        <v>5263138</v>
      </c>
      <c r="F172" s="916">
        <v>-3978447</v>
      </c>
      <c r="G172" s="916">
        <v>7943146</v>
      </c>
      <c r="H172" s="916">
        <v>-5777809</v>
      </c>
      <c r="I172" s="916">
        <v>-824104</v>
      </c>
      <c r="J172" s="916">
        <v>1490360</v>
      </c>
      <c r="K172" s="916">
        <v>1031598</v>
      </c>
      <c r="L172" s="916">
        <v>-1144120</v>
      </c>
      <c r="M172" s="916">
        <v>5413793</v>
      </c>
      <c r="N172" s="916">
        <v>-131297</v>
      </c>
      <c r="O172" s="450">
        <f>SUM(C172:N172)</f>
        <v>-2314947</v>
      </c>
      <c r="P172" s="455"/>
      <c r="Q172" s="436"/>
      <c r="R172" s="81"/>
      <c r="S172" s="81"/>
      <c r="T172" s="80"/>
      <c r="U172" s="80"/>
    </row>
    <row r="173" spans="1:21" ht="12.75" x14ac:dyDescent="0.2">
      <c r="A173" s="439" t="s">
        <v>741</v>
      </c>
      <c r="B173" s="436"/>
      <c r="C173" s="448">
        <f t="shared" ref="C173:N173" si="9">C171-C172</f>
        <v>3807652</v>
      </c>
      <c r="D173" s="448">
        <f t="shared" si="9"/>
        <v>-1980667</v>
      </c>
      <c r="E173" s="448">
        <f t="shared" si="9"/>
        <v>-9761262</v>
      </c>
      <c r="F173" s="448">
        <f t="shared" si="9"/>
        <v>147137</v>
      </c>
      <c r="G173" s="448">
        <f t="shared" si="9"/>
        <v>-7494797</v>
      </c>
      <c r="H173" s="448">
        <f t="shared" si="9"/>
        <v>6590200</v>
      </c>
      <c r="I173" s="917">
        <f t="shared" si="9"/>
        <v>926181</v>
      </c>
      <c r="J173" s="917">
        <f t="shared" si="9"/>
        <v>-885164</v>
      </c>
      <c r="K173" s="917">
        <f t="shared" si="9"/>
        <v>3066461</v>
      </c>
      <c r="L173" s="917">
        <f t="shared" si="9"/>
        <v>1798368</v>
      </c>
      <c r="M173" s="917">
        <f t="shared" si="9"/>
        <v>-4410642</v>
      </c>
      <c r="N173" s="917">
        <f t="shared" si="9"/>
        <v>1018507</v>
      </c>
      <c r="O173" s="448">
        <f>SUM(C173:N173)</f>
        <v>-7178026</v>
      </c>
      <c r="P173" s="455"/>
      <c r="Q173" s="436"/>
      <c r="R173" s="81"/>
      <c r="S173" s="81"/>
      <c r="T173" s="80"/>
      <c r="U173" s="80"/>
    </row>
    <row r="174" spans="1:21" ht="12.75" x14ac:dyDescent="0.2">
      <c r="A174" s="436"/>
      <c r="B174" s="436"/>
      <c r="C174" s="436"/>
      <c r="D174" s="436"/>
      <c r="E174" s="436"/>
      <c r="F174" s="436"/>
      <c r="G174" s="436"/>
      <c r="H174" s="436"/>
      <c r="I174" s="453"/>
      <c r="J174" s="453"/>
      <c r="K174" s="453"/>
      <c r="L174" s="453"/>
      <c r="M174" s="454" t="s">
        <v>742</v>
      </c>
      <c r="N174" s="453"/>
      <c r="O174" s="451">
        <f>(+O173/O172)*100</f>
        <v>310.07301679044923</v>
      </c>
      <c r="P174" s="455"/>
      <c r="Q174" s="436"/>
      <c r="R174" s="81"/>
      <c r="S174" s="81"/>
      <c r="T174" s="80"/>
      <c r="U174" s="80"/>
    </row>
    <row r="175" spans="1:21" ht="12.75" x14ac:dyDescent="0.2">
      <c r="A175" s="440" t="s">
        <v>783</v>
      </c>
      <c r="B175" s="436"/>
      <c r="C175" s="448"/>
      <c r="D175" s="448"/>
      <c r="E175" s="456"/>
      <c r="F175" s="448"/>
      <c r="G175" s="448"/>
      <c r="H175" s="448"/>
      <c r="I175" s="917"/>
      <c r="J175" s="917"/>
      <c r="K175" s="917"/>
      <c r="L175" s="917"/>
      <c r="M175" s="917"/>
      <c r="N175" s="917"/>
      <c r="O175" s="448"/>
      <c r="P175" s="455"/>
      <c r="Q175" s="436"/>
      <c r="R175" s="81"/>
      <c r="S175" s="81"/>
      <c r="T175" s="80"/>
      <c r="U175" s="80"/>
    </row>
    <row r="176" spans="1:21" ht="12.75" x14ac:dyDescent="0.2">
      <c r="A176" s="439" t="s">
        <v>739</v>
      </c>
      <c r="B176" s="436"/>
      <c r="C176" s="896">
        <v>28790</v>
      </c>
      <c r="D176" s="896">
        <v>25544</v>
      </c>
      <c r="E176" s="896">
        <v>27566</v>
      </c>
      <c r="F176" s="896">
        <v>25954</v>
      </c>
      <c r="G176" s="896">
        <v>25287</v>
      </c>
      <c r="H176" s="896">
        <v>29578</v>
      </c>
      <c r="I176" s="896">
        <v>25730</v>
      </c>
      <c r="J176" s="896">
        <v>66319</v>
      </c>
      <c r="K176" s="896">
        <v>33477</v>
      </c>
      <c r="L176" s="896">
        <v>38219</v>
      </c>
      <c r="M176" s="896">
        <v>31381</v>
      </c>
      <c r="N176" s="896">
        <v>32682</v>
      </c>
      <c r="O176" s="448">
        <f>SUM(C176:N176)</f>
        <v>390527</v>
      </c>
      <c r="P176" s="455"/>
      <c r="Q176" s="436"/>
      <c r="R176" s="81"/>
      <c r="S176" s="81"/>
      <c r="T176" s="80"/>
      <c r="U176" s="80"/>
    </row>
    <row r="177" spans="1:21" ht="12.75" x14ac:dyDescent="0.2">
      <c r="A177" s="439" t="s">
        <v>740</v>
      </c>
      <c r="B177" s="436"/>
      <c r="C177" s="916">
        <v>2403</v>
      </c>
      <c r="D177" s="916">
        <v>2124</v>
      </c>
      <c r="E177" s="916">
        <v>2463</v>
      </c>
      <c r="F177" s="916">
        <v>2263</v>
      </c>
      <c r="G177" s="916">
        <v>2363</v>
      </c>
      <c r="H177" s="916">
        <v>2348</v>
      </c>
      <c r="I177" s="916">
        <v>2011</v>
      </c>
      <c r="J177" s="916">
        <v>2589</v>
      </c>
      <c r="K177" s="916">
        <v>1834</v>
      </c>
      <c r="L177" s="916">
        <v>1975</v>
      </c>
      <c r="M177" s="916">
        <v>2096</v>
      </c>
      <c r="N177" s="916">
        <v>2088</v>
      </c>
      <c r="O177" s="450">
        <f>SUM(C177:N177)</f>
        <v>26557</v>
      </c>
      <c r="P177" s="455"/>
      <c r="Q177" s="436"/>
      <c r="R177" s="81"/>
      <c r="S177" s="81"/>
      <c r="T177" s="80"/>
      <c r="U177" s="80"/>
    </row>
    <row r="178" spans="1:21" ht="12.75" x14ac:dyDescent="0.2">
      <c r="A178" s="439" t="s">
        <v>741</v>
      </c>
      <c r="B178" s="436"/>
      <c r="C178" s="448">
        <f t="shared" ref="C178:N178" si="10">C176-C177</f>
        <v>26387</v>
      </c>
      <c r="D178" s="448">
        <f t="shared" si="10"/>
        <v>23420</v>
      </c>
      <c r="E178" s="448">
        <f t="shared" si="10"/>
        <v>25103</v>
      </c>
      <c r="F178" s="448">
        <f t="shared" si="10"/>
        <v>23691</v>
      </c>
      <c r="G178" s="917">
        <f t="shared" si="10"/>
        <v>22924</v>
      </c>
      <c r="H178" s="448">
        <f t="shared" si="10"/>
        <v>27230</v>
      </c>
      <c r="I178" s="917">
        <f t="shared" si="10"/>
        <v>23719</v>
      </c>
      <c r="J178" s="917">
        <f t="shared" si="10"/>
        <v>63730</v>
      </c>
      <c r="K178" s="917">
        <f t="shared" si="10"/>
        <v>31643</v>
      </c>
      <c r="L178" s="917">
        <f t="shared" si="10"/>
        <v>36244</v>
      </c>
      <c r="M178" s="917">
        <f t="shared" si="10"/>
        <v>29285</v>
      </c>
      <c r="N178" s="917">
        <f t="shared" si="10"/>
        <v>30594</v>
      </c>
      <c r="O178" s="448">
        <f>SUM(C178:N178)</f>
        <v>363970</v>
      </c>
      <c r="P178" s="455"/>
      <c r="Q178" s="436"/>
      <c r="R178" s="81"/>
      <c r="S178" s="81"/>
      <c r="T178" s="80"/>
      <c r="U178" s="80"/>
    </row>
    <row r="179" spans="1:21" ht="12.75" x14ac:dyDescent="0.2">
      <c r="A179" s="436"/>
      <c r="B179" s="436"/>
      <c r="C179" s="457" t="s">
        <v>784</v>
      </c>
      <c r="D179" s="448"/>
      <c r="E179" s="448"/>
      <c r="F179" s="448"/>
      <c r="G179" s="448"/>
      <c r="H179" s="448"/>
      <c r="I179" s="917"/>
      <c r="J179" s="917"/>
      <c r="K179" s="917"/>
      <c r="L179" s="917"/>
      <c r="M179" s="929" t="s">
        <v>742</v>
      </c>
      <c r="N179" s="917"/>
      <c r="O179" s="451">
        <f>(+O178/O177)*100</f>
        <v>1370.5237790413073</v>
      </c>
      <c r="P179" s="455"/>
      <c r="Q179" s="436"/>
      <c r="R179" s="81"/>
      <c r="S179" s="81"/>
      <c r="T179" s="80"/>
      <c r="U179" s="80"/>
    </row>
    <row r="180" spans="1:21" ht="12.75" x14ac:dyDescent="0.2">
      <c r="A180" s="440" t="s">
        <v>785</v>
      </c>
      <c r="B180" s="436"/>
      <c r="C180" s="448"/>
      <c r="D180" s="448"/>
      <c r="E180" s="456"/>
      <c r="F180" s="448"/>
      <c r="G180" s="448"/>
      <c r="H180" s="448"/>
      <c r="I180" s="917"/>
      <c r="J180" s="917"/>
      <c r="K180" s="917"/>
      <c r="L180" s="917"/>
      <c r="M180" s="917"/>
      <c r="N180" s="917"/>
      <c r="O180" s="448"/>
      <c r="P180" s="455"/>
      <c r="Q180" s="436"/>
      <c r="R180" s="81"/>
      <c r="S180" s="81"/>
      <c r="T180" s="80"/>
      <c r="U180" s="80"/>
    </row>
    <row r="181" spans="1:21" ht="12.75" x14ac:dyDescent="0.2">
      <c r="A181" s="439" t="s">
        <v>739</v>
      </c>
      <c r="B181" s="436"/>
      <c r="C181" s="896">
        <v>30564944</v>
      </c>
      <c r="D181" s="896">
        <v>23633617</v>
      </c>
      <c r="E181" s="896">
        <v>19486244</v>
      </c>
      <c r="F181" s="896">
        <v>-7801570</v>
      </c>
      <c r="G181" s="896">
        <v>-15487338</v>
      </c>
      <c r="H181" s="896">
        <v>-17307312</v>
      </c>
      <c r="I181" s="896">
        <v>-25068444</v>
      </c>
      <c r="J181" s="896">
        <v>-17960380</v>
      </c>
      <c r="K181" s="896">
        <v>-11775252</v>
      </c>
      <c r="L181" s="896">
        <v>-10119489</v>
      </c>
      <c r="M181" s="896">
        <v>10358022</v>
      </c>
      <c r="N181" s="896">
        <v>9951657</v>
      </c>
      <c r="O181" s="448">
        <f>SUM(C181:N181)</f>
        <v>-11525301</v>
      </c>
      <c r="P181" s="455"/>
      <c r="Q181" s="436"/>
      <c r="R181" s="81"/>
      <c r="S181" s="81"/>
      <c r="T181" s="80"/>
      <c r="U181" s="80"/>
    </row>
    <row r="182" spans="1:21" ht="12.75" x14ac:dyDescent="0.2">
      <c r="A182" s="439" t="s">
        <v>740</v>
      </c>
      <c r="B182" s="436"/>
      <c r="C182" s="916">
        <v>22206888</v>
      </c>
      <c r="D182" s="916">
        <v>27419233</v>
      </c>
      <c r="E182" s="916">
        <v>-3061019</v>
      </c>
      <c r="F182" s="916">
        <v>-5940120</v>
      </c>
      <c r="G182" s="916">
        <v>-14986769</v>
      </c>
      <c r="H182" s="916">
        <v>-14093043</v>
      </c>
      <c r="I182" s="916">
        <v>-14126520</v>
      </c>
      <c r="J182" s="916">
        <v>-6074790</v>
      </c>
      <c r="K182" s="916">
        <v>-10311798</v>
      </c>
      <c r="L182" s="916">
        <v>-989156</v>
      </c>
      <c r="M182" s="916">
        <v>7173361</v>
      </c>
      <c r="N182" s="916">
        <v>11862178</v>
      </c>
      <c r="O182" s="450">
        <f>SUM(C182:N182)</f>
        <v>-921555</v>
      </c>
      <c r="P182" s="455"/>
      <c r="Q182" s="436"/>
      <c r="R182" s="81"/>
      <c r="S182" s="81"/>
      <c r="T182" s="80"/>
      <c r="U182" s="80"/>
    </row>
    <row r="183" spans="1:21" ht="12.75" x14ac:dyDescent="0.2">
      <c r="A183" s="439" t="s">
        <v>741</v>
      </c>
      <c r="B183" s="436"/>
      <c r="C183" s="448">
        <f t="shared" ref="C183:N183" si="11">C181-C182</f>
        <v>8358056</v>
      </c>
      <c r="D183" s="448">
        <f t="shared" si="11"/>
        <v>-3785616</v>
      </c>
      <c r="E183" s="448">
        <f t="shared" si="11"/>
        <v>22547263</v>
      </c>
      <c r="F183" s="448">
        <f t="shared" si="11"/>
        <v>-1861450</v>
      </c>
      <c r="G183" s="448">
        <f t="shared" si="11"/>
        <v>-500569</v>
      </c>
      <c r="H183" s="448">
        <f t="shared" si="11"/>
        <v>-3214269</v>
      </c>
      <c r="I183" s="917">
        <f t="shared" si="11"/>
        <v>-10941924</v>
      </c>
      <c r="J183" s="917">
        <f t="shared" si="11"/>
        <v>-11885590</v>
      </c>
      <c r="K183" s="917">
        <f t="shared" si="11"/>
        <v>-1463454</v>
      </c>
      <c r="L183" s="917">
        <f t="shared" si="11"/>
        <v>-9130333</v>
      </c>
      <c r="M183" s="917">
        <f t="shared" si="11"/>
        <v>3184661</v>
      </c>
      <c r="N183" s="917">
        <f t="shared" si="11"/>
        <v>-1910521</v>
      </c>
      <c r="O183" s="448">
        <f>SUM(C183:N183)</f>
        <v>-10603746</v>
      </c>
      <c r="P183" s="455"/>
      <c r="Q183" s="436"/>
      <c r="R183" s="81"/>
      <c r="S183" s="81"/>
      <c r="T183" s="80"/>
      <c r="U183" s="80"/>
    </row>
    <row r="184" spans="1:21" ht="12.75" x14ac:dyDescent="0.2">
      <c r="A184" s="436"/>
      <c r="B184" s="436"/>
      <c r="C184" s="457" t="s">
        <v>784</v>
      </c>
      <c r="D184" s="448"/>
      <c r="E184" s="448"/>
      <c r="F184" s="448"/>
      <c r="G184" s="448"/>
      <c r="H184" s="448"/>
      <c r="I184" s="917"/>
      <c r="J184" s="917"/>
      <c r="K184" s="917"/>
      <c r="L184" s="917"/>
      <c r="M184" s="929" t="s">
        <v>742</v>
      </c>
      <c r="N184" s="917"/>
      <c r="O184" s="451">
        <f>(+O183/O182)*100</f>
        <v>1150.6362615362079</v>
      </c>
      <c r="P184" s="455"/>
      <c r="Q184" s="436"/>
      <c r="R184" s="81"/>
      <c r="S184" s="81"/>
      <c r="T184" s="80"/>
      <c r="U184" s="80"/>
    </row>
    <row r="185" spans="1:21" ht="12.75" x14ac:dyDescent="0.2">
      <c r="A185" s="436" t="s">
        <v>182</v>
      </c>
      <c r="B185" s="436"/>
      <c r="C185" s="445"/>
      <c r="D185" s="445"/>
      <c r="E185" s="445"/>
      <c r="F185" s="445"/>
      <c r="G185" s="445"/>
      <c r="H185" s="445"/>
      <c r="I185" s="910"/>
      <c r="J185" s="910"/>
      <c r="K185" s="910"/>
      <c r="L185" s="910"/>
      <c r="M185" s="910"/>
      <c r="N185" s="910"/>
      <c r="O185" s="445"/>
      <c r="P185" s="455"/>
      <c r="Q185" s="436"/>
      <c r="R185" s="81"/>
      <c r="S185" s="81"/>
      <c r="T185" s="80"/>
      <c r="U185" s="80"/>
    </row>
    <row r="186" spans="1:21" ht="12.75" x14ac:dyDescent="0.2">
      <c r="A186" s="439" t="s">
        <v>739</v>
      </c>
      <c r="B186" s="436"/>
      <c r="C186" s="896">
        <v>-23658</v>
      </c>
      <c r="D186" s="896">
        <v>-24682</v>
      </c>
      <c r="E186" s="896">
        <v>-23800</v>
      </c>
      <c r="F186" s="896">
        <v>-17305</v>
      </c>
      <c r="G186" s="896">
        <v>-11764</v>
      </c>
      <c r="H186" s="896">
        <v>-11091</v>
      </c>
      <c r="I186" s="896">
        <v>-8358</v>
      </c>
      <c r="J186" s="896">
        <v>-9551</v>
      </c>
      <c r="K186" s="896">
        <v>-4308</v>
      </c>
      <c r="L186" s="896">
        <v>-8447</v>
      </c>
      <c r="M186" s="896">
        <v>-13946</v>
      </c>
      <c r="N186" s="896">
        <v>-25246</v>
      </c>
      <c r="O186" s="448">
        <f>SUM(C186:N186)</f>
        <v>-182156</v>
      </c>
      <c r="P186" s="455"/>
      <c r="Q186" s="436"/>
      <c r="R186" s="81"/>
      <c r="S186" s="81"/>
      <c r="T186" s="80"/>
      <c r="U186" s="80"/>
    </row>
    <row r="187" spans="1:21" ht="12.75" x14ac:dyDescent="0.2">
      <c r="A187" s="439" t="s">
        <v>740</v>
      </c>
      <c r="B187" s="436"/>
      <c r="C187" s="916">
        <v>-16702</v>
      </c>
      <c r="D187" s="916">
        <v>-23680</v>
      </c>
      <c r="E187" s="916">
        <v>-17512</v>
      </c>
      <c r="F187" s="916">
        <v>-11588</v>
      </c>
      <c r="G187" s="916">
        <v>-8452</v>
      </c>
      <c r="H187" s="916">
        <v>-7267</v>
      </c>
      <c r="I187" s="916">
        <v>-6196</v>
      </c>
      <c r="J187" s="916">
        <v>-3977</v>
      </c>
      <c r="K187" s="916">
        <v>-3891</v>
      </c>
      <c r="L187" s="916">
        <v>-3253</v>
      </c>
      <c r="M187" s="916">
        <v>-8408</v>
      </c>
      <c r="N187" s="916">
        <v>-15160</v>
      </c>
      <c r="O187" s="450">
        <f>SUM(C187:N187)</f>
        <v>-126086</v>
      </c>
      <c r="P187" s="455"/>
      <c r="Q187" s="436"/>
      <c r="R187" s="81"/>
      <c r="S187" s="81"/>
      <c r="T187" s="80"/>
      <c r="U187" s="80"/>
    </row>
    <row r="188" spans="1:21" ht="12.75" x14ac:dyDescent="0.2">
      <c r="A188" s="439" t="s">
        <v>741</v>
      </c>
      <c r="B188" s="436"/>
      <c r="C188" s="448">
        <f t="shared" ref="C188:N188" si="12">C186-C187</f>
        <v>-6956</v>
      </c>
      <c r="D188" s="448">
        <f t="shared" si="12"/>
        <v>-1002</v>
      </c>
      <c r="E188" s="448">
        <f t="shared" si="12"/>
        <v>-6288</v>
      </c>
      <c r="F188" s="448">
        <f t="shared" si="12"/>
        <v>-5717</v>
      </c>
      <c r="G188" s="448">
        <f t="shared" si="12"/>
        <v>-3312</v>
      </c>
      <c r="H188" s="448">
        <f t="shared" si="12"/>
        <v>-3824</v>
      </c>
      <c r="I188" s="917">
        <f t="shared" si="12"/>
        <v>-2162</v>
      </c>
      <c r="J188" s="917">
        <f t="shared" si="12"/>
        <v>-5574</v>
      </c>
      <c r="K188" s="917">
        <f t="shared" si="12"/>
        <v>-417</v>
      </c>
      <c r="L188" s="917">
        <f t="shared" si="12"/>
        <v>-5194</v>
      </c>
      <c r="M188" s="917">
        <f t="shared" si="12"/>
        <v>-5538</v>
      </c>
      <c r="N188" s="917">
        <f t="shared" si="12"/>
        <v>-10086</v>
      </c>
      <c r="O188" s="448">
        <f>SUM(C188:N188)</f>
        <v>-56070</v>
      </c>
      <c r="P188" s="455"/>
      <c r="Q188" s="436"/>
      <c r="R188" s="81"/>
      <c r="S188" s="81"/>
      <c r="T188" s="80"/>
      <c r="U188" s="80"/>
    </row>
    <row r="189" spans="1:21" ht="12.75" x14ac:dyDescent="0.2">
      <c r="A189" s="436"/>
      <c r="B189" s="436"/>
      <c r="C189" s="436"/>
      <c r="D189" s="452"/>
      <c r="E189" s="453"/>
      <c r="F189" s="453"/>
      <c r="G189" s="436"/>
      <c r="H189" s="436"/>
      <c r="I189" s="453"/>
      <c r="J189" s="453"/>
      <c r="K189" s="453"/>
      <c r="L189" s="453"/>
      <c r="M189" s="454" t="s">
        <v>742</v>
      </c>
      <c r="N189" s="453"/>
      <c r="O189" s="451">
        <f>(+O188/O187)*100</f>
        <v>44.46964770077566</v>
      </c>
      <c r="P189" s="455"/>
      <c r="Q189" s="436"/>
      <c r="R189" s="81"/>
      <c r="S189" s="81"/>
      <c r="T189" s="80"/>
      <c r="U189" s="80"/>
    </row>
    <row r="190" spans="1:21" ht="12.75" x14ac:dyDescent="0.2">
      <c r="A190" s="436"/>
      <c r="B190" s="436"/>
      <c r="C190" s="436"/>
      <c r="D190" s="452"/>
      <c r="E190" s="453"/>
      <c r="F190" s="453"/>
      <c r="G190" s="436"/>
      <c r="H190" s="436"/>
      <c r="I190" s="453"/>
      <c r="J190" s="453"/>
      <c r="K190" s="453"/>
      <c r="L190" s="453"/>
      <c r="M190" s="454"/>
      <c r="N190" s="453"/>
      <c r="O190" s="451"/>
      <c r="P190" s="455"/>
      <c r="Q190" s="436"/>
      <c r="R190" s="81"/>
      <c r="S190" s="81"/>
      <c r="T190" s="80"/>
      <c r="U190" s="80"/>
    </row>
    <row r="191" spans="1:21" ht="12.75" x14ac:dyDescent="0.2">
      <c r="A191" s="440" t="s">
        <v>833</v>
      </c>
      <c r="B191" s="436"/>
      <c r="C191" s="453"/>
      <c r="D191" s="453"/>
      <c r="E191" s="900"/>
      <c r="F191" s="453"/>
      <c r="G191" s="453"/>
      <c r="H191" s="453"/>
      <c r="I191" s="453"/>
      <c r="J191" s="453"/>
      <c r="K191" s="453"/>
      <c r="L191" s="453"/>
      <c r="M191" s="453"/>
      <c r="N191" s="453"/>
      <c r="O191" s="436"/>
      <c r="P191" s="455"/>
      <c r="Q191" s="436"/>
      <c r="R191" s="81"/>
      <c r="S191" s="81"/>
      <c r="T191" s="80"/>
      <c r="U191" s="80"/>
    </row>
    <row r="192" spans="1:21" ht="12.75" x14ac:dyDescent="0.2">
      <c r="A192" s="439" t="s">
        <v>739</v>
      </c>
      <c r="B192" s="436"/>
      <c r="C192" s="896">
        <v>0</v>
      </c>
      <c r="D192" s="896">
        <v>0</v>
      </c>
      <c r="E192" s="896">
        <v>0</v>
      </c>
      <c r="F192" s="896">
        <v>0</v>
      </c>
      <c r="G192" s="896">
        <v>0</v>
      </c>
      <c r="H192" s="896">
        <v>0</v>
      </c>
      <c r="I192" s="896">
        <v>2572</v>
      </c>
      <c r="J192" s="896">
        <v>2572</v>
      </c>
      <c r="K192" s="896">
        <v>0</v>
      </c>
      <c r="L192" s="896">
        <v>399</v>
      </c>
      <c r="M192" s="896">
        <v>0</v>
      </c>
      <c r="N192" s="896">
        <v>0</v>
      </c>
      <c r="O192" s="448">
        <f>SUM(C192:N192)</f>
        <v>5543</v>
      </c>
      <c r="P192" s="455"/>
      <c r="Q192" s="436"/>
      <c r="R192" s="81"/>
      <c r="S192" s="81"/>
      <c r="T192" s="80"/>
      <c r="U192" s="80"/>
    </row>
    <row r="193" spans="1:21" ht="12.75" x14ac:dyDescent="0.2">
      <c r="A193" s="439" t="s">
        <v>740</v>
      </c>
      <c r="B193" s="436"/>
      <c r="C193" s="916">
        <v>0</v>
      </c>
      <c r="D193" s="916">
        <v>0</v>
      </c>
      <c r="E193" s="916">
        <v>1558</v>
      </c>
      <c r="F193" s="916">
        <v>8604</v>
      </c>
      <c r="G193" s="916">
        <v>8564</v>
      </c>
      <c r="H193" s="916">
        <v>-15903</v>
      </c>
      <c r="I193" s="916">
        <v>0</v>
      </c>
      <c r="J193" s="916">
        <v>0</v>
      </c>
      <c r="K193" s="916">
        <v>0</v>
      </c>
      <c r="L193" s="916">
        <v>0</v>
      </c>
      <c r="M193" s="916">
        <v>0</v>
      </c>
      <c r="N193" s="916">
        <v>62305</v>
      </c>
      <c r="O193" s="450">
        <f>SUM(C193:N193)</f>
        <v>65128</v>
      </c>
      <c r="P193" s="455"/>
      <c r="Q193" s="436"/>
      <c r="R193" s="81"/>
      <c r="S193" s="81"/>
      <c r="T193" s="80"/>
      <c r="U193" s="80"/>
    </row>
    <row r="194" spans="1:21" ht="12.75" x14ac:dyDescent="0.2">
      <c r="A194" s="439" t="s">
        <v>741</v>
      </c>
      <c r="B194" s="436"/>
      <c r="C194" s="448">
        <f t="shared" ref="C194:N194" si="13">C192-C193</f>
        <v>0</v>
      </c>
      <c r="D194" s="448">
        <f t="shared" si="13"/>
        <v>0</v>
      </c>
      <c r="E194" s="448">
        <f t="shared" si="13"/>
        <v>-1558</v>
      </c>
      <c r="F194" s="448">
        <f t="shared" si="13"/>
        <v>-8604</v>
      </c>
      <c r="G194" s="448">
        <f t="shared" si="13"/>
        <v>-8564</v>
      </c>
      <c r="H194" s="448">
        <f t="shared" si="13"/>
        <v>15903</v>
      </c>
      <c r="I194" s="917">
        <f t="shared" si="13"/>
        <v>2572</v>
      </c>
      <c r="J194" s="917">
        <f t="shared" si="13"/>
        <v>2572</v>
      </c>
      <c r="K194" s="917">
        <f t="shared" si="13"/>
        <v>0</v>
      </c>
      <c r="L194" s="917">
        <f t="shared" si="13"/>
        <v>399</v>
      </c>
      <c r="M194" s="917">
        <f t="shared" si="13"/>
        <v>0</v>
      </c>
      <c r="N194" s="917">
        <f t="shared" si="13"/>
        <v>-62305</v>
      </c>
      <c r="O194" s="448">
        <f>SUM(C194:N194)</f>
        <v>-59585</v>
      </c>
      <c r="P194" s="455"/>
      <c r="Q194" s="436"/>
      <c r="R194" s="81"/>
      <c r="S194" s="81"/>
      <c r="T194" s="80"/>
      <c r="U194" s="80"/>
    </row>
    <row r="195" spans="1:21" ht="12.75" x14ac:dyDescent="0.2">
      <c r="A195" s="436"/>
      <c r="B195" s="436"/>
      <c r="C195" s="436"/>
      <c r="D195" s="452"/>
      <c r="E195" s="453"/>
      <c r="F195" s="453"/>
      <c r="G195" s="436"/>
      <c r="H195" s="436"/>
      <c r="I195" s="453"/>
      <c r="J195" s="453"/>
      <c r="K195" s="453"/>
      <c r="L195" s="453"/>
      <c r="M195" s="454" t="s">
        <v>742</v>
      </c>
      <c r="N195" s="453"/>
      <c r="O195" s="451">
        <f>(+O194/O193)*100</f>
        <v>-91.489067682102927</v>
      </c>
      <c r="P195" s="455"/>
      <c r="Q195" s="436"/>
      <c r="R195" s="81"/>
      <c r="S195" s="81"/>
      <c r="T195" s="80"/>
      <c r="U195" s="80"/>
    </row>
    <row r="196" spans="1:21" ht="12.75" x14ac:dyDescent="0.2">
      <c r="A196" s="1429" t="s">
        <v>477</v>
      </c>
      <c r="B196" s="1430"/>
      <c r="C196" s="1430"/>
      <c r="D196" s="1430"/>
      <c r="E196" s="1430"/>
      <c r="F196" s="1430"/>
      <c r="G196" s="1430"/>
      <c r="H196" s="1430"/>
      <c r="I196" s="1430"/>
      <c r="J196" s="1430"/>
      <c r="K196" s="1430"/>
      <c r="L196" s="1430"/>
      <c r="M196" s="1430"/>
      <c r="N196" s="1430"/>
      <c r="O196" s="1430"/>
      <c r="P196" s="455"/>
      <c r="Q196" s="436"/>
      <c r="R196" s="81"/>
      <c r="S196" s="81"/>
      <c r="T196" s="80"/>
      <c r="U196" s="80"/>
    </row>
    <row r="197" spans="1:21" ht="12.75" x14ac:dyDescent="0.2">
      <c r="A197" s="1429" t="str">
        <f>+Input!C4</f>
        <v>CASE NO. 2017-xxxxx</v>
      </c>
      <c r="B197" s="1430"/>
      <c r="C197" s="1430"/>
      <c r="D197" s="1430"/>
      <c r="E197" s="1430"/>
      <c r="F197" s="1430"/>
      <c r="G197" s="1430"/>
      <c r="H197" s="1430"/>
      <c r="I197" s="1430"/>
      <c r="J197" s="1430"/>
      <c r="K197" s="1430"/>
      <c r="L197" s="1430"/>
      <c r="M197" s="1430"/>
      <c r="N197" s="1430"/>
      <c r="O197" s="1430"/>
      <c r="P197" s="455"/>
      <c r="Q197" s="436"/>
      <c r="R197" s="81"/>
      <c r="S197" s="81"/>
      <c r="T197" s="80"/>
      <c r="U197" s="80"/>
    </row>
    <row r="198" spans="1:21" ht="12.75" x14ac:dyDescent="0.2">
      <c r="A198" s="1429" t="s">
        <v>727</v>
      </c>
      <c r="B198" s="1430"/>
      <c r="C198" s="1430"/>
      <c r="D198" s="1430"/>
      <c r="E198" s="1430"/>
      <c r="F198" s="1430"/>
      <c r="G198" s="1430"/>
      <c r="H198" s="1430"/>
      <c r="I198" s="1430"/>
      <c r="J198" s="1430"/>
      <c r="K198" s="1430"/>
      <c r="L198" s="1430"/>
      <c r="M198" s="1430"/>
      <c r="N198" s="1430"/>
      <c r="O198" s="1430"/>
      <c r="P198" s="455"/>
      <c r="Q198" s="436"/>
      <c r="R198" s="81"/>
      <c r="S198" s="81"/>
      <c r="T198" s="80"/>
      <c r="U198" s="80"/>
    </row>
    <row r="199" spans="1:21" ht="12.75" x14ac:dyDescent="0.2">
      <c r="A199" s="1429" t="str">
        <f>+Input!C23</f>
        <v>FOR THE HISTORIC PERIOD 12 MONTHS ENDED DECEMBER 31, 2017 AND PRIOR PERIOD DECEMBER 31, 2016</v>
      </c>
      <c r="B199" s="1430"/>
      <c r="C199" s="1430"/>
      <c r="D199" s="1430"/>
      <c r="E199" s="1430"/>
      <c r="F199" s="1430"/>
      <c r="G199" s="1430"/>
      <c r="H199" s="1430"/>
      <c r="I199" s="1430"/>
      <c r="J199" s="1430"/>
      <c r="K199" s="1430"/>
      <c r="L199" s="1430"/>
      <c r="M199" s="1430"/>
      <c r="N199" s="1430"/>
      <c r="O199" s="1430"/>
      <c r="P199" s="455"/>
      <c r="Q199" s="436"/>
      <c r="R199" s="81"/>
      <c r="S199" s="81"/>
      <c r="T199" s="80"/>
      <c r="U199" s="80"/>
    </row>
    <row r="200" spans="1:21" ht="12.75" x14ac:dyDescent="0.2">
      <c r="A200" s="436"/>
      <c r="B200" s="436"/>
      <c r="C200" s="437"/>
      <c r="D200" s="436"/>
      <c r="E200" s="436"/>
      <c r="F200" s="436"/>
      <c r="G200" s="438"/>
      <c r="H200" s="436"/>
      <c r="I200" s="453"/>
      <c r="J200" s="453"/>
      <c r="K200" s="453"/>
      <c r="L200" s="453"/>
      <c r="M200" s="453"/>
      <c r="N200" s="453"/>
      <c r="O200" s="436"/>
      <c r="P200" s="455"/>
      <c r="Q200" s="436"/>
      <c r="R200" s="81"/>
      <c r="S200" s="81"/>
      <c r="T200" s="80"/>
      <c r="U200" s="80"/>
    </row>
    <row r="201" spans="1:21" ht="12.75" x14ac:dyDescent="0.2">
      <c r="A201" s="439" t="s">
        <v>839</v>
      </c>
      <c r="B201" s="436"/>
      <c r="C201" s="436"/>
      <c r="D201" s="436"/>
      <c r="E201" s="436"/>
      <c r="F201" s="436"/>
      <c r="G201" s="436"/>
      <c r="H201" s="436"/>
      <c r="I201" s="453"/>
      <c r="J201" s="453"/>
      <c r="K201" s="453"/>
      <c r="L201" s="453"/>
      <c r="M201" s="927"/>
      <c r="N201" s="453"/>
      <c r="O201" s="813" t="s">
        <v>752</v>
      </c>
      <c r="P201" s="455"/>
      <c r="Q201" s="436"/>
      <c r="R201" s="81"/>
      <c r="S201" s="81"/>
      <c r="T201" s="80"/>
      <c r="U201" s="80"/>
    </row>
    <row r="202" spans="1:21" ht="12.75" x14ac:dyDescent="0.2">
      <c r="A202" s="439" t="s">
        <v>490</v>
      </c>
      <c r="B202" s="436"/>
      <c r="C202" s="436"/>
      <c r="D202" s="436"/>
      <c r="E202" s="436"/>
      <c r="F202" s="436"/>
      <c r="G202" s="436"/>
      <c r="H202" s="436"/>
      <c r="I202" s="453"/>
      <c r="J202" s="453"/>
      <c r="K202" s="453"/>
      <c r="L202" s="453"/>
      <c r="M202" s="927"/>
      <c r="N202" s="453"/>
      <c r="O202" s="813" t="s">
        <v>1721</v>
      </c>
      <c r="P202" s="455"/>
      <c r="Q202" s="436"/>
      <c r="R202" s="81"/>
      <c r="S202" s="81"/>
      <c r="T202" s="80"/>
      <c r="U202" s="80"/>
    </row>
    <row r="203" spans="1:21" ht="12.75" x14ac:dyDescent="0.2">
      <c r="A203" s="441" t="s">
        <v>840</v>
      </c>
      <c r="B203" s="442"/>
      <c r="C203" s="442"/>
      <c r="D203" s="442"/>
      <c r="E203" s="442"/>
      <c r="F203" s="442"/>
      <c r="G203" s="442"/>
      <c r="H203" s="442"/>
      <c r="I203" s="918"/>
      <c r="J203" s="918"/>
      <c r="K203" s="918"/>
      <c r="L203" s="918"/>
      <c r="M203" s="928"/>
      <c r="N203" s="918"/>
      <c r="O203" s="814" t="str">
        <f>+Input!E27</f>
        <v>WITNESS:  C. Y. LAI</v>
      </c>
      <c r="P203" s="455"/>
      <c r="Q203" s="436"/>
      <c r="R203" s="81"/>
      <c r="S203" s="81"/>
      <c r="T203" s="80"/>
      <c r="U203" s="80"/>
    </row>
    <row r="204" spans="1:21" ht="12.75" x14ac:dyDescent="0.2">
      <c r="A204" s="1431" t="s">
        <v>728</v>
      </c>
      <c r="B204" s="1431"/>
      <c r="C204" s="437"/>
      <c r="D204" s="436"/>
      <c r="E204" s="436"/>
      <c r="F204" s="436"/>
      <c r="G204" s="436"/>
      <c r="H204" s="436"/>
      <c r="I204" s="453"/>
      <c r="J204" s="453"/>
      <c r="K204" s="453"/>
      <c r="L204" s="453"/>
      <c r="M204" s="453"/>
      <c r="N204" s="453"/>
      <c r="O204" s="436"/>
      <c r="P204" s="455"/>
      <c r="Q204" s="436"/>
      <c r="R204" s="81"/>
      <c r="S204" s="81"/>
      <c r="T204" s="80"/>
      <c r="U204" s="80"/>
    </row>
    <row r="205" spans="1:21" ht="12.75" x14ac:dyDescent="0.2">
      <c r="A205" s="1432" t="s">
        <v>729</v>
      </c>
      <c r="B205" s="1432"/>
      <c r="C205" s="443" t="s">
        <v>1011</v>
      </c>
      <c r="D205" s="443" t="s">
        <v>731</v>
      </c>
      <c r="E205" s="443" t="s">
        <v>732</v>
      </c>
      <c r="F205" s="443" t="s">
        <v>733</v>
      </c>
      <c r="G205" s="443" t="s">
        <v>734</v>
      </c>
      <c r="H205" s="443" t="s">
        <v>735</v>
      </c>
      <c r="I205" s="919" t="s">
        <v>736</v>
      </c>
      <c r="J205" s="919" t="s">
        <v>737</v>
      </c>
      <c r="K205" s="925" t="s">
        <v>1012</v>
      </c>
      <c r="L205" s="919" t="s">
        <v>1013</v>
      </c>
      <c r="M205" s="919" t="s">
        <v>730</v>
      </c>
      <c r="N205" s="919" t="s">
        <v>1014</v>
      </c>
      <c r="O205" s="444" t="s">
        <v>525</v>
      </c>
      <c r="P205" s="455"/>
      <c r="Q205" s="436"/>
      <c r="R205" s="81"/>
      <c r="S205" s="81"/>
      <c r="T205" s="80"/>
      <c r="U205" s="80"/>
    </row>
    <row r="206" spans="1:21" ht="12.75" x14ac:dyDescent="0.2">
      <c r="A206" s="436"/>
      <c r="B206" s="436"/>
      <c r="C206" s="445" t="s">
        <v>500</v>
      </c>
      <c r="D206" s="445" t="s">
        <v>500</v>
      </c>
      <c r="E206" s="445" t="s">
        <v>500</v>
      </c>
      <c r="F206" s="445" t="s">
        <v>500</v>
      </c>
      <c r="G206" s="445" t="s">
        <v>500</v>
      </c>
      <c r="H206" s="445" t="s">
        <v>500</v>
      </c>
      <c r="I206" s="910" t="s">
        <v>500</v>
      </c>
      <c r="J206" s="910" t="s">
        <v>500</v>
      </c>
      <c r="K206" s="910" t="s">
        <v>500</v>
      </c>
      <c r="L206" s="910" t="s">
        <v>500</v>
      </c>
      <c r="M206" s="910" t="s">
        <v>500</v>
      </c>
      <c r="N206" s="910" t="s">
        <v>500</v>
      </c>
      <c r="O206" s="445" t="s">
        <v>500</v>
      </c>
      <c r="P206" s="455"/>
      <c r="Q206" s="436"/>
      <c r="R206" s="81"/>
      <c r="S206" s="81"/>
      <c r="T206" s="80"/>
      <c r="U206" s="80"/>
    </row>
    <row r="207" spans="1:21" ht="12.75" x14ac:dyDescent="0.2">
      <c r="A207" s="436"/>
      <c r="B207" s="436"/>
      <c r="C207" s="445"/>
      <c r="D207" s="445"/>
      <c r="E207" s="445"/>
      <c r="F207" s="445"/>
      <c r="G207" s="445"/>
      <c r="H207" s="445"/>
      <c r="I207" s="910"/>
      <c r="J207" s="910"/>
      <c r="K207" s="910"/>
      <c r="L207" s="910"/>
      <c r="M207" s="910"/>
      <c r="N207" s="910"/>
      <c r="O207" s="445"/>
      <c r="P207" s="455"/>
      <c r="Q207" s="436"/>
      <c r="R207" s="81"/>
      <c r="S207" s="81"/>
      <c r="T207" s="80"/>
      <c r="U207" s="80"/>
    </row>
    <row r="208" spans="1:21" ht="12.75" x14ac:dyDescent="0.2">
      <c r="A208" s="440" t="s">
        <v>786</v>
      </c>
      <c r="B208" s="436"/>
      <c r="C208" s="437"/>
      <c r="D208" s="436"/>
      <c r="E208" s="436"/>
      <c r="F208" s="436"/>
      <c r="G208" s="436"/>
      <c r="H208" s="437"/>
      <c r="I208" s="453"/>
      <c r="J208" s="453"/>
      <c r="K208" s="453"/>
      <c r="L208" s="453"/>
      <c r="M208" s="453"/>
      <c r="N208" s="453"/>
      <c r="O208" s="436"/>
      <c r="P208" s="455"/>
      <c r="Q208" s="436"/>
      <c r="R208" s="81"/>
      <c r="S208" s="81"/>
      <c r="T208" s="80"/>
      <c r="U208" s="80"/>
    </row>
    <row r="209" spans="1:21" ht="12.75" x14ac:dyDescent="0.2">
      <c r="A209" s="439" t="s">
        <v>739</v>
      </c>
      <c r="B209" s="436"/>
      <c r="C209" s="896">
        <v>109096</v>
      </c>
      <c r="D209" s="896">
        <v>51433</v>
      </c>
      <c r="E209" s="896">
        <v>73238</v>
      </c>
      <c r="F209" s="896">
        <v>85274</v>
      </c>
      <c r="G209" s="896">
        <v>63406</v>
      </c>
      <c r="H209" s="896">
        <v>15230</v>
      </c>
      <c r="I209" s="896">
        <v>108109</v>
      </c>
      <c r="J209" s="896">
        <v>41277</v>
      </c>
      <c r="K209" s="896">
        <v>58617</v>
      </c>
      <c r="L209" s="896">
        <v>-38152</v>
      </c>
      <c r="M209" s="896">
        <v>58366</v>
      </c>
      <c r="N209" s="896">
        <v>118362</v>
      </c>
      <c r="O209" s="448">
        <f>SUM(C209:N209)</f>
        <v>744256</v>
      </c>
      <c r="P209" s="455"/>
      <c r="Q209" s="436"/>
      <c r="R209" s="81"/>
      <c r="S209" s="81"/>
      <c r="T209" s="80"/>
      <c r="U209" s="80"/>
    </row>
    <row r="210" spans="1:21" ht="12.75" x14ac:dyDescent="0.2">
      <c r="A210" s="439" t="s">
        <v>740</v>
      </c>
      <c r="B210" s="436"/>
      <c r="C210" s="916">
        <v>107126</v>
      </c>
      <c r="D210" s="916">
        <v>46153</v>
      </c>
      <c r="E210" s="916">
        <v>17836</v>
      </c>
      <c r="F210" s="916">
        <v>56851</v>
      </c>
      <c r="G210" s="916">
        <v>71104</v>
      </c>
      <c r="H210" s="916">
        <v>-26069</v>
      </c>
      <c r="I210" s="916">
        <v>85881</v>
      </c>
      <c r="J210" s="916">
        <v>11614</v>
      </c>
      <c r="K210" s="916">
        <v>28174</v>
      </c>
      <c r="L210" s="916">
        <v>62809</v>
      </c>
      <c r="M210" s="916">
        <v>41994</v>
      </c>
      <c r="N210" s="916">
        <v>-9577</v>
      </c>
      <c r="O210" s="450">
        <f>SUM(C210:N210)</f>
        <v>493896</v>
      </c>
      <c r="P210" s="455"/>
      <c r="Q210" s="436"/>
      <c r="R210" s="81"/>
      <c r="S210" s="81"/>
      <c r="T210" s="80"/>
      <c r="U210" s="80"/>
    </row>
    <row r="211" spans="1:21" ht="12.75" x14ac:dyDescent="0.2">
      <c r="A211" s="439" t="s">
        <v>741</v>
      </c>
      <c r="B211" s="436"/>
      <c r="C211" s="448">
        <f t="shared" ref="C211:N211" si="14">C209-C210</f>
        <v>1970</v>
      </c>
      <c r="D211" s="448">
        <f t="shared" si="14"/>
        <v>5280</v>
      </c>
      <c r="E211" s="448">
        <f t="shared" si="14"/>
        <v>55402</v>
      </c>
      <c r="F211" s="448">
        <f t="shared" si="14"/>
        <v>28423</v>
      </c>
      <c r="G211" s="448">
        <f t="shared" si="14"/>
        <v>-7698</v>
      </c>
      <c r="H211" s="448">
        <f t="shared" si="14"/>
        <v>41299</v>
      </c>
      <c r="I211" s="917">
        <f t="shared" si="14"/>
        <v>22228</v>
      </c>
      <c r="J211" s="917">
        <f t="shared" si="14"/>
        <v>29663</v>
      </c>
      <c r="K211" s="917">
        <f t="shared" si="14"/>
        <v>30443</v>
      </c>
      <c r="L211" s="917">
        <f t="shared" si="14"/>
        <v>-100961</v>
      </c>
      <c r="M211" s="917">
        <f t="shared" si="14"/>
        <v>16372</v>
      </c>
      <c r="N211" s="917">
        <f t="shared" si="14"/>
        <v>127939</v>
      </c>
      <c r="O211" s="448">
        <f>SUM(C211:N211)</f>
        <v>250360</v>
      </c>
      <c r="P211" s="455"/>
      <c r="Q211" s="436"/>
      <c r="R211" s="81"/>
      <c r="S211" s="81"/>
      <c r="T211" s="80"/>
      <c r="U211" s="80"/>
    </row>
    <row r="212" spans="1:21" ht="12.75" x14ac:dyDescent="0.2">
      <c r="A212" s="436"/>
      <c r="B212" s="436"/>
      <c r="C212" s="436"/>
      <c r="D212" s="436"/>
      <c r="E212" s="436"/>
      <c r="F212" s="436"/>
      <c r="G212" s="436"/>
      <c r="H212" s="436"/>
      <c r="I212" s="453"/>
      <c r="J212" s="453"/>
      <c r="K212" s="453"/>
      <c r="L212" s="453"/>
      <c r="M212" s="454" t="s">
        <v>742</v>
      </c>
      <c r="N212" s="453"/>
      <c r="O212" s="451">
        <f>(+O211/O210)*100</f>
        <v>50.690833697782537</v>
      </c>
      <c r="P212" s="455"/>
      <c r="Q212" s="436"/>
      <c r="R212" s="81"/>
      <c r="S212" s="81"/>
      <c r="T212" s="80"/>
      <c r="U212" s="80"/>
    </row>
    <row r="213" spans="1:21" ht="12.75" x14ac:dyDescent="0.2">
      <c r="A213" s="440" t="s">
        <v>789</v>
      </c>
      <c r="B213" s="436"/>
      <c r="C213" s="436"/>
      <c r="D213" s="436"/>
      <c r="E213" s="436"/>
      <c r="F213" s="436"/>
      <c r="G213" s="436"/>
      <c r="H213" s="437"/>
      <c r="I213" s="453"/>
      <c r="J213" s="453"/>
      <c r="K213" s="453"/>
      <c r="L213" s="453"/>
      <c r="M213" s="453"/>
      <c r="N213" s="453"/>
      <c r="O213" s="436"/>
      <c r="P213" s="455"/>
      <c r="Q213" s="436"/>
      <c r="R213" s="81"/>
      <c r="S213" s="81"/>
      <c r="T213" s="80"/>
      <c r="U213" s="80"/>
    </row>
    <row r="214" spans="1:21" ht="12.75" x14ac:dyDescent="0.2">
      <c r="A214" s="439" t="s">
        <v>739</v>
      </c>
      <c r="B214" s="436"/>
      <c r="C214" s="896">
        <v>7709</v>
      </c>
      <c r="D214" s="896">
        <v>5457</v>
      </c>
      <c r="E214" s="896">
        <v>1684</v>
      </c>
      <c r="F214" s="896">
        <v>955</v>
      </c>
      <c r="G214" s="896">
        <v>935</v>
      </c>
      <c r="H214" s="896">
        <v>627</v>
      </c>
      <c r="I214" s="896">
        <v>2544</v>
      </c>
      <c r="J214" s="896">
        <v>848</v>
      </c>
      <c r="K214" s="896">
        <v>302</v>
      </c>
      <c r="L214" s="896">
        <v>1511</v>
      </c>
      <c r="M214" s="896">
        <v>3652</v>
      </c>
      <c r="N214" s="896">
        <v>3136</v>
      </c>
      <c r="O214" s="448">
        <f>SUM(C214:N214)</f>
        <v>29360</v>
      </c>
      <c r="P214" s="455"/>
      <c r="Q214" s="436"/>
      <c r="R214" s="81"/>
      <c r="S214" s="81"/>
      <c r="T214" s="80"/>
      <c r="U214" s="80"/>
    </row>
    <row r="215" spans="1:21" ht="12.75" x14ac:dyDescent="0.2">
      <c r="A215" s="439" t="s">
        <v>740</v>
      </c>
      <c r="B215" s="436"/>
      <c r="C215" s="916">
        <v>1058</v>
      </c>
      <c r="D215" s="916">
        <v>12105</v>
      </c>
      <c r="E215" s="916">
        <v>1871</v>
      </c>
      <c r="F215" s="916">
        <v>717</v>
      </c>
      <c r="G215" s="916">
        <v>58</v>
      </c>
      <c r="H215" s="916">
        <v>607</v>
      </c>
      <c r="I215" s="916">
        <v>1004</v>
      </c>
      <c r="J215" s="916">
        <v>605</v>
      </c>
      <c r="K215" s="916">
        <v>1211</v>
      </c>
      <c r="L215" s="916">
        <v>447</v>
      </c>
      <c r="M215" s="916">
        <v>2836</v>
      </c>
      <c r="N215" s="916">
        <v>2873</v>
      </c>
      <c r="O215" s="450">
        <f>SUM(C215:N215)</f>
        <v>25392</v>
      </c>
      <c r="P215" s="455"/>
      <c r="Q215" s="436"/>
      <c r="R215" s="81"/>
      <c r="S215" s="81"/>
      <c r="T215" s="80"/>
      <c r="U215" s="80"/>
    </row>
    <row r="216" spans="1:21" ht="12.75" x14ac:dyDescent="0.2">
      <c r="A216" s="439" t="s">
        <v>741</v>
      </c>
      <c r="B216" s="436"/>
      <c r="C216" s="448">
        <f t="shared" ref="C216:N216" si="15">C214-C215</f>
        <v>6651</v>
      </c>
      <c r="D216" s="448">
        <f t="shared" si="15"/>
        <v>-6648</v>
      </c>
      <c r="E216" s="448">
        <f t="shared" si="15"/>
        <v>-187</v>
      </c>
      <c r="F216" s="448">
        <f t="shared" si="15"/>
        <v>238</v>
      </c>
      <c r="G216" s="448">
        <f t="shared" si="15"/>
        <v>877</v>
      </c>
      <c r="H216" s="448">
        <f t="shared" si="15"/>
        <v>20</v>
      </c>
      <c r="I216" s="917">
        <f t="shared" si="15"/>
        <v>1540</v>
      </c>
      <c r="J216" s="917">
        <f t="shared" si="15"/>
        <v>243</v>
      </c>
      <c r="K216" s="917">
        <f t="shared" si="15"/>
        <v>-909</v>
      </c>
      <c r="L216" s="917">
        <f t="shared" si="15"/>
        <v>1064</v>
      </c>
      <c r="M216" s="917">
        <f t="shared" si="15"/>
        <v>816</v>
      </c>
      <c r="N216" s="917">
        <f t="shared" si="15"/>
        <v>263</v>
      </c>
      <c r="O216" s="448">
        <f>SUM(C216:N216)</f>
        <v>3968</v>
      </c>
      <c r="P216" s="455"/>
      <c r="Q216" s="436"/>
      <c r="R216" s="81"/>
      <c r="S216" s="81"/>
      <c r="T216" s="80"/>
      <c r="U216" s="80"/>
    </row>
    <row r="217" spans="1:21" ht="12.75" x14ac:dyDescent="0.2">
      <c r="A217" s="436"/>
      <c r="B217" s="436"/>
      <c r="C217" s="436"/>
      <c r="D217" s="436"/>
      <c r="E217" s="436"/>
      <c r="F217" s="436"/>
      <c r="G217" s="436"/>
      <c r="H217" s="436"/>
      <c r="I217" s="453"/>
      <c r="J217" s="453"/>
      <c r="K217" s="453"/>
      <c r="L217" s="453"/>
      <c r="M217" s="454" t="s">
        <v>742</v>
      </c>
      <c r="N217" s="453"/>
      <c r="O217" s="451">
        <f>(+O216/O215)*100</f>
        <v>15.626969124133586</v>
      </c>
      <c r="P217" s="455"/>
      <c r="Q217" s="436"/>
      <c r="R217" s="81"/>
      <c r="S217" s="81"/>
      <c r="T217" s="80"/>
      <c r="U217" s="80"/>
    </row>
    <row r="218" spans="1:21" ht="12.75" x14ac:dyDescent="0.2">
      <c r="A218" s="440" t="s">
        <v>792</v>
      </c>
      <c r="B218" s="436"/>
      <c r="C218" s="437"/>
      <c r="D218" s="436"/>
      <c r="E218" s="436"/>
      <c r="F218" s="436"/>
      <c r="G218" s="436"/>
      <c r="H218" s="437"/>
      <c r="I218" s="453"/>
      <c r="J218" s="453"/>
      <c r="K218" s="453"/>
      <c r="L218" s="453"/>
      <c r="M218" s="453"/>
      <c r="N218" s="453"/>
      <c r="O218" s="436"/>
      <c r="P218" s="455"/>
      <c r="Q218" s="436"/>
      <c r="R218" s="81"/>
      <c r="S218" s="81"/>
      <c r="T218" s="80"/>
      <c r="U218" s="80"/>
    </row>
    <row r="219" spans="1:21" ht="12.75" x14ac:dyDescent="0.2">
      <c r="A219" s="439" t="s">
        <v>739</v>
      </c>
      <c r="B219" s="436"/>
      <c r="C219" s="896">
        <v>156943</v>
      </c>
      <c r="D219" s="896">
        <v>163868</v>
      </c>
      <c r="E219" s="896">
        <v>151288</v>
      </c>
      <c r="F219" s="896">
        <v>227648</v>
      </c>
      <c r="G219" s="896">
        <v>136243</v>
      </c>
      <c r="H219" s="896">
        <v>172179</v>
      </c>
      <c r="I219" s="896">
        <v>143102</v>
      </c>
      <c r="J219" s="896">
        <v>177654</v>
      </c>
      <c r="K219" s="896">
        <v>143387</v>
      </c>
      <c r="L219" s="896">
        <v>169464</v>
      </c>
      <c r="M219" s="896">
        <v>166012</v>
      </c>
      <c r="N219" s="896">
        <v>222081</v>
      </c>
      <c r="O219" s="448">
        <f>SUM(C219:N219)</f>
        <v>2029869</v>
      </c>
      <c r="P219" s="455"/>
      <c r="Q219" s="436"/>
      <c r="R219" s="81"/>
      <c r="S219" s="81"/>
      <c r="T219" s="80"/>
      <c r="U219" s="80"/>
    </row>
    <row r="220" spans="1:21" ht="12.75" x14ac:dyDescent="0.2">
      <c r="A220" s="439" t="s">
        <v>740</v>
      </c>
      <c r="B220" s="436"/>
      <c r="C220" s="916">
        <v>230413</v>
      </c>
      <c r="D220" s="916">
        <v>139877</v>
      </c>
      <c r="E220" s="916">
        <v>125665</v>
      </c>
      <c r="F220" s="916">
        <v>134465</v>
      </c>
      <c r="G220" s="916">
        <v>164851</v>
      </c>
      <c r="H220" s="916">
        <v>163071</v>
      </c>
      <c r="I220" s="916">
        <v>99217</v>
      </c>
      <c r="J220" s="916">
        <v>138521</v>
      </c>
      <c r="K220" s="916">
        <v>130390</v>
      </c>
      <c r="L220" s="916">
        <v>109205</v>
      </c>
      <c r="M220" s="916">
        <v>122814</v>
      </c>
      <c r="N220" s="916">
        <v>226374</v>
      </c>
      <c r="O220" s="450">
        <f>SUM(C220:N220)</f>
        <v>1784863</v>
      </c>
      <c r="P220" s="455"/>
      <c r="Q220" s="436"/>
      <c r="R220" s="81"/>
      <c r="S220" s="81"/>
      <c r="T220" s="80"/>
      <c r="U220" s="80"/>
    </row>
    <row r="221" spans="1:21" ht="12.75" x14ac:dyDescent="0.2">
      <c r="A221" s="439" t="s">
        <v>741</v>
      </c>
      <c r="B221" s="436"/>
      <c r="C221" s="448">
        <f t="shared" ref="C221:N221" si="16">C219-C220</f>
        <v>-73470</v>
      </c>
      <c r="D221" s="448">
        <f t="shared" si="16"/>
        <v>23991</v>
      </c>
      <c r="E221" s="448">
        <f t="shared" si="16"/>
        <v>25623</v>
      </c>
      <c r="F221" s="448">
        <f t="shared" si="16"/>
        <v>93183</v>
      </c>
      <c r="G221" s="448">
        <f t="shared" si="16"/>
        <v>-28608</v>
      </c>
      <c r="H221" s="448">
        <f t="shared" si="16"/>
        <v>9108</v>
      </c>
      <c r="I221" s="917">
        <f t="shared" si="16"/>
        <v>43885</v>
      </c>
      <c r="J221" s="917">
        <f t="shared" si="16"/>
        <v>39133</v>
      </c>
      <c r="K221" s="917">
        <f t="shared" si="16"/>
        <v>12997</v>
      </c>
      <c r="L221" s="917">
        <f t="shared" si="16"/>
        <v>60259</v>
      </c>
      <c r="M221" s="917">
        <f t="shared" si="16"/>
        <v>43198</v>
      </c>
      <c r="N221" s="917">
        <f t="shared" si="16"/>
        <v>-4293</v>
      </c>
      <c r="O221" s="448">
        <f>SUM(C221:N221)</f>
        <v>245006</v>
      </c>
      <c r="P221" s="455"/>
      <c r="Q221" s="436"/>
      <c r="R221" s="81"/>
      <c r="S221" s="81"/>
      <c r="T221" s="80"/>
      <c r="U221" s="80"/>
    </row>
    <row r="222" spans="1:21" ht="12.75" x14ac:dyDescent="0.2">
      <c r="A222" s="436"/>
      <c r="B222" s="436"/>
      <c r="C222" s="436"/>
      <c r="D222" s="436"/>
      <c r="E222" s="436"/>
      <c r="F222" s="436"/>
      <c r="G222" s="436"/>
      <c r="H222" s="436"/>
      <c r="I222" s="453"/>
      <c r="J222" s="453"/>
      <c r="K222" s="453"/>
      <c r="L222" s="453"/>
      <c r="M222" s="454" t="s">
        <v>742</v>
      </c>
      <c r="N222" s="453"/>
      <c r="O222" s="451">
        <f>(+O221/O220)*100</f>
        <v>13.726879878175524</v>
      </c>
      <c r="P222" s="455"/>
      <c r="Q222" s="436"/>
      <c r="R222" s="81"/>
      <c r="S222" s="81"/>
      <c r="T222" s="80"/>
      <c r="U222" s="80"/>
    </row>
    <row r="223" spans="1:21" ht="12.75" x14ac:dyDescent="0.2">
      <c r="A223" s="440" t="s">
        <v>793</v>
      </c>
      <c r="B223" s="436"/>
      <c r="C223" s="436"/>
      <c r="D223" s="436"/>
      <c r="E223" s="436"/>
      <c r="F223" s="436"/>
      <c r="G223" s="436"/>
      <c r="H223" s="436"/>
      <c r="I223" s="453"/>
      <c r="J223" s="453"/>
      <c r="K223" s="453"/>
      <c r="L223" s="453"/>
      <c r="M223" s="453"/>
      <c r="N223" s="453"/>
      <c r="O223" s="436"/>
      <c r="P223" s="455"/>
      <c r="Q223" s="436"/>
      <c r="R223" s="81"/>
      <c r="S223" s="81"/>
      <c r="T223" s="80"/>
      <c r="U223" s="80"/>
    </row>
    <row r="224" spans="1:21" ht="12.75" x14ac:dyDescent="0.2">
      <c r="A224" s="439" t="s">
        <v>739</v>
      </c>
      <c r="B224" s="436"/>
      <c r="C224" s="896">
        <v>15581</v>
      </c>
      <c r="D224" s="896">
        <v>17874</v>
      </c>
      <c r="E224" s="896">
        <v>22952</v>
      </c>
      <c r="F224" s="896">
        <v>16435</v>
      </c>
      <c r="G224" s="896">
        <v>14294</v>
      </c>
      <c r="H224" s="896">
        <v>15223</v>
      </c>
      <c r="I224" s="896">
        <v>13853</v>
      </c>
      <c r="J224" s="896">
        <v>14693</v>
      </c>
      <c r="K224" s="896">
        <v>9585</v>
      </c>
      <c r="L224" s="896">
        <v>15062</v>
      </c>
      <c r="M224" s="896">
        <v>18207</v>
      </c>
      <c r="N224" s="896">
        <v>20629</v>
      </c>
      <c r="O224" s="448">
        <f>SUM(C224:N224)</f>
        <v>194388</v>
      </c>
      <c r="P224" s="455"/>
      <c r="Q224" s="436"/>
      <c r="R224" s="81"/>
      <c r="S224" s="81"/>
      <c r="T224" s="80"/>
      <c r="U224" s="80"/>
    </row>
    <row r="225" spans="1:21" ht="12.75" x14ac:dyDescent="0.2">
      <c r="A225" s="439" t="s">
        <v>740</v>
      </c>
      <c r="B225" s="436"/>
      <c r="C225" s="916">
        <v>13764</v>
      </c>
      <c r="D225" s="916">
        <v>13530</v>
      </c>
      <c r="E225" s="916">
        <v>18606</v>
      </c>
      <c r="F225" s="916">
        <v>10997</v>
      </c>
      <c r="G225" s="916">
        <v>10811</v>
      </c>
      <c r="H225" s="916">
        <v>12094</v>
      </c>
      <c r="I225" s="916">
        <v>8640</v>
      </c>
      <c r="J225" s="916">
        <v>15679</v>
      </c>
      <c r="K225" s="916">
        <v>7365</v>
      </c>
      <c r="L225" s="916">
        <v>8619</v>
      </c>
      <c r="M225" s="916">
        <v>14668</v>
      </c>
      <c r="N225" s="916">
        <v>17696</v>
      </c>
      <c r="O225" s="450">
        <f>SUM(C225:N225)</f>
        <v>152469</v>
      </c>
      <c r="P225" s="455"/>
      <c r="Q225" s="436"/>
      <c r="R225" s="81"/>
      <c r="S225" s="81"/>
      <c r="T225" s="80"/>
      <c r="U225" s="80"/>
    </row>
    <row r="226" spans="1:21" ht="12.75" x14ac:dyDescent="0.2">
      <c r="A226" s="439" t="s">
        <v>741</v>
      </c>
      <c r="B226" s="436"/>
      <c r="C226" s="448">
        <f t="shared" ref="C226:N226" si="17">C224-C225</f>
        <v>1817</v>
      </c>
      <c r="D226" s="448">
        <f t="shared" si="17"/>
        <v>4344</v>
      </c>
      <c r="E226" s="448">
        <f t="shared" si="17"/>
        <v>4346</v>
      </c>
      <c r="F226" s="448">
        <f t="shared" si="17"/>
        <v>5438</v>
      </c>
      <c r="G226" s="448">
        <f t="shared" si="17"/>
        <v>3483</v>
      </c>
      <c r="H226" s="448">
        <f t="shared" si="17"/>
        <v>3129</v>
      </c>
      <c r="I226" s="917">
        <f t="shared" si="17"/>
        <v>5213</v>
      </c>
      <c r="J226" s="917">
        <f t="shared" si="17"/>
        <v>-986</v>
      </c>
      <c r="K226" s="917">
        <f t="shared" si="17"/>
        <v>2220</v>
      </c>
      <c r="L226" s="917">
        <f t="shared" si="17"/>
        <v>6443</v>
      </c>
      <c r="M226" s="917">
        <f t="shared" si="17"/>
        <v>3539</v>
      </c>
      <c r="N226" s="917">
        <f t="shared" si="17"/>
        <v>2933</v>
      </c>
      <c r="O226" s="448">
        <f>SUM(C226:N226)</f>
        <v>41919</v>
      </c>
      <c r="P226" s="455"/>
      <c r="Q226" s="436"/>
      <c r="R226" s="81"/>
      <c r="S226" s="81"/>
      <c r="T226" s="80"/>
      <c r="U226" s="80"/>
    </row>
    <row r="227" spans="1:21" ht="12.75" x14ac:dyDescent="0.2">
      <c r="A227" s="436"/>
      <c r="B227" s="436"/>
      <c r="C227" s="436"/>
      <c r="D227" s="436"/>
      <c r="E227" s="436"/>
      <c r="F227" s="436"/>
      <c r="G227" s="436"/>
      <c r="H227" s="436"/>
      <c r="I227" s="453"/>
      <c r="J227" s="453"/>
      <c r="K227" s="453"/>
      <c r="L227" s="453"/>
      <c r="M227" s="454" t="s">
        <v>742</v>
      </c>
      <c r="N227" s="453"/>
      <c r="O227" s="451">
        <f>(+O226/O225)*100</f>
        <v>27.493457686480532</v>
      </c>
      <c r="P227" s="455"/>
      <c r="Q227" s="436"/>
      <c r="R227" s="81"/>
      <c r="S227" s="81"/>
      <c r="T227" s="80"/>
      <c r="U227" s="80"/>
    </row>
    <row r="228" spans="1:21" ht="12.75" x14ac:dyDescent="0.2">
      <c r="A228" s="440" t="s">
        <v>794</v>
      </c>
      <c r="B228" s="436"/>
      <c r="C228" s="436"/>
      <c r="D228" s="436"/>
      <c r="E228" s="436"/>
      <c r="F228" s="436"/>
      <c r="G228" s="436"/>
      <c r="H228" s="436"/>
      <c r="I228" s="453"/>
      <c r="J228" s="453"/>
      <c r="K228" s="453"/>
      <c r="L228" s="453"/>
      <c r="M228" s="453"/>
      <c r="N228" s="453"/>
      <c r="O228" s="436"/>
      <c r="P228" s="455"/>
      <c r="Q228" s="436"/>
      <c r="R228" s="81"/>
      <c r="S228" s="81"/>
      <c r="T228" s="80"/>
      <c r="U228" s="80"/>
    </row>
    <row r="229" spans="1:21" ht="12.75" x14ac:dyDescent="0.2">
      <c r="A229" s="439" t="s">
        <v>739</v>
      </c>
      <c r="B229" s="436"/>
      <c r="C229" s="896">
        <v>2057</v>
      </c>
      <c r="D229" s="896">
        <v>1482</v>
      </c>
      <c r="E229" s="896">
        <v>4042</v>
      </c>
      <c r="F229" s="896">
        <v>4400</v>
      </c>
      <c r="G229" s="896">
        <v>2667</v>
      </c>
      <c r="H229" s="896">
        <v>1511</v>
      </c>
      <c r="I229" s="896">
        <v>2814</v>
      </c>
      <c r="J229" s="896">
        <v>4301</v>
      </c>
      <c r="K229" s="896">
        <v>3182</v>
      </c>
      <c r="L229" s="896">
        <v>4523</v>
      </c>
      <c r="M229" s="896">
        <v>2640</v>
      </c>
      <c r="N229" s="896">
        <v>1938</v>
      </c>
      <c r="O229" s="448">
        <f>SUM(C229:N229)</f>
        <v>35557</v>
      </c>
      <c r="P229" s="455"/>
      <c r="Q229" s="436"/>
      <c r="R229" s="81"/>
      <c r="S229" s="81"/>
      <c r="T229" s="80"/>
      <c r="U229" s="80"/>
    </row>
    <row r="230" spans="1:21" ht="12.75" x14ac:dyDescent="0.2">
      <c r="A230" s="439" t="s">
        <v>740</v>
      </c>
      <c r="B230" s="436"/>
      <c r="C230" s="916">
        <v>1562</v>
      </c>
      <c r="D230" s="916">
        <v>3624</v>
      </c>
      <c r="E230" s="916">
        <v>4136</v>
      </c>
      <c r="F230" s="916">
        <v>4699</v>
      </c>
      <c r="G230" s="916">
        <v>1919</v>
      </c>
      <c r="H230" s="916">
        <v>3557</v>
      </c>
      <c r="I230" s="916">
        <v>3166</v>
      </c>
      <c r="J230" s="916">
        <v>2220</v>
      </c>
      <c r="K230" s="916">
        <v>3690</v>
      </c>
      <c r="L230" s="916">
        <v>3019</v>
      </c>
      <c r="M230" s="916">
        <v>2795</v>
      </c>
      <c r="N230" s="916">
        <v>1568</v>
      </c>
      <c r="O230" s="450">
        <f>SUM(C230:N230)</f>
        <v>35955</v>
      </c>
      <c r="P230" s="455"/>
      <c r="Q230" s="436"/>
      <c r="R230" s="81"/>
      <c r="S230" s="81"/>
      <c r="T230" s="80"/>
      <c r="U230" s="80"/>
    </row>
    <row r="231" spans="1:21" ht="12.75" x14ac:dyDescent="0.2">
      <c r="A231" s="439" t="s">
        <v>741</v>
      </c>
      <c r="B231" s="436"/>
      <c r="C231" s="448">
        <f t="shared" ref="C231:N231" si="18">C229-C230</f>
        <v>495</v>
      </c>
      <c r="D231" s="448">
        <f t="shared" si="18"/>
        <v>-2142</v>
      </c>
      <c r="E231" s="448">
        <f t="shared" si="18"/>
        <v>-94</v>
      </c>
      <c r="F231" s="448">
        <f t="shared" si="18"/>
        <v>-299</v>
      </c>
      <c r="G231" s="448">
        <f t="shared" si="18"/>
        <v>748</v>
      </c>
      <c r="H231" s="448">
        <f t="shared" si="18"/>
        <v>-2046</v>
      </c>
      <c r="I231" s="917">
        <f t="shared" si="18"/>
        <v>-352</v>
      </c>
      <c r="J231" s="917">
        <f t="shared" si="18"/>
        <v>2081</v>
      </c>
      <c r="K231" s="917">
        <f t="shared" si="18"/>
        <v>-508</v>
      </c>
      <c r="L231" s="917">
        <f t="shared" si="18"/>
        <v>1504</v>
      </c>
      <c r="M231" s="917">
        <f t="shared" si="18"/>
        <v>-155</v>
      </c>
      <c r="N231" s="917">
        <f t="shared" si="18"/>
        <v>370</v>
      </c>
      <c r="O231" s="448">
        <f>SUM(C231:N231)</f>
        <v>-398</v>
      </c>
      <c r="P231" s="455"/>
      <c r="Q231" s="436"/>
      <c r="R231" s="81"/>
      <c r="S231" s="81"/>
      <c r="T231" s="80"/>
      <c r="U231" s="80"/>
    </row>
    <row r="232" spans="1:21" ht="12.75" x14ac:dyDescent="0.2">
      <c r="A232" s="436"/>
      <c r="B232" s="436"/>
      <c r="C232" s="436"/>
      <c r="D232" s="436"/>
      <c r="E232" s="436"/>
      <c r="F232" s="436"/>
      <c r="G232" s="436"/>
      <c r="H232" s="436"/>
      <c r="I232" s="453"/>
      <c r="J232" s="453"/>
      <c r="K232" s="453"/>
      <c r="L232" s="453"/>
      <c r="M232" s="454" t="s">
        <v>742</v>
      </c>
      <c r="N232" s="453"/>
      <c r="O232" s="451">
        <f>(+O231/O230)*100</f>
        <v>-1.1069392295925462</v>
      </c>
      <c r="P232" s="455"/>
      <c r="Q232" s="436"/>
      <c r="R232" s="81"/>
      <c r="S232" s="81"/>
      <c r="T232" s="80"/>
      <c r="U232" s="80"/>
    </row>
    <row r="233" spans="1:21" ht="12.75" x14ac:dyDescent="0.2">
      <c r="A233" s="440" t="s">
        <v>795</v>
      </c>
      <c r="B233" s="436"/>
      <c r="C233" s="436"/>
      <c r="D233" s="436"/>
      <c r="E233" s="436"/>
      <c r="F233" s="436"/>
      <c r="G233" s="436"/>
      <c r="H233" s="436"/>
      <c r="I233" s="453"/>
      <c r="J233" s="453"/>
      <c r="K233" s="453"/>
      <c r="L233" s="453"/>
      <c r="M233" s="453"/>
      <c r="N233" s="453"/>
      <c r="O233" s="436"/>
      <c r="P233" s="455"/>
      <c r="Q233" s="436"/>
      <c r="R233" s="81"/>
      <c r="S233" s="81"/>
      <c r="T233" s="80"/>
      <c r="U233" s="80"/>
    </row>
    <row r="234" spans="1:21" ht="12.75" x14ac:dyDescent="0.2">
      <c r="A234" s="439" t="s">
        <v>739</v>
      </c>
      <c r="B234" s="436"/>
      <c r="C234" s="896">
        <v>116893</v>
      </c>
      <c r="D234" s="896">
        <v>109438</v>
      </c>
      <c r="E234" s="896">
        <v>127747</v>
      </c>
      <c r="F234" s="896">
        <v>125132</v>
      </c>
      <c r="G234" s="896">
        <v>128952</v>
      </c>
      <c r="H234" s="896">
        <v>171510</v>
      </c>
      <c r="I234" s="896">
        <v>131671</v>
      </c>
      <c r="J234" s="896">
        <v>175251</v>
      </c>
      <c r="K234" s="896">
        <v>135838</v>
      </c>
      <c r="L234" s="896">
        <v>197736</v>
      </c>
      <c r="M234" s="896">
        <v>145080</v>
      </c>
      <c r="N234" s="896">
        <v>92854</v>
      </c>
      <c r="O234" s="448">
        <f>SUM(C234:N234)</f>
        <v>1658102</v>
      </c>
      <c r="P234" s="455"/>
      <c r="Q234" s="436"/>
      <c r="R234" s="81"/>
      <c r="S234" s="81"/>
      <c r="T234" s="80"/>
      <c r="U234" s="80"/>
    </row>
    <row r="235" spans="1:21" ht="12.75" x14ac:dyDescent="0.2">
      <c r="A235" s="439" t="s">
        <v>740</v>
      </c>
      <c r="B235" s="436"/>
      <c r="C235" s="916">
        <v>96102</v>
      </c>
      <c r="D235" s="916">
        <v>93524</v>
      </c>
      <c r="E235" s="916">
        <v>123017</v>
      </c>
      <c r="F235" s="916">
        <v>129971</v>
      </c>
      <c r="G235" s="916">
        <v>118810</v>
      </c>
      <c r="H235" s="916">
        <v>119321</v>
      </c>
      <c r="I235" s="916">
        <v>94318</v>
      </c>
      <c r="J235" s="916">
        <v>152953</v>
      </c>
      <c r="K235" s="916">
        <v>102603</v>
      </c>
      <c r="L235" s="916">
        <v>99531</v>
      </c>
      <c r="M235" s="916">
        <v>144373</v>
      </c>
      <c r="N235" s="916">
        <v>112841</v>
      </c>
      <c r="O235" s="450">
        <f>SUM(C235:N235)</f>
        <v>1387364</v>
      </c>
      <c r="P235" s="455"/>
      <c r="Q235" s="436"/>
      <c r="R235" s="81"/>
      <c r="S235" s="81"/>
      <c r="T235" s="80"/>
      <c r="U235" s="80"/>
    </row>
    <row r="236" spans="1:21" ht="12.75" x14ac:dyDescent="0.2">
      <c r="A236" s="439" t="s">
        <v>741</v>
      </c>
      <c r="B236" s="436"/>
      <c r="C236" s="448">
        <f t="shared" ref="C236:N236" si="19">C234-C235</f>
        <v>20791</v>
      </c>
      <c r="D236" s="448">
        <f t="shared" si="19"/>
        <v>15914</v>
      </c>
      <c r="E236" s="448">
        <f t="shared" si="19"/>
        <v>4730</v>
      </c>
      <c r="F236" s="448">
        <f t="shared" si="19"/>
        <v>-4839</v>
      </c>
      <c r="G236" s="448">
        <f t="shared" si="19"/>
        <v>10142</v>
      </c>
      <c r="H236" s="448">
        <f t="shared" si="19"/>
        <v>52189</v>
      </c>
      <c r="I236" s="917">
        <f t="shared" si="19"/>
        <v>37353</v>
      </c>
      <c r="J236" s="917">
        <f t="shared" si="19"/>
        <v>22298</v>
      </c>
      <c r="K236" s="917">
        <f t="shared" si="19"/>
        <v>33235</v>
      </c>
      <c r="L236" s="917">
        <f t="shared" si="19"/>
        <v>98205</v>
      </c>
      <c r="M236" s="917">
        <f t="shared" si="19"/>
        <v>707</v>
      </c>
      <c r="N236" s="917">
        <f t="shared" si="19"/>
        <v>-19987</v>
      </c>
      <c r="O236" s="448">
        <f>SUM(C236:N236)</f>
        <v>270738</v>
      </c>
      <c r="P236" s="455"/>
      <c r="Q236" s="436"/>
      <c r="R236" s="81"/>
      <c r="S236" s="81"/>
      <c r="T236" s="80"/>
      <c r="U236" s="80"/>
    </row>
    <row r="237" spans="1:21" ht="12.75" x14ac:dyDescent="0.2">
      <c r="A237" s="436"/>
      <c r="B237" s="436"/>
      <c r="C237" s="445"/>
      <c r="D237" s="445"/>
      <c r="E237" s="445"/>
      <c r="F237" s="445"/>
      <c r="G237" s="445"/>
      <c r="H237" s="445"/>
      <c r="I237" s="910"/>
      <c r="J237" s="910"/>
      <c r="K237" s="910"/>
      <c r="L237" s="910"/>
      <c r="M237" s="454" t="s">
        <v>742</v>
      </c>
      <c r="N237" s="453"/>
      <c r="O237" s="451">
        <f>(+O236/O235)*100</f>
        <v>19.514561427282242</v>
      </c>
      <c r="P237" s="455"/>
      <c r="Q237" s="436"/>
      <c r="R237" s="81"/>
      <c r="S237" s="81"/>
      <c r="T237" s="80"/>
      <c r="U237" s="80"/>
    </row>
    <row r="238" spans="1:21" ht="12.75" x14ac:dyDescent="0.2">
      <c r="A238" s="436"/>
      <c r="B238" s="436"/>
      <c r="C238" s="445"/>
      <c r="D238" s="445"/>
      <c r="E238" s="445"/>
      <c r="F238" s="445"/>
      <c r="G238" s="445"/>
      <c r="H238" s="445"/>
      <c r="I238" s="910"/>
      <c r="J238" s="910"/>
      <c r="K238" s="910"/>
      <c r="L238" s="910"/>
      <c r="M238" s="910"/>
      <c r="N238" s="910"/>
      <c r="O238" s="445"/>
      <c r="P238" s="455"/>
      <c r="Q238" s="436"/>
      <c r="R238" s="81"/>
      <c r="S238" s="81"/>
      <c r="T238" s="80"/>
      <c r="U238" s="80"/>
    </row>
    <row r="239" spans="1:21" ht="12.75" x14ac:dyDescent="0.2">
      <c r="A239" s="440" t="s">
        <v>796</v>
      </c>
      <c r="B239" s="436"/>
      <c r="C239" s="436"/>
      <c r="D239" s="436"/>
      <c r="E239" s="436"/>
      <c r="F239" s="436"/>
      <c r="G239" s="436"/>
      <c r="H239" s="436"/>
      <c r="I239" s="453"/>
      <c r="J239" s="453"/>
      <c r="K239" s="453"/>
      <c r="L239" s="453"/>
      <c r="M239" s="453"/>
      <c r="N239" s="453"/>
      <c r="O239" s="436"/>
      <c r="P239" s="455"/>
      <c r="Q239" s="436"/>
      <c r="R239" s="81"/>
      <c r="S239" s="81"/>
      <c r="T239" s="80"/>
      <c r="U239" s="80"/>
    </row>
    <row r="240" spans="1:21" ht="12.75" x14ac:dyDescent="0.2">
      <c r="A240" s="439" t="s">
        <v>739</v>
      </c>
      <c r="B240" s="436"/>
      <c r="C240" s="896">
        <v>87081</v>
      </c>
      <c r="D240" s="896">
        <v>97167</v>
      </c>
      <c r="E240" s="896">
        <v>97587</v>
      </c>
      <c r="F240" s="896">
        <v>85048</v>
      </c>
      <c r="G240" s="896">
        <v>100736</v>
      </c>
      <c r="H240" s="896">
        <v>99119</v>
      </c>
      <c r="I240" s="896">
        <v>76015</v>
      </c>
      <c r="J240" s="896">
        <v>139789</v>
      </c>
      <c r="K240" s="896">
        <v>107764</v>
      </c>
      <c r="L240" s="896">
        <v>133823</v>
      </c>
      <c r="M240" s="896">
        <v>94223</v>
      </c>
      <c r="N240" s="896">
        <v>28750</v>
      </c>
      <c r="O240" s="448">
        <f>SUM(C240:N240)</f>
        <v>1147102</v>
      </c>
      <c r="P240" s="455"/>
      <c r="Q240" s="436"/>
      <c r="R240" s="81"/>
      <c r="S240" s="81"/>
      <c r="T240" s="80"/>
      <c r="U240" s="80"/>
    </row>
    <row r="241" spans="1:21" ht="12.75" x14ac:dyDescent="0.2">
      <c r="A241" s="439" t="s">
        <v>740</v>
      </c>
      <c r="B241" s="436"/>
      <c r="C241" s="916">
        <v>61730</v>
      </c>
      <c r="D241" s="916">
        <v>77125</v>
      </c>
      <c r="E241" s="916">
        <v>78581</v>
      </c>
      <c r="F241" s="916">
        <v>83799</v>
      </c>
      <c r="G241" s="916">
        <v>82453</v>
      </c>
      <c r="H241" s="916">
        <v>115378</v>
      </c>
      <c r="I241" s="916">
        <v>73145</v>
      </c>
      <c r="J241" s="916">
        <v>147271</v>
      </c>
      <c r="K241" s="916">
        <v>100716</v>
      </c>
      <c r="L241" s="916">
        <v>107340</v>
      </c>
      <c r="M241" s="916">
        <v>106094</v>
      </c>
      <c r="N241" s="916">
        <v>120847</v>
      </c>
      <c r="O241" s="450">
        <f>SUM(C241:N241)</f>
        <v>1154479</v>
      </c>
      <c r="P241" s="455"/>
      <c r="Q241" s="436"/>
      <c r="R241" s="81"/>
      <c r="S241" s="81"/>
      <c r="T241" s="80"/>
      <c r="U241" s="80"/>
    </row>
    <row r="242" spans="1:21" ht="12.75" x14ac:dyDescent="0.2">
      <c r="A242" s="439" t="s">
        <v>741</v>
      </c>
      <c r="B242" s="436"/>
      <c r="C242" s="448">
        <f t="shared" ref="C242:N242" si="20">C240-C241</f>
        <v>25351</v>
      </c>
      <c r="D242" s="448">
        <f t="shared" si="20"/>
        <v>20042</v>
      </c>
      <c r="E242" s="448">
        <f t="shared" si="20"/>
        <v>19006</v>
      </c>
      <c r="F242" s="448">
        <f t="shared" si="20"/>
        <v>1249</v>
      </c>
      <c r="G242" s="448">
        <f t="shared" si="20"/>
        <v>18283</v>
      </c>
      <c r="H242" s="448">
        <f t="shared" si="20"/>
        <v>-16259</v>
      </c>
      <c r="I242" s="917">
        <f t="shared" si="20"/>
        <v>2870</v>
      </c>
      <c r="J242" s="917">
        <f t="shared" si="20"/>
        <v>-7482</v>
      </c>
      <c r="K242" s="917">
        <f t="shared" si="20"/>
        <v>7048</v>
      </c>
      <c r="L242" s="917">
        <f t="shared" si="20"/>
        <v>26483</v>
      </c>
      <c r="M242" s="917">
        <f t="shared" si="20"/>
        <v>-11871</v>
      </c>
      <c r="N242" s="917">
        <f t="shared" si="20"/>
        <v>-92097</v>
      </c>
      <c r="O242" s="448">
        <f>SUM(C242:N242)</f>
        <v>-7377</v>
      </c>
      <c r="P242" s="455"/>
      <c r="Q242" s="436"/>
      <c r="R242" s="81"/>
      <c r="S242" s="81"/>
      <c r="T242" s="80"/>
      <c r="U242" s="80"/>
    </row>
    <row r="243" spans="1:21" ht="12.75" x14ac:dyDescent="0.2">
      <c r="A243" s="436"/>
      <c r="B243" s="436"/>
      <c r="C243" s="436"/>
      <c r="D243" s="436"/>
      <c r="E243" s="436"/>
      <c r="F243" s="436"/>
      <c r="G243" s="436"/>
      <c r="H243" s="436"/>
      <c r="I243" s="453"/>
      <c r="J243" s="453"/>
      <c r="K243" s="453"/>
      <c r="L243" s="453"/>
      <c r="M243" s="454" t="s">
        <v>742</v>
      </c>
      <c r="N243" s="453"/>
      <c r="O243" s="451">
        <f>(+O242/O241)*100</f>
        <v>-0.63898953553940785</v>
      </c>
      <c r="P243" s="455"/>
      <c r="Q243" s="436"/>
      <c r="R243" s="81"/>
      <c r="S243" s="81"/>
      <c r="T243" s="80"/>
      <c r="U243" s="80"/>
    </row>
    <row r="244" spans="1:21" ht="12.75" x14ac:dyDescent="0.2">
      <c r="A244" s="1429" t="s">
        <v>477</v>
      </c>
      <c r="B244" s="1430"/>
      <c r="C244" s="1430"/>
      <c r="D244" s="1430"/>
      <c r="E244" s="1430"/>
      <c r="F244" s="1430"/>
      <c r="G244" s="1430"/>
      <c r="H244" s="1430"/>
      <c r="I244" s="1430"/>
      <c r="J244" s="1430"/>
      <c r="K244" s="1430"/>
      <c r="L244" s="1430"/>
      <c r="M244" s="1430"/>
      <c r="N244" s="1430"/>
      <c r="O244" s="1430"/>
      <c r="P244" s="455"/>
      <c r="Q244" s="436"/>
      <c r="R244" s="81"/>
      <c r="S244" s="81"/>
      <c r="T244" s="80"/>
      <c r="U244" s="80"/>
    </row>
    <row r="245" spans="1:21" ht="12.75" x14ac:dyDescent="0.2">
      <c r="A245" s="1429" t="str">
        <f>+Input!C4</f>
        <v>CASE NO. 2017-xxxxx</v>
      </c>
      <c r="B245" s="1430"/>
      <c r="C245" s="1430"/>
      <c r="D245" s="1430"/>
      <c r="E245" s="1430"/>
      <c r="F245" s="1430"/>
      <c r="G245" s="1430"/>
      <c r="H245" s="1430"/>
      <c r="I245" s="1430"/>
      <c r="J245" s="1430"/>
      <c r="K245" s="1430"/>
      <c r="L245" s="1430"/>
      <c r="M245" s="1430"/>
      <c r="N245" s="1430"/>
      <c r="O245" s="1430"/>
      <c r="P245" s="455"/>
      <c r="Q245" s="436"/>
      <c r="R245" s="81"/>
      <c r="S245" s="81"/>
      <c r="T245" s="80"/>
      <c r="U245" s="80"/>
    </row>
    <row r="246" spans="1:21" ht="12.75" x14ac:dyDescent="0.2">
      <c r="A246" s="1429" t="s">
        <v>727</v>
      </c>
      <c r="B246" s="1430"/>
      <c r="C246" s="1430"/>
      <c r="D246" s="1430"/>
      <c r="E246" s="1430"/>
      <c r="F246" s="1430"/>
      <c r="G246" s="1430"/>
      <c r="H246" s="1430"/>
      <c r="I246" s="1430"/>
      <c r="J246" s="1430"/>
      <c r="K246" s="1430"/>
      <c r="L246" s="1430"/>
      <c r="M246" s="1430"/>
      <c r="N246" s="1430"/>
      <c r="O246" s="1430"/>
      <c r="P246" s="455"/>
      <c r="Q246" s="436"/>
      <c r="R246" s="81"/>
      <c r="S246" s="81"/>
      <c r="T246" s="80"/>
      <c r="U246" s="80"/>
    </row>
    <row r="247" spans="1:21" ht="12.75" x14ac:dyDescent="0.2">
      <c r="A247" s="1429" t="str">
        <f>+Input!C23</f>
        <v>FOR THE HISTORIC PERIOD 12 MONTHS ENDED DECEMBER 31, 2017 AND PRIOR PERIOD DECEMBER 31, 2016</v>
      </c>
      <c r="B247" s="1430"/>
      <c r="C247" s="1430"/>
      <c r="D247" s="1430"/>
      <c r="E247" s="1430"/>
      <c r="F247" s="1430"/>
      <c r="G247" s="1430"/>
      <c r="H247" s="1430"/>
      <c r="I247" s="1430"/>
      <c r="J247" s="1430"/>
      <c r="K247" s="1430"/>
      <c r="L247" s="1430"/>
      <c r="M247" s="1430"/>
      <c r="N247" s="1430"/>
      <c r="O247" s="1430"/>
      <c r="P247" s="455"/>
      <c r="Q247" s="436"/>
      <c r="R247" s="81"/>
      <c r="S247" s="81"/>
      <c r="T247" s="80"/>
      <c r="U247" s="80"/>
    </row>
    <row r="248" spans="1:21" ht="12.75" x14ac:dyDescent="0.2">
      <c r="A248" s="436"/>
      <c r="B248" s="436"/>
      <c r="C248" s="437"/>
      <c r="D248" s="436"/>
      <c r="E248" s="436"/>
      <c r="F248" s="436"/>
      <c r="G248" s="438"/>
      <c r="H248" s="436"/>
      <c r="I248" s="453"/>
      <c r="J248" s="453"/>
      <c r="K248" s="453"/>
      <c r="L248" s="453"/>
      <c r="M248" s="453"/>
      <c r="N248" s="453"/>
      <c r="O248" s="436"/>
      <c r="P248" s="455"/>
      <c r="Q248" s="436"/>
      <c r="R248" s="81"/>
      <c r="S248" s="81"/>
      <c r="T248" s="80"/>
      <c r="U248" s="80"/>
    </row>
    <row r="249" spans="1:21" ht="12.75" x14ac:dyDescent="0.2">
      <c r="A249" s="439" t="s">
        <v>839</v>
      </c>
      <c r="B249" s="436"/>
      <c r="C249" s="436"/>
      <c r="D249" s="436"/>
      <c r="E249" s="436"/>
      <c r="F249" s="436"/>
      <c r="G249" s="436"/>
      <c r="H249" s="436"/>
      <c r="I249" s="453"/>
      <c r="J249" s="453"/>
      <c r="K249" s="453"/>
      <c r="L249" s="453"/>
      <c r="M249" s="927"/>
      <c r="N249" s="453"/>
      <c r="O249" s="813" t="s">
        <v>752</v>
      </c>
      <c r="P249" s="455"/>
      <c r="Q249" s="436"/>
      <c r="R249" s="81"/>
      <c r="S249" s="81"/>
      <c r="T249" s="80"/>
      <c r="U249" s="80"/>
    </row>
    <row r="250" spans="1:21" ht="12.75" x14ac:dyDescent="0.2">
      <c r="A250" s="439" t="s">
        <v>490</v>
      </c>
      <c r="B250" s="436"/>
      <c r="C250" s="436"/>
      <c r="D250" s="436"/>
      <c r="E250" s="436"/>
      <c r="F250" s="436"/>
      <c r="G250" s="436"/>
      <c r="H250" s="436"/>
      <c r="I250" s="453"/>
      <c r="J250" s="453"/>
      <c r="K250" s="453"/>
      <c r="L250" s="453"/>
      <c r="M250" s="927"/>
      <c r="N250" s="453"/>
      <c r="O250" s="813" t="s">
        <v>1722</v>
      </c>
      <c r="P250" s="455"/>
      <c r="Q250" s="436"/>
      <c r="R250" s="81"/>
      <c r="S250" s="81"/>
      <c r="T250" s="80"/>
      <c r="U250" s="80"/>
    </row>
    <row r="251" spans="1:21" ht="12.75" x14ac:dyDescent="0.2">
      <c r="A251" s="441" t="s">
        <v>840</v>
      </c>
      <c r="B251" s="442"/>
      <c r="C251" s="442"/>
      <c r="D251" s="442"/>
      <c r="E251" s="442"/>
      <c r="F251" s="442"/>
      <c r="G251" s="442"/>
      <c r="H251" s="442"/>
      <c r="I251" s="918"/>
      <c r="J251" s="918"/>
      <c r="K251" s="918"/>
      <c r="L251" s="918"/>
      <c r="M251" s="928"/>
      <c r="N251" s="918"/>
      <c r="O251" s="814" t="str">
        <f>+Input!E27</f>
        <v>WITNESS:  C. Y. LAI</v>
      </c>
      <c r="P251" s="455"/>
      <c r="Q251" s="436"/>
      <c r="R251" s="81"/>
      <c r="S251" s="81"/>
      <c r="T251" s="80"/>
      <c r="U251" s="80"/>
    </row>
    <row r="252" spans="1:21" ht="12.75" x14ac:dyDescent="0.2">
      <c r="A252" s="1431" t="s">
        <v>728</v>
      </c>
      <c r="B252" s="1431"/>
      <c r="C252" s="437"/>
      <c r="D252" s="436"/>
      <c r="E252" s="436"/>
      <c r="F252" s="436"/>
      <c r="G252" s="436"/>
      <c r="H252" s="436"/>
      <c r="I252" s="453"/>
      <c r="J252" s="453"/>
      <c r="K252" s="453"/>
      <c r="L252" s="453"/>
      <c r="M252" s="453"/>
      <c r="N252" s="453"/>
      <c r="O252" s="436"/>
      <c r="P252" s="455"/>
      <c r="Q252" s="436"/>
      <c r="R252" s="81"/>
      <c r="S252" s="81"/>
      <c r="T252" s="80"/>
      <c r="U252" s="80"/>
    </row>
    <row r="253" spans="1:21" ht="12.75" x14ac:dyDescent="0.2">
      <c r="A253" s="1432" t="s">
        <v>729</v>
      </c>
      <c r="B253" s="1432"/>
      <c r="C253" s="443" t="s">
        <v>1011</v>
      </c>
      <c r="D253" s="443" t="s">
        <v>731</v>
      </c>
      <c r="E253" s="443" t="s">
        <v>732</v>
      </c>
      <c r="F253" s="443" t="s">
        <v>733</v>
      </c>
      <c r="G253" s="443" t="s">
        <v>734</v>
      </c>
      <c r="H253" s="443" t="s">
        <v>735</v>
      </c>
      <c r="I253" s="919" t="s">
        <v>736</v>
      </c>
      <c r="J253" s="919" t="s">
        <v>737</v>
      </c>
      <c r="K253" s="925" t="s">
        <v>1012</v>
      </c>
      <c r="L253" s="919" t="s">
        <v>1013</v>
      </c>
      <c r="M253" s="919" t="s">
        <v>730</v>
      </c>
      <c r="N253" s="919" t="s">
        <v>1014</v>
      </c>
      <c r="O253" s="444" t="s">
        <v>525</v>
      </c>
      <c r="P253" s="455"/>
      <c r="Q253" s="436"/>
      <c r="R253" s="81"/>
      <c r="S253" s="81"/>
      <c r="T253" s="80"/>
      <c r="U253" s="80"/>
    </row>
    <row r="254" spans="1:21" ht="12.75" x14ac:dyDescent="0.2">
      <c r="A254" s="436"/>
      <c r="B254" s="436"/>
      <c r="C254" s="445" t="s">
        <v>500</v>
      </c>
      <c r="D254" s="445" t="s">
        <v>500</v>
      </c>
      <c r="E254" s="445" t="s">
        <v>500</v>
      </c>
      <c r="F254" s="445" t="s">
        <v>500</v>
      </c>
      <c r="G254" s="445" t="s">
        <v>500</v>
      </c>
      <c r="H254" s="445" t="s">
        <v>500</v>
      </c>
      <c r="I254" s="910" t="s">
        <v>500</v>
      </c>
      <c r="J254" s="910" t="s">
        <v>500</v>
      </c>
      <c r="K254" s="910" t="s">
        <v>500</v>
      </c>
      <c r="L254" s="910" t="s">
        <v>500</v>
      </c>
      <c r="M254" s="910" t="s">
        <v>500</v>
      </c>
      <c r="N254" s="910" t="s">
        <v>500</v>
      </c>
      <c r="O254" s="445" t="s">
        <v>500</v>
      </c>
      <c r="P254" s="455"/>
      <c r="Q254" s="436"/>
      <c r="R254" s="81"/>
      <c r="S254" s="81"/>
      <c r="T254" s="80"/>
      <c r="U254" s="80"/>
    </row>
    <row r="255" spans="1:21" ht="12.75" x14ac:dyDescent="0.2">
      <c r="A255" s="91"/>
      <c r="B255" s="91"/>
      <c r="C255" s="91"/>
      <c r="D255" s="91"/>
      <c r="E255" s="91"/>
      <c r="F255" s="91"/>
      <c r="G255" s="91"/>
      <c r="H255" s="91"/>
      <c r="I255" s="921"/>
      <c r="J255" s="921"/>
      <c r="K255" s="921"/>
      <c r="L255" s="921"/>
      <c r="M255" s="921"/>
      <c r="N255" s="921"/>
      <c r="O255" s="91"/>
      <c r="P255" s="455"/>
      <c r="Q255" s="436"/>
      <c r="R255" s="81"/>
      <c r="S255" s="81"/>
      <c r="T255" s="80"/>
      <c r="U255" s="80"/>
    </row>
    <row r="256" spans="1:21" ht="12.75" x14ac:dyDescent="0.2">
      <c r="A256" s="440" t="s">
        <v>797</v>
      </c>
      <c r="B256" s="436"/>
      <c r="C256" s="436"/>
      <c r="D256" s="436"/>
      <c r="E256" s="436"/>
      <c r="F256" s="453"/>
      <c r="G256" s="436"/>
      <c r="H256" s="436"/>
      <c r="I256" s="453"/>
      <c r="J256" s="453"/>
      <c r="K256" s="453"/>
      <c r="L256" s="453"/>
      <c r="M256" s="453"/>
      <c r="N256" s="453"/>
      <c r="O256" s="436"/>
      <c r="P256" s="455"/>
      <c r="Q256" s="436"/>
      <c r="R256" s="81"/>
      <c r="S256" s="81"/>
      <c r="T256" s="80"/>
      <c r="U256" s="80"/>
    </row>
    <row r="257" spans="1:21" ht="12.75" x14ac:dyDescent="0.2">
      <c r="A257" s="439" t="s">
        <v>739</v>
      </c>
      <c r="B257" s="436"/>
      <c r="C257" s="896">
        <v>103414</v>
      </c>
      <c r="D257" s="896">
        <v>199031</v>
      </c>
      <c r="E257" s="896">
        <v>170058</v>
      </c>
      <c r="F257" s="896">
        <v>130749</v>
      </c>
      <c r="G257" s="896">
        <v>109089</v>
      </c>
      <c r="H257" s="896">
        <v>111410</v>
      </c>
      <c r="I257" s="896">
        <v>112327</v>
      </c>
      <c r="J257" s="896">
        <v>136020</v>
      </c>
      <c r="K257" s="896">
        <v>103881</v>
      </c>
      <c r="L257" s="896">
        <v>131849</v>
      </c>
      <c r="M257" s="896">
        <v>142641</v>
      </c>
      <c r="N257" s="896">
        <v>139724</v>
      </c>
      <c r="O257" s="448">
        <f>SUM(C257:N257)</f>
        <v>1590193</v>
      </c>
      <c r="P257" s="455"/>
      <c r="Q257" s="436"/>
      <c r="R257" s="81"/>
      <c r="S257" s="81"/>
      <c r="T257" s="80"/>
      <c r="U257" s="80"/>
    </row>
    <row r="258" spans="1:21" ht="12.75" x14ac:dyDescent="0.2">
      <c r="A258" s="439" t="s">
        <v>740</v>
      </c>
      <c r="B258" s="436"/>
      <c r="C258" s="916">
        <v>114631</v>
      </c>
      <c r="D258" s="916">
        <v>131596</v>
      </c>
      <c r="E258" s="916">
        <v>142067</v>
      </c>
      <c r="F258" s="916">
        <v>102685</v>
      </c>
      <c r="G258" s="916">
        <v>105427</v>
      </c>
      <c r="H258" s="916">
        <v>116186</v>
      </c>
      <c r="I258" s="916">
        <v>116180</v>
      </c>
      <c r="J258" s="916">
        <v>102625</v>
      </c>
      <c r="K258" s="916">
        <v>104161</v>
      </c>
      <c r="L258" s="916">
        <v>116534</v>
      </c>
      <c r="M258" s="916">
        <v>108262</v>
      </c>
      <c r="N258" s="916">
        <v>146716</v>
      </c>
      <c r="O258" s="450">
        <f>SUM(C258:N258)</f>
        <v>1407070</v>
      </c>
      <c r="P258" s="455"/>
      <c r="Q258" s="436"/>
      <c r="R258" s="81"/>
      <c r="S258" s="81"/>
      <c r="T258" s="80"/>
      <c r="U258" s="80"/>
    </row>
    <row r="259" spans="1:21" ht="12.75" x14ac:dyDescent="0.2">
      <c r="A259" s="439" t="s">
        <v>741</v>
      </c>
      <c r="B259" s="436"/>
      <c r="C259" s="448">
        <f t="shared" ref="C259:N259" si="21">C257-C258</f>
        <v>-11217</v>
      </c>
      <c r="D259" s="448">
        <f t="shared" si="21"/>
        <v>67435</v>
      </c>
      <c r="E259" s="448">
        <f t="shared" si="21"/>
        <v>27991</v>
      </c>
      <c r="F259" s="448">
        <f t="shared" si="21"/>
        <v>28064</v>
      </c>
      <c r="G259" s="448">
        <f t="shared" si="21"/>
        <v>3662</v>
      </c>
      <c r="H259" s="448">
        <f t="shared" si="21"/>
        <v>-4776</v>
      </c>
      <c r="I259" s="917">
        <f t="shared" si="21"/>
        <v>-3853</v>
      </c>
      <c r="J259" s="917">
        <f t="shared" si="21"/>
        <v>33395</v>
      </c>
      <c r="K259" s="917">
        <f t="shared" si="21"/>
        <v>-280</v>
      </c>
      <c r="L259" s="917">
        <f t="shared" si="21"/>
        <v>15315</v>
      </c>
      <c r="M259" s="917">
        <f t="shared" si="21"/>
        <v>34379</v>
      </c>
      <c r="N259" s="917">
        <f t="shared" si="21"/>
        <v>-6992</v>
      </c>
      <c r="O259" s="448">
        <f>SUM(C259:N259)</f>
        <v>183123</v>
      </c>
      <c r="P259" s="455"/>
      <c r="Q259" s="436"/>
      <c r="R259" s="81"/>
      <c r="S259" s="81"/>
      <c r="T259" s="80"/>
      <c r="U259" s="80"/>
    </row>
    <row r="260" spans="1:21" ht="12.75" x14ac:dyDescent="0.2">
      <c r="A260" s="436"/>
      <c r="B260" s="436"/>
      <c r="C260" s="436"/>
      <c r="D260" s="436"/>
      <c r="E260" s="436"/>
      <c r="F260" s="436"/>
      <c r="G260" s="436"/>
      <c r="H260" s="436"/>
      <c r="I260" s="453"/>
      <c r="J260" s="453"/>
      <c r="K260" s="453"/>
      <c r="L260" s="453"/>
      <c r="M260" s="454" t="s">
        <v>742</v>
      </c>
      <c r="N260" s="453"/>
      <c r="O260" s="451">
        <f>(+O259/O258)*100</f>
        <v>13.014491105630849</v>
      </c>
      <c r="P260" s="455"/>
      <c r="Q260" s="436"/>
      <c r="R260" s="81"/>
      <c r="S260" s="81"/>
      <c r="T260" s="80"/>
      <c r="U260" s="80"/>
    </row>
    <row r="261" spans="1:21" ht="12.75" x14ac:dyDescent="0.2">
      <c r="A261" s="440" t="s">
        <v>798</v>
      </c>
      <c r="B261" s="436"/>
      <c r="C261" s="436"/>
      <c r="D261" s="436"/>
      <c r="E261" s="436"/>
      <c r="F261" s="436"/>
      <c r="G261" s="436"/>
      <c r="H261" s="436"/>
      <c r="I261" s="453"/>
      <c r="J261" s="453"/>
      <c r="K261" s="453"/>
      <c r="L261" s="453"/>
      <c r="M261" s="453"/>
      <c r="N261" s="453"/>
      <c r="O261" s="436"/>
      <c r="P261" s="455"/>
      <c r="Q261" s="436"/>
      <c r="R261" s="81"/>
      <c r="S261" s="81"/>
      <c r="T261" s="80"/>
      <c r="U261" s="80"/>
    </row>
    <row r="262" spans="1:21" ht="12.75" x14ac:dyDescent="0.2">
      <c r="A262" s="439" t="s">
        <v>739</v>
      </c>
      <c r="B262" s="436"/>
      <c r="C262" s="896">
        <v>4519</v>
      </c>
      <c r="D262" s="896">
        <v>5644</v>
      </c>
      <c r="E262" s="896">
        <v>5005</v>
      </c>
      <c r="F262" s="896">
        <v>5655</v>
      </c>
      <c r="G262" s="896">
        <v>5030</v>
      </c>
      <c r="H262" s="896">
        <v>8365</v>
      </c>
      <c r="I262" s="896">
        <v>5056</v>
      </c>
      <c r="J262" s="896">
        <v>6503</v>
      </c>
      <c r="K262" s="896">
        <v>5659</v>
      </c>
      <c r="L262" s="896">
        <v>5742</v>
      </c>
      <c r="M262" s="896">
        <v>7300</v>
      </c>
      <c r="N262" s="896">
        <v>7411</v>
      </c>
      <c r="O262" s="448">
        <f>SUM(C262:N262)</f>
        <v>71889</v>
      </c>
      <c r="P262" s="455"/>
      <c r="Q262" s="436"/>
      <c r="R262" s="81"/>
      <c r="S262" s="81"/>
      <c r="T262" s="80"/>
      <c r="U262" s="80"/>
    </row>
    <row r="263" spans="1:21" ht="12.75" x14ac:dyDescent="0.2">
      <c r="A263" s="439" t="s">
        <v>740</v>
      </c>
      <c r="B263" s="436"/>
      <c r="C263" s="916">
        <v>9144</v>
      </c>
      <c r="D263" s="916">
        <v>7726</v>
      </c>
      <c r="E263" s="916">
        <v>8267</v>
      </c>
      <c r="F263" s="916">
        <v>8917</v>
      </c>
      <c r="G263" s="916">
        <v>8267</v>
      </c>
      <c r="H263" s="916">
        <v>11602</v>
      </c>
      <c r="I263" s="916">
        <v>11119</v>
      </c>
      <c r="J263" s="916">
        <v>5083</v>
      </c>
      <c r="K263" s="916">
        <v>7202</v>
      </c>
      <c r="L263" s="916">
        <v>6526</v>
      </c>
      <c r="M263" s="916">
        <v>16779</v>
      </c>
      <c r="N263" s="916">
        <v>7260</v>
      </c>
      <c r="O263" s="450">
        <f>SUM(C263:N263)</f>
        <v>107892</v>
      </c>
      <c r="P263" s="455"/>
      <c r="Q263" s="436"/>
      <c r="R263" s="81"/>
      <c r="S263" s="81"/>
      <c r="T263" s="80"/>
      <c r="U263" s="80"/>
    </row>
    <row r="264" spans="1:21" ht="12.75" x14ac:dyDescent="0.2">
      <c r="A264" s="439" t="s">
        <v>741</v>
      </c>
      <c r="B264" s="436"/>
      <c r="C264" s="448">
        <f t="shared" ref="C264:N264" si="22">C262-C263</f>
        <v>-4625</v>
      </c>
      <c r="D264" s="448">
        <f t="shared" si="22"/>
        <v>-2082</v>
      </c>
      <c r="E264" s="448">
        <f t="shared" si="22"/>
        <v>-3262</v>
      </c>
      <c r="F264" s="448">
        <f t="shared" si="22"/>
        <v>-3262</v>
      </c>
      <c r="G264" s="448">
        <f t="shared" si="22"/>
        <v>-3237</v>
      </c>
      <c r="H264" s="448">
        <f t="shared" si="22"/>
        <v>-3237</v>
      </c>
      <c r="I264" s="917">
        <f t="shared" si="22"/>
        <v>-6063</v>
      </c>
      <c r="J264" s="917">
        <f t="shared" si="22"/>
        <v>1420</v>
      </c>
      <c r="K264" s="917">
        <f t="shared" si="22"/>
        <v>-1543</v>
      </c>
      <c r="L264" s="917">
        <f t="shared" si="22"/>
        <v>-784</v>
      </c>
      <c r="M264" s="917">
        <f t="shared" si="22"/>
        <v>-9479</v>
      </c>
      <c r="N264" s="917">
        <f t="shared" si="22"/>
        <v>151</v>
      </c>
      <c r="O264" s="448">
        <f>SUM(C264:N264)</f>
        <v>-36003</v>
      </c>
      <c r="P264" s="455"/>
      <c r="Q264" s="436"/>
      <c r="R264" s="81"/>
      <c r="S264" s="81"/>
      <c r="T264" s="80"/>
      <c r="U264" s="80"/>
    </row>
    <row r="265" spans="1:21" ht="12.75" x14ac:dyDescent="0.2">
      <c r="A265" s="436"/>
      <c r="B265" s="436"/>
      <c r="C265" s="436"/>
      <c r="D265" s="436"/>
      <c r="E265" s="436"/>
      <c r="F265" s="436"/>
      <c r="G265" s="436"/>
      <c r="H265" s="436"/>
      <c r="I265" s="453"/>
      <c r="J265" s="453"/>
      <c r="K265" s="453"/>
      <c r="L265" s="453"/>
      <c r="M265" s="454" t="s">
        <v>742</v>
      </c>
      <c r="N265" s="453"/>
      <c r="O265" s="451">
        <f>(+O264/O263)*100</f>
        <v>-33.369480591702818</v>
      </c>
      <c r="P265" s="455"/>
      <c r="Q265" s="436"/>
      <c r="R265" s="81"/>
      <c r="S265" s="81"/>
      <c r="T265" s="80"/>
      <c r="U265" s="80"/>
    </row>
    <row r="266" spans="1:21" ht="12.75" x14ac:dyDescent="0.2">
      <c r="A266" s="440" t="s">
        <v>799</v>
      </c>
      <c r="B266" s="436"/>
      <c r="C266" s="436"/>
      <c r="D266" s="436"/>
      <c r="E266" s="436"/>
      <c r="F266" s="436"/>
      <c r="G266" s="436"/>
      <c r="H266" s="436"/>
      <c r="I266" s="900"/>
      <c r="J266" s="453"/>
      <c r="K266" s="453"/>
      <c r="L266" s="453"/>
      <c r="M266" s="453"/>
      <c r="N266" s="453"/>
      <c r="O266" s="436"/>
      <c r="P266" s="455"/>
      <c r="Q266" s="436"/>
      <c r="R266" s="81"/>
      <c r="S266" s="81"/>
      <c r="T266" s="80"/>
      <c r="U266" s="80"/>
    </row>
    <row r="267" spans="1:21" ht="12.75" x14ac:dyDescent="0.2">
      <c r="A267" s="439" t="s">
        <v>739</v>
      </c>
      <c r="B267" s="436"/>
      <c r="C267" s="896">
        <v>9495</v>
      </c>
      <c r="D267" s="896">
        <v>9290</v>
      </c>
      <c r="E267" s="896">
        <v>12504</v>
      </c>
      <c r="F267" s="896">
        <v>4899</v>
      </c>
      <c r="G267" s="896">
        <v>12350</v>
      </c>
      <c r="H267" s="896">
        <v>9432</v>
      </c>
      <c r="I267" s="896">
        <v>4273</v>
      </c>
      <c r="J267" s="896">
        <v>11816</v>
      </c>
      <c r="K267" s="896">
        <v>6331</v>
      </c>
      <c r="L267" s="896">
        <v>2642</v>
      </c>
      <c r="M267" s="896">
        <v>6778</v>
      </c>
      <c r="N267" s="896">
        <v>7456</v>
      </c>
      <c r="O267" s="448">
        <f>SUM(C267:N267)</f>
        <v>97266</v>
      </c>
      <c r="P267" s="455"/>
      <c r="Q267" s="436"/>
      <c r="R267" s="81"/>
      <c r="S267" s="81"/>
      <c r="T267" s="80"/>
      <c r="U267" s="80"/>
    </row>
    <row r="268" spans="1:21" ht="12.75" x14ac:dyDescent="0.2">
      <c r="A268" s="439" t="s">
        <v>740</v>
      </c>
      <c r="B268" s="436"/>
      <c r="C268" s="916">
        <v>5628</v>
      </c>
      <c r="D268" s="916">
        <v>8966</v>
      </c>
      <c r="E268" s="916">
        <v>16320</v>
      </c>
      <c r="F268" s="916">
        <v>10503</v>
      </c>
      <c r="G268" s="916">
        <v>9359</v>
      </c>
      <c r="H268" s="916">
        <v>9745</v>
      </c>
      <c r="I268" s="916">
        <v>5733</v>
      </c>
      <c r="J268" s="916">
        <v>9869</v>
      </c>
      <c r="K268" s="916">
        <v>33496</v>
      </c>
      <c r="L268" s="916">
        <v>12540</v>
      </c>
      <c r="M268" s="916">
        <v>11070</v>
      </c>
      <c r="N268" s="916">
        <v>10230</v>
      </c>
      <c r="O268" s="450">
        <f>SUM(C268:N268)</f>
        <v>143459</v>
      </c>
      <c r="P268" s="455"/>
      <c r="Q268" s="436"/>
      <c r="R268" s="81"/>
      <c r="S268" s="81"/>
      <c r="T268" s="80"/>
      <c r="U268" s="80"/>
    </row>
    <row r="269" spans="1:21" ht="12.75" x14ac:dyDescent="0.2">
      <c r="A269" s="439" t="s">
        <v>741</v>
      </c>
      <c r="B269" s="436"/>
      <c r="C269" s="448">
        <f t="shared" ref="C269:N269" si="23">C267-C268</f>
        <v>3867</v>
      </c>
      <c r="D269" s="448">
        <f t="shared" si="23"/>
        <v>324</v>
      </c>
      <c r="E269" s="448">
        <f t="shared" si="23"/>
        <v>-3816</v>
      </c>
      <c r="F269" s="448">
        <f t="shared" si="23"/>
        <v>-5604</v>
      </c>
      <c r="G269" s="448">
        <f t="shared" si="23"/>
        <v>2991</v>
      </c>
      <c r="H269" s="448">
        <f t="shared" si="23"/>
        <v>-313</v>
      </c>
      <c r="I269" s="917">
        <f t="shared" si="23"/>
        <v>-1460</v>
      </c>
      <c r="J269" s="917">
        <f t="shared" si="23"/>
        <v>1947</v>
      </c>
      <c r="K269" s="917">
        <f t="shared" si="23"/>
        <v>-27165</v>
      </c>
      <c r="L269" s="917">
        <f t="shared" si="23"/>
        <v>-9898</v>
      </c>
      <c r="M269" s="917">
        <f t="shared" si="23"/>
        <v>-4292</v>
      </c>
      <c r="N269" s="917">
        <f t="shared" si="23"/>
        <v>-2774</v>
      </c>
      <c r="O269" s="448">
        <f>SUM(C269:N269)</f>
        <v>-46193</v>
      </c>
      <c r="P269" s="455"/>
      <c r="Q269" s="436"/>
      <c r="R269" s="81"/>
      <c r="S269" s="81"/>
      <c r="T269" s="80"/>
      <c r="U269" s="80"/>
    </row>
    <row r="270" spans="1:21" ht="12.75" x14ac:dyDescent="0.2">
      <c r="A270" s="436"/>
      <c r="B270" s="436"/>
      <c r="C270" s="436"/>
      <c r="D270" s="436"/>
      <c r="E270" s="436"/>
      <c r="F270" s="436"/>
      <c r="G270" s="436"/>
      <c r="H270" s="436"/>
      <c r="I270" s="453"/>
      <c r="J270" s="453"/>
      <c r="K270" s="453"/>
      <c r="L270" s="453"/>
      <c r="M270" s="454" t="s">
        <v>742</v>
      </c>
      <c r="N270" s="453"/>
      <c r="O270" s="451">
        <f>(+O269/O268)*100</f>
        <v>-32.199443743508596</v>
      </c>
      <c r="P270" s="455"/>
      <c r="Q270" s="436"/>
      <c r="R270" s="81"/>
      <c r="S270" s="81"/>
      <c r="T270" s="80"/>
      <c r="U270" s="80"/>
    </row>
    <row r="271" spans="1:21" ht="12.75" x14ac:dyDescent="0.2">
      <c r="A271" s="440" t="s">
        <v>1604</v>
      </c>
      <c r="B271" s="436"/>
      <c r="C271" s="436"/>
      <c r="D271" s="436"/>
      <c r="E271" s="436"/>
      <c r="F271" s="436"/>
      <c r="G271" s="436"/>
      <c r="H271" s="436"/>
      <c r="I271" s="453"/>
      <c r="J271" s="453"/>
      <c r="K271" s="453"/>
      <c r="L271" s="453"/>
      <c r="M271" s="453"/>
      <c r="N271" s="453"/>
      <c r="O271" s="436"/>
      <c r="P271" s="455"/>
      <c r="Q271" s="436"/>
      <c r="R271" s="81"/>
      <c r="S271" s="81"/>
      <c r="T271" s="80"/>
      <c r="U271" s="80"/>
    </row>
    <row r="272" spans="1:21" ht="12.75" x14ac:dyDescent="0.2">
      <c r="A272" s="439" t="s">
        <v>739</v>
      </c>
      <c r="B272" s="436"/>
      <c r="C272" s="896">
        <v>9520</v>
      </c>
      <c r="D272" s="896">
        <v>1549</v>
      </c>
      <c r="E272" s="896">
        <v>18977</v>
      </c>
      <c r="F272" s="896">
        <v>7665</v>
      </c>
      <c r="G272" s="896">
        <v>8513</v>
      </c>
      <c r="H272" s="896">
        <v>3253</v>
      </c>
      <c r="I272" s="896">
        <v>4916</v>
      </c>
      <c r="J272" s="896">
        <v>16375</v>
      </c>
      <c r="K272" s="896">
        <v>5838</v>
      </c>
      <c r="L272" s="896">
        <v>5688</v>
      </c>
      <c r="M272" s="896">
        <v>1057</v>
      </c>
      <c r="N272" s="896">
        <v>3821</v>
      </c>
      <c r="O272" s="448">
        <f>SUM(C272:N272)</f>
        <v>87172</v>
      </c>
      <c r="P272" s="455"/>
      <c r="Q272" s="436"/>
      <c r="R272" s="81"/>
      <c r="S272" s="81"/>
      <c r="T272" s="80"/>
      <c r="U272" s="80"/>
    </row>
    <row r="273" spans="1:21" ht="12.75" x14ac:dyDescent="0.2">
      <c r="A273" s="439" t="s">
        <v>740</v>
      </c>
      <c r="B273" s="436"/>
      <c r="C273" s="916">
        <v>12312</v>
      </c>
      <c r="D273" s="916">
        <v>6195</v>
      </c>
      <c r="E273" s="916">
        <v>8649</v>
      </c>
      <c r="F273" s="916">
        <v>14722</v>
      </c>
      <c r="G273" s="916">
        <v>15660</v>
      </c>
      <c r="H273" s="916">
        <v>7968</v>
      </c>
      <c r="I273" s="916">
        <v>8196</v>
      </c>
      <c r="J273" s="916">
        <v>10478</v>
      </c>
      <c r="K273" s="916">
        <v>11586</v>
      </c>
      <c r="L273" s="916">
        <v>7267</v>
      </c>
      <c r="M273" s="916">
        <v>6625</v>
      </c>
      <c r="N273" s="916">
        <v>-5249</v>
      </c>
      <c r="O273" s="450">
        <f>SUM(C273:N273)</f>
        <v>104409</v>
      </c>
      <c r="P273" s="455"/>
      <c r="Q273" s="436"/>
      <c r="R273" s="81"/>
      <c r="S273" s="81"/>
      <c r="T273" s="80"/>
      <c r="U273" s="80"/>
    </row>
    <row r="274" spans="1:21" ht="12.75" x14ac:dyDescent="0.2">
      <c r="A274" s="439" t="s">
        <v>741</v>
      </c>
      <c r="B274" s="436"/>
      <c r="C274" s="448">
        <f t="shared" ref="C274:N274" si="24">C272-C273</f>
        <v>-2792</v>
      </c>
      <c r="D274" s="448">
        <f t="shared" si="24"/>
        <v>-4646</v>
      </c>
      <c r="E274" s="448">
        <f t="shared" si="24"/>
        <v>10328</v>
      </c>
      <c r="F274" s="448">
        <f t="shared" si="24"/>
        <v>-7057</v>
      </c>
      <c r="G274" s="448">
        <f t="shared" si="24"/>
        <v>-7147</v>
      </c>
      <c r="H274" s="448">
        <f t="shared" si="24"/>
        <v>-4715</v>
      </c>
      <c r="I274" s="917">
        <f t="shared" si="24"/>
        <v>-3280</v>
      </c>
      <c r="J274" s="917">
        <f t="shared" si="24"/>
        <v>5897</v>
      </c>
      <c r="K274" s="917">
        <f t="shared" si="24"/>
        <v>-5748</v>
      </c>
      <c r="L274" s="917">
        <f t="shared" si="24"/>
        <v>-1579</v>
      </c>
      <c r="M274" s="917">
        <f t="shared" si="24"/>
        <v>-5568</v>
      </c>
      <c r="N274" s="917">
        <f t="shared" si="24"/>
        <v>9070</v>
      </c>
      <c r="O274" s="448">
        <f>SUM(C274:N274)</f>
        <v>-17237</v>
      </c>
      <c r="P274" s="455"/>
      <c r="Q274" s="436"/>
      <c r="R274" s="81"/>
      <c r="S274" s="81"/>
      <c r="T274" s="80"/>
      <c r="U274" s="80"/>
    </row>
    <row r="275" spans="1:21" ht="12.75" x14ac:dyDescent="0.2">
      <c r="A275" s="436"/>
      <c r="B275" s="436"/>
      <c r="C275" s="436"/>
      <c r="D275" s="436"/>
      <c r="E275" s="436"/>
      <c r="F275" s="436"/>
      <c r="G275" s="436"/>
      <c r="H275" s="436"/>
      <c r="I275" s="453"/>
      <c r="J275" s="453"/>
      <c r="K275" s="453"/>
      <c r="L275" s="453"/>
      <c r="M275" s="454" t="s">
        <v>742</v>
      </c>
      <c r="N275" s="453"/>
      <c r="O275" s="451">
        <f>(+O274/O273)*100</f>
        <v>-16.509113199053722</v>
      </c>
      <c r="P275" s="455"/>
      <c r="Q275" s="436"/>
      <c r="R275" s="81"/>
      <c r="S275" s="81"/>
      <c r="T275" s="80"/>
      <c r="U275" s="80"/>
    </row>
    <row r="276" spans="1:21" ht="12.75" x14ac:dyDescent="0.2">
      <c r="A276" s="440" t="s">
        <v>800</v>
      </c>
      <c r="B276" s="436"/>
      <c r="C276" s="436"/>
      <c r="D276" s="436"/>
      <c r="E276" s="436"/>
      <c r="F276" s="436"/>
      <c r="G276" s="436"/>
      <c r="H276" s="436"/>
      <c r="I276" s="453"/>
      <c r="J276" s="453"/>
      <c r="K276" s="453"/>
      <c r="L276" s="453"/>
      <c r="M276" s="453"/>
      <c r="N276" s="453"/>
      <c r="O276" s="436"/>
      <c r="P276" s="455"/>
      <c r="Q276" s="436"/>
      <c r="R276" s="81"/>
      <c r="S276" s="81"/>
      <c r="T276" s="80"/>
      <c r="U276" s="80"/>
    </row>
    <row r="277" spans="1:21" ht="12.75" x14ac:dyDescent="0.2">
      <c r="A277" s="439" t="s">
        <v>739</v>
      </c>
      <c r="B277" s="436"/>
      <c r="C277" s="896">
        <v>145341</v>
      </c>
      <c r="D277" s="896">
        <v>116004</v>
      </c>
      <c r="E277" s="896">
        <v>102080</v>
      </c>
      <c r="F277" s="896">
        <v>102852</v>
      </c>
      <c r="G277" s="896">
        <v>119388</v>
      </c>
      <c r="H277" s="896">
        <v>171664</v>
      </c>
      <c r="I277" s="896">
        <v>49017</v>
      </c>
      <c r="J277" s="896">
        <v>167918</v>
      </c>
      <c r="K277" s="896">
        <v>88729</v>
      </c>
      <c r="L277" s="896">
        <v>200079</v>
      </c>
      <c r="M277" s="896">
        <v>117568</v>
      </c>
      <c r="N277" s="896">
        <v>78000</v>
      </c>
      <c r="O277" s="448">
        <f>SUM(C277:N277)</f>
        <v>1458640</v>
      </c>
      <c r="P277" s="455"/>
      <c r="Q277" s="436"/>
      <c r="R277" s="81"/>
      <c r="S277" s="81"/>
      <c r="T277" s="80"/>
      <c r="U277" s="80"/>
    </row>
    <row r="278" spans="1:21" ht="12.75" x14ac:dyDescent="0.2">
      <c r="A278" s="439" t="s">
        <v>740</v>
      </c>
      <c r="B278" s="436"/>
      <c r="C278" s="916">
        <v>119532</v>
      </c>
      <c r="D278" s="916">
        <v>79093</v>
      </c>
      <c r="E278" s="916">
        <v>45410</v>
      </c>
      <c r="F278" s="916">
        <v>90680</v>
      </c>
      <c r="G278" s="916">
        <v>92285</v>
      </c>
      <c r="H278" s="916">
        <v>119228</v>
      </c>
      <c r="I278" s="916">
        <v>72317</v>
      </c>
      <c r="J278" s="916">
        <v>137851</v>
      </c>
      <c r="K278" s="916">
        <v>94717</v>
      </c>
      <c r="L278" s="916">
        <v>79078</v>
      </c>
      <c r="M278" s="916">
        <v>128012</v>
      </c>
      <c r="N278" s="916">
        <v>159461</v>
      </c>
      <c r="O278" s="450">
        <f>SUM(C278:N278)</f>
        <v>1217664</v>
      </c>
      <c r="P278" s="455"/>
      <c r="Q278" s="436"/>
      <c r="R278" s="81"/>
      <c r="S278" s="81"/>
      <c r="T278" s="80"/>
      <c r="U278" s="80"/>
    </row>
    <row r="279" spans="1:21" ht="12.75" x14ac:dyDescent="0.2">
      <c r="A279" s="439" t="s">
        <v>741</v>
      </c>
      <c r="B279" s="436"/>
      <c r="C279" s="448">
        <f t="shared" ref="C279:N279" si="25">C277-C278</f>
        <v>25809</v>
      </c>
      <c r="D279" s="448">
        <f t="shared" si="25"/>
        <v>36911</v>
      </c>
      <c r="E279" s="448">
        <f t="shared" si="25"/>
        <v>56670</v>
      </c>
      <c r="F279" s="448">
        <f t="shared" si="25"/>
        <v>12172</v>
      </c>
      <c r="G279" s="448">
        <f t="shared" si="25"/>
        <v>27103</v>
      </c>
      <c r="H279" s="448">
        <f t="shared" si="25"/>
        <v>52436</v>
      </c>
      <c r="I279" s="917">
        <f t="shared" si="25"/>
        <v>-23300</v>
      </c>
      <c r="J279" s="917">
        <f t="shared" si="25"/>
        <v>30067</v>
      </c>
      <c r="K279" s="917">
        <f t="shared" si="25"/>
        <v>-5988</v>
      </c>
      <c r="L279" s="917">
        <f t="shared" si="25"/>
        <v>121001</v>
      </c>
      <c r="M279" s="917">
        <f t="shared" si="25"/>
        <v>-10444</v>
      </c>
      <c r="N279" s="917">
        <f t="shared" si="25"/>
        <v>-81461</v>
      </c>
      <c r="O279" s="448">
        <f>SUM(C279:N279)</f>
        <v>240976</v>
      </c>
      <c r="P279" s="455"/>
      <c r="Q279" s="436"/>
      <c r="R279" s="81"/>
      <c r="S279" s="81"/>
      <c r="T279" s="80"/>
      <c r="U279" s="80"/>
    </row>
    <row r="280" spans="1:21" ht="12.75" x14ac:dyDescent="0.2">
      <c r="A280" s="436"/>
      <c r="B280" s="436"/>
      <c r="C280" s="436"/>
      <c r="D280" s="436"/>
      <c r="E280" s="436"/>
      <c r="F280" s="436"/>
      <c r="G280" s="436"/>
      <c r="H280" s="436"/>
      <c r="I280" s="453"/>
      <c r="J280" s="453"/>
      <c r="K280" s="453"/>
      <c r="L280" s="453"/>
      <c r="M280" s="454" t="s">
        <v>742</v>
      </c>
      <c r="N280" s="453"/>
      <c r="O280" s="451">
        <f>(+O279/O278)*100</f>
        <v>19.790024177441396</v>
      </c>
      <c r="P280" s="455"/>
      <c r="Q280" s="436"/>
      <c r="R280" s="81"/>
      <c r="S280" s="81"/>
      <c r="T280" s="80"/>
      <c r="U280" s="80"/>
    </row>
    <row r="281" spans="1:21" ht="12.75" x14ac:dyDescent="0.2">
      <c r="A281" s="440" t="s">
        <v>801</v>
      </c>
      <c r="B281" s="436"/>
      <c r="C281" s="436"/>
      <c r="D281" s="436"/>
      <c r="E281" s="436"/>
      <c r="F281" s="436"/>
      <c r="G281" s="436"/>
      <c r="H281" s="436"/>
      <c r="I281" s="453"/>
      <c r="J281" s="453"/>
      <c r="K281" s="453"/>
      <c r="L281" s="453"/>
      <c r="M281" s="453"/>
      <c r="N281" s="453"/>
      <c r="O281" s="436"/>
      <c r="P281" s="455"/>
      <c r="Q281" s="436"/>
      <c r="R281" s="81"/>
      <c r="S281" s="81"/>
      <c r="T281" s="80"/>
      <c r="U281" s="80"/>
    </row>
    <row r="282" spans="1:21" ht="12.75" x14ac:dyDescent="0.2">
      <c r="A282" s="439" t="s">
        <v>739</v>
      </c>
      <c r="B282" s="436"/>
      <c r="C282" s="896">
        <v>5428</v>
      </c>
      <c r="D282" s="896">
        <v>3781</v>
      </c>
      <c r="E282" s="896">
        <v>13733</v>
      </c>
      <c r="F282" s="896">
        <v>9534</v>
      </c>
      <c r="G282" s="896">
        <v>17191</v>
      </c>
      <c r="H282" s="896">
        <v>13985</v>
      </c>
      <c r="I282" s="896">
        <v>8804</v>
      </c>
      <c r="J282" s="896">
        <v>8903</v>
      </c>
      <c r="K282" s="896">
        <v>4842</v>
      </c>
      <c r="L282" s="896">
        <v>11757</v>
      </c>
      <c r="M282" s="896">
        <v>7778</v>
      </c>
      <c r="N282" s="896">
        <v>8119</v>
      </c>
      <c r="O282" s="448">
        <f>SUM(C282:N282)</f>
        <v>113855</v>
      </c>
      <c r="P282" s="455"/>
      <c r="Q282" s="436"/>
      <c r="R282" s="81"/>
      <c r="S282" s="81"/>
      <c r="T282" s="80"/>
      <c r="U282" s="80"/>
    </row>
    <row r="283" spans="1:21" ht="12.75" x14ac:dyDescent="0.2">
      <c r="A283" s="439" t="s">
        <v>740</v>
      </c>
      <c r="B283" s="436"/>
      <c r="C283" s="916">
        <v>5616</v>
      </c>
      <c r="D283" s="916">
        <v>4318</v>
      </c>
      <c r="E283" s="916">
        <v>12581</v>
      </c>
      <c r="F283" s="916">
        <v>12816</v>
      </c>
      <c r="G283" s="916">
        <v>12330</v>
      </c>
      <c r="H283" s="916">
        <v>15859</v>
      </c>
      <c r="I283" s="916">
        <v>13259</v>
      </c>
      <c r="J283" s="916">
        <v>9984</v>
      </c>
      <c r="K283" s="916">
        <v>9574</v>
      </c>
      <c r="L283" s="916">
        <v>18087</v>
      </c>
      <c r="M283" s="916">
        <v>19693</v>
      </c>
      <c r="N283" s="916">
        <v>9035</v>
      </c>
      <c r="O283" s="450">
        <f>SUM(C283:N283)</f>
        <v>143152</v>
      </c>
      <c r="P283" s="455"/>
      <c r="Q283" s="436"/>
      <c r="R283" s="81"/>
      <c r="S283" s="81"/>
      <c r="T283" s="80"/>
      <c r="U283" s="80"/>
    </row>
    <row r="284" spans="1:21" ht="12.75" x14ac:dyDescent="0.2">
      <c r="A284" s="439" t="s">
        <v>741</v>
      </c>
      <c r="B284" s="436"/>
      <c r="C284" s="448">
        <f t="shared" ref="C284:N284" si="26">C282-C283</f>
        <v>-188</v>
      </c>
      <c r="D284" s="448">
        <f t="shared" si="26"/>
        <v>-537</v>
      </c>
      <c r="E284" s="448">
        <f t="shared" si="26"/>
        <v>1152</v>
      </c>
      <c r="F284" s="448">
        <f t="shared" si="26"/>
        <v>-3282</v>
      </c>
      <c r="G284" s="448">
        <f t="shared" si="26"/>
        <v>4861</v>
      </c>
      <c r="H284" s="448">
        <f t="shared" si="26"/>
        <v>-1874</v>
      </c>
      <c r="I284" s="917">
        <f t="shared" si="26"/>
        <v>-4455</v>
      </c>
      <c r="J284" s="917">
        <f t="shared" si="26"/>
        <v>-1081</v>
      </c>
      <c r="K284" s="917">
        <f t="shared" si="26"/>
        <v>-4732</v>
      </c>
      <c r="L284" s="917">
        <f t="shared" si="26"/>
        <v>-6330</v>
      </c>
      <c r="M284" s="917">
        <f t="shared" si="26"/>
        <v>-11915</v>
      </c>
      <c r="N284" s="917">
        <f t="shared" si="26"/>
        <v>-916</v>
      </c>
      <c r="O284" s="448">
        <f>SUM(C284:N284)</f>
        <v>-29297</v>
      </c>
      <c r="P284" s="455"/>
      <c r="Q284" s="436"/>
      <c r="R284" s="81"/>
      <c r="S284" s="81"/>
      <c r="T284" s="80"/>
      <c r="U284" s="80"/>
    </row>
    <row r="285" spans="1:21" ht="12.75" x14ac:dyDescent="0.2">
      <c r="A285" s="436"/>
      <c r="B285" s="436"/>
      <c r="C285" s="436"/>
      <c r="D285" s="436"/>
      <c r="E285" s="436"/>
      <c r="F285" s="436"/>
      <c r="G285" s="436"/>
      <c r="H285" s="436"/>
      <c r="I285" s="453"/>
      <c r="J285" s="453"/>
      <c r="K285" s="453"/>
      <c r="L285" s="453"/>
      <c r="M285" s="454" t="s">
        <v>742</v>
      </c>
      <c r="N285" s="453"/>
      <c r="O285" s="451">
        <f>(+O284/O283)*100</f>
        <v>-20.465658880071533</v>
      </c>
      <c r="P285" s="455"/>
      <c r="Q285" s="436"/>
      <c r="R285" s="81"/>
      <c r="S285" s="81"/>
      <c r="T285" s="80"/>
      <c r="U285" s="80"/>
    </row>
    <row r="286" spans="1:21" ht="12.75" x14ac:dyDescent="0.2">
      <c r="A286" s="440" t="s">
        <v>802</v>
      </c>
      <c r="B286" s="436"/>
      <c r="C286" s="436"/>
      <c r="D286" s="436"/>
      <c r="E286" s="436"/>
      <c r="F286" s="436"/>
      <c r="G286" s="436"/>
      <c r="H286" s="436"/>
      <c r="I286" s="453"/>
      <c r="J286" s="453"/>
      <c r="K286" s="453"/>
      <c r="L286" s="453"/>
      <c r="M286" s="453"/>
      <c r="N286" s="453"/>
      <c r="O286" s="436"/>
      <c r="P286" s="455"/>
      <c r="Q286" s="436"/>
      <c r="R286" s="81"/>
      <c r="S286" s="81"/>
      <c r="T286" s="80"/>
      <c r="U286" s="80"/>
    </row>
    <row r="287" spans="1:21" ht="12.75" x14ac:dyDescent="0.2">
      <c r="A287" s="439" t="s">
        <v>739</v>
      </c>
      <c r="B287" s="436"/>
      <c r="C287" s="896">
        <v>1790</v>
      </c>
      <c r="D287" s="896">
        <v>4436</v>
      </c>
      <c r="E287" s="896">
        <v>9093</v>
      </c>
      <c r="F287" s="896">
        <v>9671</v>
      </c>
      <c r="G287" s="896">
        <v>-809</v>
      </c>
      <c r="H287" s="896">
        <v>9061</v>
      </c>
      <c r="I287" s="896">
        <v>9122</v>
      </c>
      <c r="J287" s="896">
        <v>9329</v>
      </c>
      <c r="K287" s="896">
        <v>7436</v>
      </c>
      <c r="L287" s="896">
        <v>27169</v>
      </c>
      <c r="M287" s="896">
        <v>6641</v>
      </c>
      <c r="N287" s="896">
        <v>11575</v>
      </c>
      <c r="O287" s="448">
        <f>SUM(C287:N287)</f>
        <v>104514</v>
      </c>
      <c r="P287" s="455"/>
      <c r="Q287" s="436"/>
      <c r="R287" s="81"/>
      <c r="S287" s="81"/>
      <c r="T287" s="80"/>
      <c r="U287" s="80"/>
    </row>
    <row r="288" spans="1:21" ht="12.75" x14ac:dyDescent="0.2">
      <c r="A288" s="439" t="s">
        <v>740</v>
      </c>
      <c r="B288" s="436"/>
      <c r="C288" s="916">
        <v>11880</v>
      </c>
      <c r="D288" s="916">
        <v>5971</v>
      </c>
      <c r="E288" s="916">
        <v>3689</v>
      </c>
      <c r="F288" s="916">
        <v>6919</v>
      </c>
      <c r="G288" s="916">
        <v>7109</v>
      </c>
      <c r="H288" s="916">
        <v>10183</v>
      </c>
      <c r="I288" s="916">
        <v>8195</v>
      </c>
      <c r="J288" s="916">
        <v>13798</v>
      </c>
      <c r="K288" s="916">
        <v>7053</v>
      </c>
      <c r="L288" s="916">
        <v>20539</v>
      </c>
      <c r="M288" s="916">
        <v>13956</v>
      </c>
      <c r="N288" s="916">
        <v>10905</v>
      </c>
      <c r="O288" s="450">
        <f>SUM(C288:N288)</f>
        <v>120197</v>
      </c>
      <c r="P288" s="455"/>
      <c r="Q288" s="436"/>
      <c r="R288" s="81"/>
      <c r="S288" s="81"/>
      <c r="T288" s="80"/>
      <c r="U288" s="80"/>
    </row>
    <row r="289" spans="1:21" ht="12.75" x14ac:dyDescent="0.2">
      <c r="A289" s="439" t="s">
        <v>741</v>
      </c>
      <c r="B289" s="436"/>
      <c r="C289" s="448">
        <f t="shared" ref="C289:N289" si="27">C287-C288</f>
        <v>-10090</v>
      </c>
      <c r="D289" s="448">
        <f t="shared" si="27"/>
        <v>-1535</v>
      </c>
      <c r="E289" s="448">
        <f t="shared" si="27"/>
        <v>5404</v>
      </c>
      <c r="F289" s="448">
        <f t="shared" si="27"/>
        <v>2752</v>
      </c>
      <c r="G289" s="448">
        <f t="shared" si="27"/>
        <v>-7918</v>
      </c>
      <c r="H289" s="448">
        <f t="shared" si="27"/>
        <v>-1122</v>
      </c>
      <c r="I289" s="917">
        <f t="shared" si="27"/>
        <v>927</v>
      </c>
      <c r="J289" s="917">
        <f t="shared" si="27"/>
        <v>-4469</v>
      </c>
      <c r="K289" s="917">
        <f t="shared" si="27"/>
        <v>383</v>
      </c>
      <c r="L289" s="917">
        <f t="shared" si="27"/>
        <v>6630</v>
      </c>
      <c r="M289" s="917">
        <f t="shared" si="27"/>
        <v>-7315</v>
      </c>
      <c r="N289" s="917">
        <f t="shared" si="27"/>
        <v>670</v>
      </c>
      <c r="O289" s="448">
        <f>SUM(C289:N289)</f>
        <v>-15683</v>
      </c>
      <c r="P289" s="455"/>
      <c r="Q289" s="436"/>
      <c r="R289" s="81"/>
      <c r="S289" s="81"/>
      <c r="T289" s="80"/>
      <c r="U289" s="80"/>
    </row>
    <row r="290" spans="1:21" ht="12.75" x14ac:dyDescent="0.2">
      <c r="A290" s="436"/>
      <c r="B290" s="436"/>
      <c r="C290" s="436"/>
      <c r="D290" s="436"/>
      <c r="E290" s="436"/>
      <c r="F290" s="436"/>
      <c r="G290" s="436"/>
      <c r="H290" s="436"/>
      <c r="I290" s="453"/>
      <c r="J290" s="453"/>
      <c r="K290" s="453"/>
      <c r="L290" s="453"/>
      <c r="M290" s="454" t="s">
        <v>742</v>
      </c>
      <c r="N290" s="453"/>
      <c r="O290" s="451">
        <f>(+O289/O288)*100</f>
        <v>-13.047746615972111</v>
      </c>
      <c r="P290" s="455"/>
      <c r="Q290" s="436"/>
      <c r="R290" s="81"/>
      <c r="S290" s="81"/>
      <c r="T290" s="80"/>
      <c r="U290" s="80"/>
    </row>
    <row r="291" spans="1:21" ht="12.75" x14ac:dyDescent="0.2">
      <c r="A291" s="1429" t="s">
        <v>477</v>
      </c>
      <c r="B291" s="1430"/>
      <c r="C291" s="1430"/>
      <c r="D291" s="1430"/>
      <c r="E291" s="1430"/>
      <c r="F291" s="1430"/>
      <c r="G291" s="1430"/>
      <c r="H291" s="1430"/>
      <c r="I291" s="1430"/>
      <c r="J291" s="1430"/>
      <c r="K291" s="1430"/>
      <c r="L291" s="1430"/>
      <c r="M291" s="1430"/>
      <c r="N291" s="1430"/>
      <c r="O291" s="1430"/>
      <c r="P291" s="435"/>
      <c r="Q291" s="436"/>
      <c r="R291" s="81"/>
      <c r="S291" s="81"/>
      <c r="T291" s="80"/>
      <c r="U291" s="80"/>
    </row>
    <row r="292" spans="1:21" ht="12.75" x14ac:dyDescent="0.2">
      <c r="A292" s="1429" t="str">
        <f>+Input!C4</f>
        <v>CASE NO. 2017-xxxxx</v>
      </c>
      <c r="B292" s="1430"/>
      <c r="C292" s="1430"/>
      <c r="D292" s="1430"/>
      <c r="E292" s="1430"/>
      <c r="F292" s="1430"/>
      <c r="G292" s="1430"/>
      <c r="H292" s="1430"/>
      <c r="I292" s="1430"/>
      <c r="J292" s="1430"/>
      <c r="K292" s="1430"/>
      <c r="L292" s="1430"/>
      <c r="M292" s="1430"/>
      <c r="N292" s="1430"/>
      <c r="O292" s="1430"/>
      <c r="P292" s="455"/>
      <c r="Q292" s="436"/>
      <c r="R292" s="81"/>
      <c r="S292" s="81"/>
      <c r="T292" s="80"/>
      <c r="U292" s="80"/>
    </row>
    <row r="293" spans="1:21" ht="12.75" x14ac:dyDescent="0.2">
      <c r="A293" s="1429" t="s">
        <v>727</v>
      </c>
      <c r="B293" s="1430"/>
      <c r="C293" s="1430"/>
      <c r="D293" s="1430"/>
      <c r="E293" s="1430"/>
      <c r="F293" s="1430"/>
      <c r="G293" s="1430"/>
      <c r="H293" s="1430"/>
      <c r="I293" s="1430"/>
      <c r="J293" s="1430"/>
      <c r="K293" s="1430"/>
      <c r="L293" s="1430"/>
      <c r="M293" s="1430"/>
      <c r="N293" s="1430"/>
      <c r="O293" s="1430"/>
      <c r="P293" s="455"/>
      <c r="Q293" s="436"/>
      <c r="R293" s="81"/>
      <c r="S293" s="81"/>
      <c r="T293" s="80"/>
      <c r="U293" s="80"/>
    </row>
    <row r="294" spans="1:21" ht="12.75" x14ac:dyDescent="0.2">
      <c r="A294" s="1429" t="str">
        <f>+Input!C23</f>
        <v>FOR THE HISTORIC PERIOD 12 MONTHS ENDED DECEMBER 31, 2017 AND PRIOR PERIOD DECEMBER 31, 2016</v>
      </c>
      <c r="B294" s="1430"/>
      <c r="C294" s="1430"/>
      <c r="D294" s="1430"/>
      <c r="E294" s="1430"/>
      <c r="F294" s="1430"/>
      <c r="G294" s="1430"/>
      <c r="H294" s="1430"/>
      <c r="I294" s="1430"/>
      <c r="J294" s="1430"/>
      <c r="K294" s="1430"/>
      <c r="L294" s="1430"/>
      <c r="M294" s="1430"/>
      <c r="N294" s="1430"/>
      <c r="O294" s="1430"/>
      <c r="P294" s="455"/>
      <c r="Q294" s="436"/>
      <c r="R294" s="81"/>
      <c r="S294" s="81"/>
      <c r="T294" s="80"/>
      <c r="U294" s="80"/>
    </row>
    <row r="295" spans="1:21" ht="12.75" x14ac:dyDescent="0.2">
      <c r="A295" s="433"/>
      <c r="B295" s="434"/>
      <c r="C295" s="434"/>
      <c r="D295" s="434"/>
      <c r="E295" s="434"/>
      <c r="F295" s="434"/>
      <c r="G295" s="434"/>
      <c r="H295" s="434"/>
      <c r="I295" s="920"/>
      <c r="J295" s="920"/>
      <c r="K295" s="920"/>
      <c r="L295" s="920"/>
      <c r="M295" s="920"/>
      <c r="N295" s="920"/>
      <c r="O295" s="434"/>
      <c r="P295" s="455"/>
      <c r="Q295" s="436"/>
      <c r="R295" s="81"/>
      <c r="S295" s="81"/>
      <c r="T295" s="80"/>
      <c r="U295" s="80"/>
    </row>
    <row r="296" spans="1:21" ht="12.75" x14ac:dyDescent="0.2">
      <c r="A296" s="439" t="s">
        <v>839</v>
      </c>
      <c r="B296" s="436"/>
      <c r="C296" s="436"/>
      <c r="D296" s="436"/>
      <c r="E296" s="436"/>
      <c r="F296" s="436"/>
      <c r="G296" s="436"/>
      <c r="H296" s="436"/>
      <c r="I296" s="453"/>
      <c r="J296" s="453"/>
      <c r="K296" s="453"/>
      <c r="L296" s="453"/>
      <c r="M296" s="927"/>
      <c r="N296" s="453"/>
      <c r="O296" s="813" t="s">
        <v>752</v>
      </c>
      <c r="P296" s="455"/>
      <c r="Q296" s="436"/>
      <c r="R296" s="81"/>
      <c r="S296" s="81"/>
      <c r="T296" s="80"/>
      <c r="U296" s="80"/>
    </row>
    <row r="297" spans="1:21" ht="12.75" x14ac:dyDescent="0.2">
      <c r="A297" s="439" t="s">
        <v>490</v>
      </c>
      <c r="B297" s="436"/>
      <c r="C297" s="436"/>
      <c r="D297" s="436"/>
      <c r="E297" s="436"/>
      <c r="F297" s="436"/>
      <c r="G297" s="436"/>
      <c r="H297" s="436"/>
      <c r="I297" s="453"/>
      <c r="J297" s="453"/>
      <c r="K297" s="453"/>
      <c r="L297" s="453"/>
      <c r="M297" s="927"/>
      <c r="N297" s="453"/>
      <c r="O297" s="813" t="s">
        <v>1723</v>
      </c>
      <c r="P297" s="455"/>
      <c r="Q297" s="436"/>
      <c r="R297" s="81"/>
      <c r="S297" s="81"/>
      <c r="T297" s="80"/>
      <c r="U297" s="80"/>
    </row>
    <row r="298" spans="1:21" ht="12.75" x14ac:dyDescent="0.2">
      <c r="A298" s="441" t="s">
        <v>840</v>
      </c>
      <c r="B298" s="442"/>
      <c r="C298" s="442"/>
      <c r="D298" s="442"/>
      <c r="E298" s="442"/>
      <c r="F298" s="442"/>
      <c r="G298" s="442"/>
      <c r="H298" s="442"/>
      <c r="I298" s="918"/>
      <c r="J298" s="918"/>
      <c r="K298" s="918"/>
      <c r="L298" s="918"/>
      <c r="M298" s="928"/>
      <c r="N298" s="918"/>
      <c r="O298" s="814" t="str">
        <f>+Input!E27</f>
        <v>WITNESS:  C. Y. LAI</v>
      </c>
      <c r="P298" s="455"/>
      <c r="Q298" s="436"/>
      <c r="R298" s="81"/>
      <c r="S298" s="81"/>
      <c r="T298" s="80"/>
      <c r="U298" s="80"/>
    </row>
    <row r="299" spans="1:21" ht="12.75" x14ac:dyDescent="0.2">
      <c r="A299" s="1431" t="s">
        <v>728</v>
      </c>
      <c r="B299" s="1431"/>
      <c r="C299" s="437"/>
      <c r="D299" s="436"/>
      <c r="E299" s="436"/>
      <c r="F299" s="436"/>
      <c r="G299" s="436"/>
      <c r="H299" s="436"/>
      <c r="I299" s="453"/>
      <c r="J299" s="453"/>
      <c r="K299" s="453"/>
      <c r="L299" s="453"/>
      <c r="M299" s="453"/>
      <c r="N299" s="453"/>
      <c r="O299" s="436"/>
      <c r="P299" s="455"/>
      <c r="Q299" s="436"/>
      <c r="R299" s="81"/>
      <c r="S299" s="81"/>
      <c r="T299" s="80"/>
      <c r="U299" s="80"/>
    </row>
    <row r="300" spans="1:21" ht="12.75" x14ac:dyDescent="0.2">
      <c r="A300" s="1432" t="s">
        <v>729</v>
      </c>
      <c r="B300" s="1432"/>
      <c r="C300" s="443" t="s">
        <v>1011</v>
      </c>
      <c r="D300" s="443" t="s">
        <v>731</v>
      </c>
      <c r="E300" s="443" t="s">
        <v>732</v>
      </c>
      <c r="F300" s="443" t="s">
        <v>733</v>
      </c>
      <c r="G300" s="443" t="s">
        <v>734</v>
      </c>
      <c r="H300" s="443" t="s">
        <v>735</v>
      </c>
      <c r="I300" s="919" t="s">
        <v>736</v>
      </c>
      <c r="J300" s="919" t="s">
        <v>737</v>
      </c>
      <c r="K300" s="925" t="s">
        <v>1012</v>
      </c>
      <c r="L300" s="919" t="s">
        <v>1013</v>
      </c>
      <c r="M300" s="919" t="s">
        <v>730</v>
      </c>
      <c r="N300" s="919" t="s">
        <v>1014</v>
      </c>
      <c r="O300" s="444" t="s">
        <v>525</v>
      </c>
      <c r="P300" s="455"/>
      <c r="Q300" s="436"/>
      <c r="R300" s="81"/>
      <c r="S300" s="81"/>
      <c r="T300" s="80"/>
      <c r="U300" s="80"/>
    </row>
    <row r="301" spans="1:21" ht="12.75" x14ac:dyDescent="0.2">
      <c r="A301" s="436"/>
      <c r="B301" s="436"/>
      <c r="C301" s="445" t="s">
        <v>500</v>
      </c>
      <c r="D301" s="445" t="s">
        <v>500</v>
      </c>
      <c r="E301" s="445" t="s">
        <v>500</v>
      </c>
      <c r="F301" s="445" t="s">
        <v>500</v>
      </c>
      <c r="G301" s="445" t="s">
        <v>500</v>
      </c>
      <c r="H301" s="445" t="s">
        <v>500</v>
      </c>
      <c r="I301" s="910" t="s">
        <v>500</v>
      </c>
      <c r="J301" s="910" t="s">
        <v>500</v>
      </c>
      <c r="K301" s="910" t="s">
        <v>500</v>
      </c>
      <c r="L301" s="910" t="s">
        <v>500</v>
      </c>
      <c r="M301" s="910" t="s">
        <v>500</v>
      </c>
      <c r="N301" s="910" t="s">
        <v>500</v>
      </c>
      <c r="O301" s="445" t="s">
        <v>500</v>
      </c>
      <c r="P301" s="455"/>
      <c r="Q301" s="436"/>
      <c r="R301" s="81"/>
      <c r="S301" s="81"/>
      <c r="T301" s="80"/>
      <c r="U301" s="80"/>
    </row>
    <row r="302" spans="1:21" ht="12.75" x14ac:dyDescent="0.2">
      <c r="A302" s="91"/>
      <c r="B302" s="91"/>
      <c r="C302" s="91"/>
      <c r="D302" s="91"/>
      <c r="E302" s="91"/>
      <c r="F302" s="91"/>
      <c r="G302" s="91"/>
      <c r="H302" s="91"/>
      <c r="I302" s="921"/>
      <c r="J302" s="921"/>
      <c r="K302" s="921"/>
      <c r="L302" s="921"/>
      <c r="M302" s="921"/>
      <c r="N302" s="921"/>
      <c r="O302" s="91"/>
      <c r="P302" s="455"/>
      <c r="Q302" s="436"/>
      <c r="R302" s="81"/>
      <c r="S302" s="81"/>
      <c r="T302" s="80"/>
      <c r="U302" s="80"/>
    </row>
    <row r="303" spans="1:21" ht="12.75" x14ac:dyDescent="0.2">
      <c r="A303" s="440" t="s">
        <v>803</v>
      </c>
      <c r="B303" s="436"/>
      <c r="C303" s="436"/>
      <c r="D303" s="436"/>
      <c r="E303" s="436"/>
      <c r="F303" s="436"/>
      <c r="G303" s="436"/>
      <c r="H303" s="436"/>
      <c r="I303" s="453"/>
      <c r="J303" s="453"/>
      <c r="K303" s="453"/>
      <c r="L303" s="453"/>
      <c r="M303" s="453"/>
      <c r="N303" s="453"/>
      <c r="O303" s="436"/>
      <c r="P303" s="455"/>
      <c r="Q303" s="436"/>
      <c r="R303" s="81"/>
      <c r="S303" s="81"/>
      <c r="T303" s="80"/>
      <c r="U303" s="80"/>
    </row>
    <row r="304" spans="1:21" ht="12.75" x14ac:dyDescent="0.2">
      <c r="A304" s="439" t="s">
        <v>739</v>
      </c>
      <c r="B304" s="436"/>
      <c r="C304" s="896">
        <v>72015</v>
      </c>
      <c r="D304" s="896">
        <v>57924</v>
      </c>
      <c r="E304" s="896">
        <v>42504</v>
      </c>
      <c r="F304" s="896">
        <v>36310</v>
      </c>
      <c r="G304" s="896">
        <v>19775</v>
      </c>
      <c r="H304" s="896">
        <v>43237</v>
      </c>
      <c r="I304" s="896">
        <v>19645</v>
      </c>
      <c r="J304" s="896">
        <v>46752</v>
      </c>
      <c r="K304" s="896">
        <v>16010</v>
      </c>
      <c r="L304" s="896">
        <v>52152</v>
      </c>
      <c r="M304" s="896">
        <v>30367</v>
      </c>
      <c r="N304" s="896">
        <v>34318</v>
      </c>
      <c r="O304" s="448">
        <f>SUM(C304:N304)</f>
        <v>471009</v>
      </c>
      <c r="P304" s="455"/>
      <c r="Q304" s="436"/>
      <c r="R304" s="81"/>
      <c r="S304" s="81"/>
      <c r="T304" s="80"/>
      <c r="U304" s="80"/>
    </row>
    <row r="305" spans="1:21" ht="12.75" x14ac:dyDescent="0.2">
      <c r="A305" s="439" t="s">
        <v>740</v>
      </c>
      <c r="B305" s="436"/>
      <c r="C305" s="916">
        <v>29987</v>
      </c>
      <c r="D305" s="916">
        <v>43983</v>
      </c>
      <c r="E305" s="916">
        <v>32111</v>
      </c>
      <c r="F305" s="916">
        <v>35784</v>
      </c>
      <c r="G305" s="916">
        <v>24859</v>
      </c>
      <c r="H305" s="916">
        <v>37054</v>
      </c>
      <c r="I305" s="916">
        <v>18096</v>
      </c>
      <c r="J305" s="916">
        <v>57278</v>
      </c>
      <c r="K305" s="916">
        <v>7699</v>
      </c>
      <c r="L305" s="916">
        <v>38687</v>
      </c>
      <c r="M305" s="916">
        <v>63082</v>
      </c>
      <c r="N305" s="916">
        <v>65179</v>
      </c>
      <c r="O305" s="450">
        <f>SUM(C305:N305)</f>
        <v>453799</v>
      </c>
      <c r="P305" s="455"/>
      <c r="Q305" s="436"/>
      <c r="R305" s="81"/>
      <c r="S305" s="81"/>
      <c r="T305" s="80"/>
      <c r="U305" s="80"/>
    </row>
    <row r="306" spans="1:21" ht="12.75" x14ac:dyDescent="0.2">
      <c r="A306" s="439" t="s">
        <v>741</v>
      </c>
      <c r="B306" s="436"/>
      <c r="C306" s="448">
        <f t="shared" ref="C306:N306" si="28">C304-C305</f>
        <v>42028</v>
      </c>
      <c r="D306" s="448">
        <f t="shared" si="28"/>
        <v>13941</v>
      </c>
      <c r="E306" s="448">
        <f t="shared" si="28"/>
        <v>10393</v>
      </c>
      <c r="F306" s="448">
        <f t="shared" si="28"/>
        <v>526</v>
      </c>
      <c r="G306" s="448">
        <f t="shared" si="28"/>
        <v>-5084</v>
      </c>
      <c r="H306" s="448">
        <f t="shared" si="28"/>
        <v>6183</v>
      </c>
      <c r="I306" s="917">
        <f t="shared" si="28"/>
        <v>1549</v>
      </c>
      <c r="J306" s="917">
        <f t="shared" si="28"/>
        <v>-10526</v>
      </c>
      <c r="K306" s="917">
        <f t="shared" si="28"/>
        <v>8311</v>
      </c>
      <c r="L306" s="917">
        <f t="shared" si="28"/>
        <v>13465</v>
      </c>
      <c r="M306" s="917">
        <f t="shared" si="28"/>
        <v>-32715</v>
      </c>
      <c r="N306" s="917">
        <f t="shared" si="28"/>
        <v>-30861</v>
      </c>
      <c r="O306" s="448">
        <f>SUM(C306:N306)</f>
        <v>17210</v>
      </c>
      <c r="P306" s="455"/>
      <c r="Q306" s="436"/>
      <c r="R306" s="81"/>
      <c r="S306" s="81"/>
      <c r="T306" s="80"/>
      <c r="U306" s="80"/>
    </row>
    <row r="307" spans="1:21" ht="12.75" x14ac:dyDescent="0.2">
      <c r="A307" s="436"/>
      <c r="B307" s="436"/>
      <c r="C307" s="436"/>
      <c r="D307" s="436"/>
      <c r="E307" s="436"/>
      <c r="F307" s="436"/>
      <c r="G307" s="436"/>
      <c r="H307" s="436"/>
      <c r="I307" s="453"/>
      <c r="J307" s="453"/>
      <c r="K307" s="453"/>
      <c r="L307" s="453"/>
      <c r="M307" s="454" t="s">
        <v>742</v>
      </c>
      <c r="N307" s="453"/>
      <c r="O307" s="451">
        <f>(+O306/O305)*100</f>
        <v>3.7924279251386626</v>
      </c>
      <c r="P307" s="455"/>
      <c r="Q307" s="436"/>
      <c r="R307" s="81"/>
      <c r="S307" s="81"/>
      <c r="T307" s="80"/>
      <c r="U307" s="80"/>
    </row>
    <row r="308" spans="1:21" ht="12.75" x14ac:dyDescent="0.2">
      <c r="A308" s="440" t="s">
        <v>804</v>
      </c>
      <c r="B308" s="436"/>
      <c r="C308" s="436"/>
      <c r="D308" s="436"/>
      <c r="E308" s="436"/>
      <c r="F308" s="436"/>
      <c r="G308" s="436"/>
      <c r="H308" s="436"/>
      <c r="I308" s="453"/>
      <c r="J308" s="453"/>
      <c r="K308" s="453"/>
      <c r="L308" s="453"/>
      <c r="M308" s="453"/>
      <c r="N308" s="453"/>
      <c r="O308" s="436"/>
      <c r="P308" s="455"/>
      <c r="Q308" s="436"/>
      <c r="R308" s="81"/>
      <c r="S308" s="81"/>
      <c r="T308" s="80"/>
      <c r="U308" s="80"/>
    </row>
    <row r="309" spans="1:21" ht="12.75" x14ac:dyDescent="0.2">
      <c r="A309" s="439" t="s">
        <v>739</v>
      </c>
      <c r="B309" s="436"/>
      <c r="C309" s="896">
        <v>5402</v>
      </c>
      <c r="D309" s="896">
        <v>8637</v>
      </c>
      <c r="E309" s="896">
        <v>6453</v>
      </c>
      <c r="F309" s="896">
        <v>-6020</v>
      </c>
      <c r="G309" s="896">
        <v>8270</v>
      </c>
      <c r="H309" s="896">
        <v>12434</v>
      </c>
      <c r="I309" s="896">
        <v>8162</v>
      </c>
      <c r="J309" s="896">
        <v>13941</v>
      </c>
      <c r="K309" s="896">
        <v>6676</v>
      </c>
      <c r="L309" s="896">
        <v>10472</v>
      </c>
      <c r="M309" s="896">
        <v>12786</v>
      </c>
      <c r="N309" s="896">
        <v>10198</v>
      </c>
      <c r="O309" s="448">
        <f>SUM(C309:N309)</f>
        <v>97411</v>
      </c>
      <c r="P309" s="455"/>
      <c r="Q309" s="436"/>
      <c r="R309" s="81"/>
      <c r="S309" s="81"/>
      <c r="T309" s="80"/>
      <c r="U309" s="80"/>
    </row>
    <row r="310" spans="1:21" ht="12.75" x14ac:dyDescent="0.2">
      <c r="A310" s="439" t="s">
        <v>740</v>
      </c>
      <c r="B310" s="436"/>
      <c r="C310" s="916">
        <v>8581</v>
      </c>
      <c r="D310" s="916">
        <v>7590</v>
      </c>
      <c r="E310" s="916">
        <v>7594</v>
      </c>
      <c r="F310" s="916">
        <v>11870</v>
      </c>
      <c r="G310" s="916">
        <v>16201</v>
      </c>
      <c r="H310" s="916">
        <v>14557</v>
      </c>
      <c r="I310" s="916">
        <v>7504</v>
      </c>
      <c r="J310" s="916">
        <v>17363</v>
      </c>
      <c r="K310" s="916">
        <v>11512</v>
      </c>
      <c r="L310" s="916">
        <v>13703</v>
      </c>
      <c r="M310" s="916">
        <v>2803</v>
      </c>
      <c r="N310" s="916">
        <v>-2291</v>
      </c>
      <c r="O310" s="450">
        <f>SUM(C310:N310)</f>
        <v>116987</v>
      </c>
      <c r="P310" s="455"/>
      <c r="Q310" s="436"/>
      <c r="R310" s="81"/>
      <c r="S310" s="81"/>
      <c r="T310" s="80"/>
      <c r="U310" s="80"/>
    </row>
    <row r="311" spans="1:21" ht="12.75" x14ac:dyDescent="0.2">
      <c r="A311" s="439" t="s">
        <v>741</v>
      </c>
      <c r="B311" s="436"/>
      <c r="C311" s="448">
        <f t="shared" ref="C311:N311" si="29">C309-C310</f>
        <v>-3179</v>
      </c>
      <c r="D311" s="448">
        <f t="shared" si="29"/>
        <v>1047</v>
      </c>
      <c r="E311" s="448">
        <f t="shared" si="29"/>
        <v>-1141</v>
      </c>
      <c r="F311" s="448">
        <f t="shared" si="29"/>
        <v>-17890</v>
      </c>
      <c r="G311" s="448">
        <f t="shared" si="29"/>
        <v>-7931</v>
      </c>
      <c r="H311" s="448">
        <f t="shared" si="29"/>
        <v>-2123</v>
      </c>
      <c r="I311" s="917">
        <f t="shared" si="29"/>
        <v>658</v>
      </c>
      <c r="J311" s="917">
        <f t="shared" si="29"/>
        <v>-3422</v>
      </c>
      <c r="K311" s="917">
        <f t="shared" si="29"/>
        <v>-4836</v>
      </c>
      <c r="L311" s="917">
        <f t="shared" si="29"/>
        <v>-3231</v>
      </c>
      <c r="M311" s="917">
        <f t="shared" si="29"/>
        <v>9983</v>
      </c>
      <c r="N311" s="917">
        <f t="shared" si="29"/>
        <v>12489</v>
      </c>
      <c r="O311" s="448">
        <f>SUM(C311:N311)</f>
        <v>-19576</v>
      </c>
      <c r="P311" s="455"/>
      <c r="Q311" s="436"/>
      <c r="R311" s="81"/>
      <c r="S311" s="81"/>
      <c r="T311" s="80"/>
      <c r="U311" s="80"/>
    </row>
    <row r="312" spans="1:21" ht="12.75" x14ac:dyDescent="0.2">
      <c r="A312" s="436"/>
      <c r="B312" s="436"/>
      <c r="C312" s="436"/>
      <c r="D312" s="436"/>
      <c r="E312" s="436"/>
      <c r="F312" s="436"/>
      <c r="G312" s="436"/>
      <c r="H312" s="436"/>
      <c r="I312" s="453"/>
      <c r="J312" s="453"/>
      <c r="K312" s="453"/>
      <c r="L312" s="453"/>
      <c r="M312" s="454" t="s">
        <v>742</v>
      </c>
      <c r="N312" s="453"/>
      <c r="O312" s="451">
        <f>(+O311/O310)*100</f>
        <v>-16.73348320753588</v>
      </c>
      <c r="P312" s="455"/>
      <c r="Q312" s="436"/>
      <c r="R312" s="81"/>
      <c r="S312" s="81"/>
      <c r="T312" s="80"/>
      <c r="U312" s="80"/>
    </row>
    <row r="313" spans="1:21" ht="12.75" x14ac:dyDescent="0.2">
      <c r="A313" s="440" t="s">
        <v>805</v>
      </c>
      <c r="B313" s="436"/>
      <c r="C313" s="436"/>
      <c r="D313" s="436"/>
      <c r="E313" s="436"/>
      <c r="F313" s="436"/>
      <c r="G313" s="436"/>
      <c r="H313" s="436"/>
      <c r="I313" s="453"/>
      <c r="J313" s="453"/>
      <c r="K313" s="453"/>
      <c r="L313" s="453"/>
      <c r="M313" s="453"/>
      <c r="N313" s="453"/>
      <c r="O313" s="436"/>
      <c r="P313" s="455"/>
      <c r="Q313" s="436"/>
      <c r="R313" s="81"/>
      <c r="S313" s="81"/>
      <c r="T313" s="80"/>
      <c r="U313" s="80"/>
    </row>
    <row r="314" spans="1:21" ht="12.75" x14ac:dyDescent="0.2">
      <c r="A314" s="439" t="s">
        <v>739</v>
      </c>
      <c r="B314" s="436"/>
      <c r="C314" s="896">
        <v>11908</v>
      </c>
      <c r="D314" s="896">
        <v>12603</v>
      </c>
      <c r="E314" s="896">
        <v>16523</v>
      </c>
      <c r="F314" s="896">
        <v>25908</v>
      </c>
      <c r="G314" s="896">
        <v>6296</v>
      </c>
      <c r="H314" s="896">
        <v>15823</v>
      </c>
      <c r="I314" s="896">
        <v>-2844</v>
      </c>
      <c r="J314" s="896">
        <v>17880</v>
      </c>
      <c r="K314" s="896">
        <v>14345</v>
      </c>
      <c r="L314" s="896">
        <v>18734</v>
      </c>
      <c r="M314" s="896">
        <v>14621</v>
      </c>
      <c r="N314" s="896">
        <v>21852</v>
      </c>
      <c r="O314" s="448">
        <f>SUM(C314:N314)</f>
        <v>173649</v>
      </c>
      <c r="P314" s="455"/>
      <c r="Q314" s="436"/>
      <c r="R314" s="81"/>
      <c r="S314" s="81"/>
      <c r="T314" s="80"/>
      <c r="U314" s="80"/>
    </row>
    <row r="315" spans="1:21" ht="12.75" x14ac:dyDescent="0.2">
      <c r="A315" s="439" t="s">
        <v>740</v>
      </c>
      <c r="B315" s="436"/>
      <c r="C315" s="916">
        <v>10090</v>
      </c>
      <c r="D315" s="916">
        <v>10795</v>
      </c>
      <c r="E315" s="916">
        <v>9206</v>
      </c>
      <c r="F315" s="916">
        <v>4659</v>
      </c>
      <c r="G315" s="916">
        <v>6101</v>
      </c>
      <c r="H315" s="916">
        <v>51577</v>
      </c>
      <c r="I315" s="916">
        <v>15344</v>
      </c>
      <c r="J315" s="916">
        <v>13644</v>
      </c>
      <c r="K315" s="916">
        <v>11083</v>
      </c>
      <c r="L315" s="916">
        <v>14917</v>
      </c>
      <c r="M315" s="916">
        <v>6560</v>
      </c>
      <c r="N315" s="916">
        <v>12416</v>
      </c>
      <c r="O315" s="450">
        <f>SUM(C315:N315)</f>
        <v>166392</v>
      </c>
      <c r="P315" s="455"/>
      <c r="Q315" s="436"/>
      <c r="R315" s="81"/>
      <c r="S315" s="81"/>
      <c r="T315" s="80"/>
      <c r="U315" s="80"/>
    </row>
    <row r="316" spans="1:21" ht="12.75" x14ac:dyDescent="0.2">
      <c r="A316" s="439" t="s">
        <v>741</v>
      </c>
      <c r="B316" s="436"/>
      <c r="C316" s="448">
        <f t="shared" ref="C316:N316" si="30">C314-C315</f>
        <v>1818</v>
      </c>
      <c r="D316" s="448">
        <f t="shared" si="30"/>
        <v>1808</v>
      </c>
      <c r="E316" s="448">
        <f t="shared" si="30"/>
        <v>7317</v>
      </c>
      <c r="F316" s="448">
        <f t="shared" si="30"/>
        <v>21249</v>
      </c>
      <c r="G316" s="448">
        <f t="shared" si="30"/>
        <v>195</v>
      </c>
      <c r="H316" s="448">
        <f t="shared" si="30"/>
        <v>-35754</v>
      </c>
      <c r="I316" s="917">
        <f t="shared" si="30"/>
        <v>-18188</v>
      </c>
      <c r="J316" s="917">
        <f t="shared" si="30"/>
        <v>4236</v>
      </c>
      <c r="K316" s="917">
        <f t="shared" si="30"/>
        <v>3262</v>
      </c>
      <c r="L316" s="917">
        <f t="shared" si="30"/>
        <v>3817</v>
      </c>
      <c r="M316" s="917">
        <f t="shared" si="30"/>
        <v>8061</v>
      </c>
      <c r="N316" s="917">
        <f t="shared" si="30"/>
        <v>9436</v>
      </c>
      <c r="O316" s="448">
        <f>SUM(C316:N316)</f>
        <v>7257</v>
      </c>
      <c r="P316" s="455"/>
      <c r="Q316" s="436"/>
      <c r="R316" s="81"/>
      <c r="S316" s="81"/>
      <c r="T316" s="80"/>
      <c r="U316" s="80"/>
    </row>
    <row r="317" spans="1:21" ht="12.75" x14ac:dyDescent="0.2">
      <c r="A317" s="436"/>
      <c r="B317" s="436"/>
      <c r="C317" s="436"/>
      <c r="D317" s="452"/>
      <c r="E317" s="453"/>
      <c r="F317" s="453"/>
      <c r="G317" s="436"/>
      <c r="H317" s="436"/>
      <c r="I317" s="453"/>
      <c r="J317" s="453"/>
      <c r="K317" s="453"/>
      <c r="L317" s="453"/>
      <c r="M317" s="454" t="s">
        <v>742</v>
      </c>
      <c r="N317" s="453"/>
      <c r="O317" s="451">
        <f>(+O316/O315)*100</f>
        <v>4.3613875667099382</v>
      </c>
      <c r="P317" s="455"/>
      <c r="Q317" s="436"/>
      <c r="R317" s="81"/>
      <c r="S317" s="81"/>
      <c r="T317" s="80"/>
      <c r="U317" s="80"/>
    </row>
    <row r="318" spans="1:21" ht="12.75" x14ac:dyDescent="0.2">
      <c r="A318" s="440" t="s">
        <v>806</v>
      </c>
      <c r="B318" s="436"/>
      <c r="C318" s="436"/>
      <c r="D318" s="436"/>
      <c r="E318" s="436"/>
      <c r="F318" s="436"/>
      <c r="G318" s="436"/>
      <c r="H318" s="436"/>
      <c r="I318" s="453"/>
      <c r="J318" s="453"/>
      <c r="K318" s="453"/>
      <c r="L318" s="453"/>
      <c r="M318" s="453"/>
      <c r="N318" s="453"/>
      <c r="O318" s="436"/>
      <c r="P318" s="455"/>
      <c r="Q318" s="436"/>
      <c r="R318" s="81"/>
      <c r="S318" s="81"/>
      <c r="T318" s="80"/>
      <c r="U318" s="80"/>
    </row>
    <row r="319" spans="1:21" ht="12.75" x14ac:dyDescent="0.2">
      <c r="A319" s="439" t="s">
        <v>739</v>
      </c>
      <c r="B319" s="436"/>
      <c r="C319" s="896">
        <v>461</v>
      </c>
      <c r="D319" s="896">
        <v>510</v>
      </c>
      <c r="E319" s="896">
        <v>527</v>
      </c>
      <c r="F319" s="896">
        <v>762</v>
      </c>
      <c r="G319" s="896">
        <v>546</v>
      </c>
      <c r="H319" s="896">
        <v>565</v>
      </c>
      <c r="I319" s="896">
        <v>520</v>
      </c>
      <c r="J319" s="896">
        <v>682</v>
      </c>
      <c r="K319" s="896">
        <v>435</v>
      </c>
      <c r="L319" s="896">
        <v>674</v>
      </c>
      <c r="M319" s="896">
        <v>357</v>
      </c>
      <c r="N319" s="896">
        <v>395</v>
      </c>
      <c r="O319" s="448">
        <f>SUM(C319:N319)</f>
        <v>6434</v>
      </c>
      <c r="P319" s="455"/>
      <c r="Q319" s="436"/>
      <c r="R319" s="81"/>
      <c r="S319" s="81"/>
      <c r="T319" s="80"/>
      <c r="U319" s="80"/>
    </row>
    <row r="320" spans="1:21" ht="12.75" x14ac:dyDescent="0.2">
      <c r="A320" s="439" t="s">
        <v>740</v>
      </c>
      <c r="B320" s="436"/>
      <c r="C320" s="916">
        <v>443</v>
      </c>
      <c r="D320" s="916">
        <v>646</v>
      </c>
      <c r="E320" s="916">
        <v>677</v>
      </c>
      <c r="F320" s="916">
        <v>442</v>
      </c>
      <c r="G320" s="916">
        <v>552</v>
      </c>
      <c r="H320" s="916">
        <v>557</v>
      </c>
      <c r="I320" s="916">
        <v>515</v>
      </c>
      <c r="J320" s="916">
        <v>570</v>
      </c>
      <c r="K320" s="916">
        <v>328</v>
      </c>
      <c r="L320" s="916">
        <v>547</v>
      </c>
      <c r="M320" s="916">
        <v>522</v>
      </c>
      <c r="N320" s="916">
        <v>1181</v>
      </c>
      <c r="O320" s="450">
        <f>SUM(C320:N320)</f>
        <v>6980</v>
      </c>
      <c r="P320" s="455"/>
      <c r="Q320" s="436"/>
      <c r="R320" s="81"/>
      <c r="S320" s="81"/>
      <c r="T320" s="80"/>
      <c r="U320" s="80"/>
    </row>
    <row r="321" spans="1:21" ht="12.75" x14ac:dyDescent="0.2">
      <c r="A321" s="439" t="s">
        <v>741</v>
      </c>
      <c r="B321" s="436"/>
      <c r="C321" s="448">
        <f t="shared" ref="C321:N321" si="31">C319-C320</f>
        <v>18</v>
      </c>
      <c r="D321" s="448">
        <f t="shared" si="31"/>
        <v>-136</v>
      </c>
      <c r="E321" s="448">
        <f t="shared" si="31"/>
        <v>-150</v>
      </c>
      <c r="F321" s="448">
        <f t="shared" si="31"/>
        <v>320</v>
      </c>
      <c r="G321" s="448">
        <f t="shared" si="31"/>
        <v>-6</v>
      </c>
      <c r="H321" s="448">
        <f t="shared" si="31"/>
        <v>8</v>
      </c>
      <c r="I321" s="917">
        <f t="shared" si="31"/>
        <v>5</v>
      </c>
      <c r="J321" s="917">
        <f t="shared" si="31"/>
        <v>112</v>
      </c>
      <c r="K321" s="917">
        <f t="shared" si="31"/>
        <v>107</v>
      </c>
      <c r="L321" s="917">
        <f t="shared" si="31"/>
        <v>127</v>
      </c>
      <c r="M321" s="917">
        <f t="shared" si="31"/>
        <v>-165</v>
      </c>
      <c r="N321" s="917">
        <f t="shared" si="31"/>
        <v>-786</v>
      </c>
      <c r="O321" s="448">
        <f>SUM(C321:N321)</f>
        <v>-546</v>
      </c>
      <c r="P321" s="455"/>
      <c r="Q321" s="436"/>
      <c r="R321" s="81"/>
      <c r="S321" s="81"/>
      <c r="T321" s="80"/>
      <c r="U321" s="80"/>
    </row>
    <row r="322" spans="1:21" ht="12.75" x14ac:dyDescent="0.2">
      <c r="A322" s="436"/>
      <c r="B322" s="436"/>
      <c r="C322" s="436"/>
      <c r="D322" s="436"/>
      <c r="E322" s="436"/>
      <c r="F322" s="436"/>
      <c r="G322" s="436"/>
      <c r="H322" s="436"/>
      <c r="I322" s="453"/>
      <c r="J322" s="453"/>
      <c r="K322" s="453"/>
      <c r="L322" s="453"/>
      <c r="M322" s="454" t="s">
        <v>742</v>
      </c>
      <c r="N322" s="453"/>
      <c r="O322" s="451">
        <f>(+O321/O320)*100</f>
        <v>-7.8223495702005739</v>
      </c>
      <c r="P322" s="455"/>
      <c r="Q322" s="436"/>
      <c r="R322" s="81"/>
      <c r="S322" s="81"/>
      <c r="T322" s="80"/>
      <c r="U322" s="80"/>
    </row>
    <row r="323" spans="1:21" ht="12.75" x14ac:dyDescent="0.2">
      <c r="A323" s="440" t="s">
        <v>807</v>
      </c>
      <c r="B323" s="436"/>
      <c r="C323" s="436"/>
      <c r="D323" s="436"/>
      <c r="E323" s="436"/>
      <c r="F323" s="436"/>
      <c r="G323" s="436"/>
      <c r="H323" s="436"/>
      <c r="I323" s="453"/>
      <c r="J323" s="453"/>
      <c r="K323" s="453"/>
      <c r="L323" s="453"/>
      <c r="M323" s="453"/>
      <c r="N323" s="453"/>
      <c r="O323" s="436"/>
      <c r="P323" s="455"/>
      <c r="Q323" s="436"/>
      <c r="R323" s="81"/>
      <c r="S323" s="81"/>
      <c r="T323" s="80"/>
      <c r="U323" s="80"/>
    </row>
    <row r="324" spans="1:21" ht="12.75" x14ac:dyDescent="0.2">
      <c r="A324" s="439" t="s">
        <v>739</v>
      </c>
      <c r="B324" s="436"/>
      <c r="C324" s="896">
        <v>83325</v>
      </c>
      <c r="D324" s="896">
        <v>19329</v>
      </c>
      <c r="E324" s="896">
        <v>174738</v>
      </c>
      <c r="F324" s="896">
        <v>119174</v>
      </c>
      <c r="G324" s="896">
        <v>106710</v>
      </c>
      <c r="H324" s="896">
        <v>103197</v>
      </c>
      <c r="I324" s="896">
        <v>99323</v>
      </c>
      <c r="J324" s="896">
        <v>91155</v>
      </c>
      <c r="K324" s="896">
        <v>99184</v>
      </c>
      <c r="L324" s="896">
        <v>34030</v>
      </c>
      <c r="M324" s="896">
        <v>81807</v>
      </c>
      <c r="N324" s="896">
        <v>207071</v>
      </c>
      <c r="O324" s="448">
        <f>SUM(C324:N324)</f>
        <v>1219043</v>
      </c>
      <c r="P324" s="455"/>
      <c r="Q324" s="436"/>
      <c r="R324" s="81"/>
      <c r="S324" s="81"/>
      <c r="T324" s="80"/>
      <c r="U324" s="80"/>
    </row>
    <row r="325" spans="1:21" ht="12.75" x14ac:dyDescent="0.2">
      <c r="A325" s="439" t="s">
        <v>740</v>
      </c>
      <c r="B325" s="436"/>
      <c r="C325" s="916">
        <v>140962</v>
      </c>
      <c r="D325" s="916">
        <v>10996</v>
      </c>
      <c r="E325" s="916">
        <v>113865</v>
      </c>
      <c r="F325" s="916">
        <v>158167</v>
      </c>
      <c r="G325" s="916">
        <v>93932</v>
      </c>
      <c r="H325" s="916">
        <v>98898</v>
      </c>
      <c r="I325" s="916">
        <v>96578</v>
      </c>
      <c r="J325" s="916">
        <v>104740</v>
      </c>
      <c r="K325" s="916">
        <v>98035</v>
      </c>
      <c r="L325" s="916">
        <v>106664</v>
      </c>
      <c r="M325" s="916">
        <v>101322</v>
      </c>
      <c r="N325" s="916">
        <v>121126</v>
      </c>
      <c r="O325" s="450">
        <f>SUM(C325:N325)</f>
        <v>1245285</v>
      </c>
      <c r="P325" s="455"/>
      <c r="Q325" s="436"/>
      <c r="R325" s="81"/>
      <c r="S325" s="81"/>
      <c r="T325" s="80"/>
      <c r="U325" s="80"/>
    </row>
    <row r="326" spans="1:21" ht="12.75" x14ac:dyDescent="0.2">
      <c r="A326" s="439" t="s">
        <v>741</v>
      </c>
      <c r="B326" s="436"/>
      <c r="C326" s="448">
        <f t="shared" ref="C326:N326" si="32">C324-C325</f>
        <v>-57637</v>
      </c>
      <c r="D326" s="448">
        <f t="shared" si="32"/>
        <v>8333</v>
      </c>
      <c r="E326" s="448">
        <f t="shared" si="32"/>
        <v>60873</v>
      </c>
      <c r="F326" s="448">
        <f t="shared" si="32"/>
        <v>-38993</v>
      </c>
      <c r="G326" s="448">
        <f t="shared" si="32"/>
        <v>12778</v>
      </c>
      <c r="H326" s="448">
        <f t="shared" si="32"/>
        <v>4299</v>
      </c>
      <c r="I326" s="917">
        <f t="shared" si="32"/>
        <v>2745</v>
      </c>
      <c r="J326" s="917">
        <f t="shared" si="32"/>
        <v>-13585</v>
      </c>
      <c r="K326" s="917">
        <f t="shared" si="32"/>
        <v>1149</v>
      </c>
      <c r="L326" s="917">
        <f t="shared" si="32"/>
        <v>-72634</v>
      </c>
      <c r="M326" s="917">
        <f t="shared" si="32"/>
        <v>-19515</v>
      </c>
      <c r="N326" s="917">
        <f t="shared" si="32"/>
        <v>85945</v>
      </c>
      <c r="O326" s="448">
        <f>SUM(C326:N326)</f>
        <v>-26242</v>
      </c>
      <c r="P326" s="455"/>
      <c r="Q326" s="436"/>
      <c r="R326" s="81"/>
      <c r="S326" s="81"/>
      <c r="T326" s="80"/>
      <c r="U326" s="80"/>
    </row>
    <row r="327" spans="1:21" ht="12.75" x14ac:dyDescent="0.2">
      <c r="A327" s="436"/>
      <c r="B327" s="436"/>
      <c r="C327" s="436"/>
      <c r="D327" s="436"/>
      <c r="E327" s="436"/>
      <c r="F327" s="436"/>
      <c r="G327" s="436"/>
      <c r="H327" s="436"/>
      <c r="I327" s="453"/>
      <c r="J327" s="453"/>
      <c r="K327" s="453"/>
      <c r="L327" s="453"/>
      <c r="M327" s="454" t="s">
        <v>742</v>
      </c>
      <c r="N327" s="453"/>
      <c r="O327" s="451">
        <f>(+O326/O325)*100</f>
        <v>-2.1073087686754439</v>
      </c>
      <c r="P327" s="455"/>
      <c r="Q327" s="436"/>
      <c r="R327" s="81"/>
      <c r="S327" s="81"/>
      <c r="T327" s="80"/>
      <c r="U327" s="80"/>
    </row>
    <row r="328" spans="1:21" ht="12.75" x14ac:dyDescent="0.2">
      <c r="A328" s="440" t="s">
        <v>808</v>
      </c>
      <c r="B328" s="436"/>
      <c r="C328" s="436"/>
      <c r="D328" s="436"/>
      <c r="E328" s="436"/>
      <c r="F328" s="436"/>
      <c r="G328" s="436"/>
      <c r="H328" s="436"/>
      <c r="I328" s="453"/>
      <c r="J328" s="453"/>
      <c r="K328" s="453"/>
      <c r="L328" s="453"/>
      <c r="M328" s="453"/>
      <c r="N328" s="453"/>
      <c r="O328" s="436"/>
      <c r="P328" s="455"/>
      <c r="Q328" s="436"/>
      <c r="R328" s="81"/>
      <c r="S328" s="81"/>
      <c r="T328" s="80"/>
      <c r="U328" s="80"/>
    </row>
    <row r="329" spans="1:21" ht="12.75" x14ac:dyDescent="0.2">
      <c r="A329" s="439" t="s">
        <v>739</v>
      </c>
      <c r="B329" s="436"/>
      <c r="C329" s="896">
        <v>246792</v>
      </c>
      <c r="D329" s="896">
        <v>264207</v>
      </c>
      <c r="E329" s="896">
        <v>253868</v>
      </c>
      <c r="F329" s="896">
        <v>261377</v>
      </c>
      <c r="G329" s="896">
        <v>267786</v>
      </c>
      <c r="H329" s="896">
        <v>238302</v>
      </c>
      <c r="I329" s="896">
        <v>192257</v>
      </c>
      <c r="J329" s="896">
        <v>229491</v>
      </c>
      <c r="K329" s="896">
        <v>62939</v>
      </c>
      <c r="L329" s="896">
        <v>247874</v>
      </c>
      <c r="M329" s="896">
        <v>208248</v>
      </c>
      <c r="N329" s="896">
        <v>174980</v>
      </c>
      <c r="O329" s="448">
        <f>SUM(C329:N329)</f>
        <v>2648121</v>
      </c>
      <c r="P329" s="455"/>
      <c r="Q329" s="436"/>
      <c r="R329" s="81"/>
      <c r="S329" s="81"/>
      <c r="T329" s="80"/>
      <c r="U329" s="80"/>
    </row>
    <row r="330" spans="1:21" ht="12.75" x14ac:dyDescent="0.2">
      <c r="A330" s="439" t="s">
        <v>740</v>
      </c>
      <c r="B330" s="436"/>
      <c r="C330" s="916">
        <v>70650</v>
      </c>
      <c r="D330" s="916">
        <v>67775</v>
      </c>
      <c r="E330" s="916">
        <v>109836</v>
      </c>
      <c r="F330" s="916">
        <v>108351</v>
      </c>
      <c r="G330" s="916">
        <v>96857</v>
      </c>
      <c r="H330" s="916">
        <v>81493</v>
      </c>
      <c r="I330" s="916">
        <v>67153</v>
      </c>
      <c r="J330" s="916">
        <v>81324</v>
      </c>
      <c r="K330" s="916">
        <v>66792</v>
      </c>
      <c r="L330" s="916">
        <v>69818</v>
      </c>
      <c r="M330" s="916">
        <v>61639</v>
      </c>
      <c r="N330" s="916">
        <v>60673</v>
      </c>
      <c r="O330" s="450">
        <f>SUM(C330:N330)</f>
        <v>942361</v>
      </c>
      <c r="P330" s="455"/>
      <c r="Q330" s="436"/>
      <c r="R330" s="81"/>
      <c r="S330" s="81"/>
      <c r="T330" s="80"/>
      <c r="U330" s="80"/>
    </row>
    <row r="331" spans="1:21" ht="12.75" x14ac:dyDescent="0.2">
      <c r="A331" s="439" t="s">
        <v>741</v>
      </c>
      <c r="B331" s="436"/>
      <c r="C331" s="448">
        <f t="shared" ref="C331:N331" si="33">C329-C330</f>
        <v>176142</v>
      </c>
      <c r="D331" s="448">
        <f t="shared" si="33"/>
        <v>196432</v>
      </c>
      <c r="E331" s="448">
        <f t="shared" si="33"/>
        <v>144032</v>
      </c>
      <c r="F331" s="448">
        <f t="shared" si="33"/>
        <v>153026</v>
      </c>
      <c r="G331" s="448">
        <f t="shared" si="33"/>
        <v>170929</v>
      </c>
      <c r="H331" s="448">
        <f t="shared" si="33"/>
        <v>156809</v>
      </c>
      <c r="I331" s="917">
        <f t="shared" si="33"/>
        <v>125104</v>
      </c>
      <c r="J331" s="917">
        <f t="shared" si="33"/>
        <v>148167</v>
      </c>
      <c r="K331" s="917">
        <f t="shared" si="33"/>
        <v>-3853</v>
      </c>
      <c r="L331" s="917">
        <f t="shared" si="33"/>
        <v>178056</v>
      </c>
      <c r="M331" s="917">
        <f t="shared" si="33"/>
        <v>146609</v>
      </c>
      <c r="N331" s="917">
        <f t="shared" si="33"/>
        <v>114307</v>
      </c>
      <c r="O331" s="448">
        <f>SUM(C331:N331)</f>
        <v>1705760</v>
      </c>
      <c r="P331" s="455"/>
      <c r="Q331" s="436"/>
      <c r="R331" s="81"/>
      <c r="S331" s="81"/>
      <c r="T331" s="80"/>
      <c r="U331" s="80"/>
    </row>
    <row r="332" spans="1:21" ht="12.75" x14ac:dyDescent="0.2">
      <c r="A332" s="436"/>
      <c r="B332" s="436"/>
      <c r="C332" s="436"/>
      <c r="D332" s="436"/>
      <c r="E332" s="436"/>
      <c r="F332" s="436"/>
      <c r="G332" s="436"/>
      <c r="H332" s="436"/>
      <c r="I332" s="453"/>
      <c r="J332" s="453"/>
      <c r="K332" s="453"/>
      <c r="L332" s="453"/>
      <c r="M332" s="454" t="s">
        <v>742</v>
      </c>
      <c r="N332" s="453"/>
      <c r="O332" s="451">
        <f>(+O331/O330)*100</f>
        <v>181.0091886230436</v>
      </c>
      <c r="P332" s="455"/>
      <c r="Q332" s="436"/>
      <c r="R332" s="81"/>
      <c r="S332" s="81"/>
      <c r="T332" s="80"/>
      <c r="U332" s="80"/>
    </row>
    <row r="333" spans="1:21" ht="12.75" x14ac:dyDescent="0.2">
      <c r="A333" s="440" t="s">
        <v>809</v>
      </c>
      <c r="B333" s="436"/>
      <c r="C333" s="436"/>
      <c r="D333" s="436"/>
      <c r="E333" s="436"/>
      <c r="F333" s="436"/>
      <c r="G333" s="436"/>
      <c r="H333" s="436"/>
      <c r="I333" s="453"/>
      <c r="J333" s="453"/>
      <c r="K333" s="453"/>
      <c r="L333" s="453"/>
      <c r="M333" s="453"/>
      <c r="N333" s="453"/>
      <c r="O333" s="436"/>
      <c r="P333" s="455"/>
      <c r="Q333" s="436"/>
      <c r="R333" s="81"/>
      <c r="S333" s="81"/>
      <c r="T333" s="80"/>
      <c r="U333" s="80"/>
    </row>
    <row r="334" spans="1:21" ht="12.75" x14ac:dyDescent="0.2">
      <c r="A334" s="439" t="s">
        <v>739</v>
      </c>
      <c r="B334" s="436"/>
      <c r="C334" s="896">
        <v>257639</v>
      </c>
      <c r="D334" s="896">
        <v>185087</v>
      </c>
      <c r="E334" s="896">
        <v>224621</v>
      </c>
      <c r="F334" s="896">
        <v>216996</v>
      </c>
      <c r="G334" s="896">
        <v>91246</v>
      </c>
      <c r="H334" s="896">
        <v>235339</v>
      </c>
      <c r="I334" s="896">
        <v>307632</v>
      </c>
      <c r="J334" s="896">
        <v>380976</v>
      </c>
      <c r="K334" s="896">
        <v>-20070</v>
      </c>
      <c r="L334" s="896">
        <v>421115</v>
      </c>
      <c r="M334" s="896">
        <v>-20931</v>
      </c>
      <c r="N334" s="896">
        <v>171439</v>
      </c>
      <c r="O334" s="448">
        <f>SUM(C334:N334)</f>
        <v>2451089</v>
      </c>
      <c r="P334" s="455"/>
      <c r="Q334" s="436"/>
      <c r="R334" s="81"/>
      <c r="S334" s="81"/>
      <c r="T334" s="80"/>
      <c r="U334" s="80"/>
    </row>
    <row r="335" spans="1:21" ht="12.75" x14ac:dyDescent="0.2">
      <c r="A335" s="439" t="s">
        <v>740</v>
      </c>
      <c r="B335" s="436"/>
      <c r="C335" s="916">
        <v>279181</v>
      </c>
      <c r="D335" s="916">
        <v>335772</v>
      </c>
      <c r="E335" s="916">
        <v>272241</v>
      </c>
      <c r="F335" s="916">
        <v>396496</v>
      </c>
      <c r="G335" s="916">
        <v>-17037</v>
      </c>
      <c r="H335" s="916">
        <v>41253</v>
      </c>
      <c r="I335" s="916">
        <v>-246542</v>
      </c>
      <c r="J335" s="916">
        <v>36626</v>
      </c>
      <c r="K335" s="916">
        <v>-206146</v>
      </c>
      <c r="L335" s="916">
        <v>179475</v>
      </c>
      <c r="M335" s="916">
        <v>20556</v>
      </c>
      <c r="N335" s="916">
        <v>89171</v>
      </c>
      <c r="O335" s="450">
        <f>SUM(C335:N335)</f>
        <v>1181046</v>
      </c>
      <c r="P335" s="455"/>
      <c r="Q335" s="436"/>
      <c r="R335" s="81"/>
      <c r="S335" s="81"/>
      <c r="T335" s="80"/>
      <c r="U335" s="80"/>
    </row>
    <row r="336" spans="1:21" ht="12.75" x14ac:dyDescent="0.2">
      <c r="A336" s="439" t="s">
        <v>741</v>
      </c>
      <c r="B336" s="436"/>
      <c r="C336" s="448">
        <f t="shared" ref="C336:N336" si="34">C334-C335</f>
        <v>-21542</v>
      </c>
      <c r="D336" s="448">
        <f t="shared" si="34"/>
        <v>-150685</v>
      </c>
      <c r="E336" s="448">
        <f t="shared" si="34"/>
        <v>-47620</v>
      </c>
      <c r="F336" s="448">
        <f t="shared" si="34"/>
        <v>-179500</v>
      </c>
      <c r="G336" s="448">
        <f t="shared" si="34"/>
        <v>108283</v>
      </c>
      <c r="H336" s="448">
        <f t="shared" si="34"/>
        <v>194086</v>
      </c>
      <c r="I336" s="917">
        <f t="shared" si="34"/>
        <v>554174</v>
      </c>
      <c r="J336" s="917">
        <f t="shared" si="34"/>
        <v>344350</v>
      </c>
      <c r="K336" s="917">
        <f t="shared" si="34"/>
        <v>186076</v>
      </c>
      <c r="L336" s="917">
        <f t="shared" si="34"/>
        <v>241640</v>
      </c>
      <c r="M336" s="917">
        <f t="shared" si="34"/>
        <v>-41487</v>
      </c>
      <c r="N336" s="917">
        <f t="shared" si="34"/>
        <v>82268</v>
      </c>
      <c r="O336" s="448">
        <f>SUM(C336:N336)</f>
        <v>1270043</v>
      </c>
      <c r="P336" s="455"/>
      <c r="Q336" s="436"/>
      <c r="R336" s="81"/>
      <c r="S336" s="81"/>
      <c r="T336" s="80"/>
      <c r="U336" s="80"/>
    </row>
    <row r="337" spans="1:21" ht="12.75" x14ac:dyDescent="0.2">
      <c r="A337" s="436"/>
      <c r="B337" s="436"/>
      <c r="C337" s="436"/>
      <c r="D337" s="436"/>
      <c r="E337" s="436"/>
      <c r="F337" s="436"/>
      <c r="G337" s="436"/>
      <c r="H337" s="436"/>
      <c r="I337" s="453"/>
      <c r="J337" s="453"/>
      <c r="K337" s="453"/>
      <c r="L337" s="453"/>
      <c r="M337" s="454" t="s">
        <v>742</v>
      </c>
      <c r="N337" s="453"/>
      <c r="O337" s="451">
        <f>(+O336/O335)*100</f>
        <v>107.53543892447881</v>
      </c>
      <c r="P337" s="455"/>
      <c r="Q337" s="436"/>
      <c r="R337" s="81"/>
      <c r="S337" s="81"/>
      <c r="T337" s="80"/>
      <c r="U337" s="80"/>
    </row>
    <row r="338" spans="1:21" ht="12.75" x14ac:dyDescent="0.2">
      <c r="A338" s="1429" t="s">
        <v>477</v>
      </c>
      <c r="B338" s="1430"/>
      <c r="C338" s="1430"/>
      <c r="D338" s="1430"/>
      <c r="E338" s="1430"/>
      <c r="F338" s="1430"/>
      <c r="G338" s="1430"/>
      <c r="H338" s="1430"/>
      <c r="I338" s="1430"/>
      <c r="J338" s="1430"/>
      <c r="K338" s="1430"/>
      <c r="L338" s="1430"/>
      <c r="M338" s="1430"/>
      <c r="N338" s="1430"/>
      <c r="O338" s="1430"/>
      <c r="P338" s="455"/>
      <c r="Q338" s="436"/>
      <c r="R338" s="81"/>
      <c r="S338" s="81"/>
      <c r="T338" s="80"/>
      <c r="U338" s="80"/>
    </row>
    <row r="339" spans="1:21" ht="12.75" x14ac:dyDescent="0.2">
      <c r="A339" s="1429" t="str">
        <f>+Input!C4</f>
        <v>CASE NO. 2017-xxxxx</v>
      </c>
      <c r="B339" s="1430"/>
      <c r="C339" s="1430"/>
      <c r="D339" s="1430"/>
      <c r="E339" s="1430"/>
      <c r="F339" s="1430"/>
      <c r="G339" s="1430"/>
      <c r="H339" s="1430"/>
      <c r="I339" s="1430"/>
      <c r="J339" s="1430"/>
      <c r="K339" s="1430"/>
      <c r="L339" s="1430"/>
      <c r="M339" s="1430"/>
      <c r="N339" s="1430"/>
      <c r="O339" s="1430"/>
      <c r="P339" s="455"/>
      <c r="Q339" s="436"/>
      <c r="R339" s="81"/>
      <c r="S339" s="81"/>
      <c r="T339" s="80"/>
      <c r="U339" s="80"/>
    </row>
    <row r="340" spans="1:21" ht="12.75" x14ac:dyDescent="0.2">
      <c r="A340" s="1429" t="s">
        <v>727</v>
      </c>
      <c r="B340" s="1430"/>
      <c r="C340" s="1430"/>
      <c r="D340" s="1430"/>
      <c r="E340" s="1430"/>
      <c r="F340" s="1430"/>
      <c r="G340" s="1430"/>
      <c r="H340" s="1430"/>
      <c r="I340" s="1430"/>
      <c r="J340" s="1430"/>
      <c r="K340" s="1430"/>
      <c r="L340" s="1430"/>
      <c r="M340" s="1430"/>
      <c r="N340" s="1430"/>
      <c r="O340" s="1430"/>
      <c r="P340" s="455"/>
      <c r="Q340" s="436"/>
      <c r="R340" s="81"/>
      <c r="S340" s="81"/>
      <c r="T340" s="80"/>
      <c r="U340" s="80"/>
    </row>
    <row r="341" spans="1:21" ht="12.75" x14ac:dyDescent="0.2">
      <c r="A341" s="1429" t="str">
        <f>+Input!C23</f>
        <v>FOR THE HISTORIC PERIOD 12 MONTHS ENDED DECEMBER 31, 2017 AND PRIOR PERIOD DECEMBER 31, 2016</v>
      </c>
      <c r="B341" s="1430"/>
      <c r="C341" s="1430"/>
      <c r="D341" s="1430"/>
      <c r="E341" s="1430"/>
      <c r="F341" s="1430"/>
      <c r="G341" s="1430"/>
      <c r="H341" s="1430"/>
      <c r="I341" s="1430"/>
      <c r="J341" s="1430"/>
      <c r="K341" s="1430"/>
      <c r="L341" s="1430"/>
      <c r="M341" s="1430"/>
      <c r="N341" s="1430"/>
      <c r="O341" s="1430"/>
      <c r="P341" s="455"/>
      <c r="Q341" s="436"/>
      <c r="R341" s="81"/>
      <c r="S341" s="81"/>
      <c r="T341" s="80"/>
      <c r="U341" s="80"/>
    </row>
    <row r="342" spans="1:21" ht="12.75" x14ac:dyDescent="0.2">
      <c r="A342" s="436"/>
      <c r="B342" s="436"/>
      <c r="C342" s="437"/>
      <c r="D342" s="436"/>
      <c r="E342" s="436"/>
      <c r="F342" s="436"/>
      <c r="G342" s="438"/>
      <c r="H342" s="436"/>
      <c r="I342" s="453"/>
      <c r="J342" s="453"/>
      <c r="K342" s="453"/>
      <c r="L342" s="453"/>
      <c r="M342" s="453"/>
      <c r="N342" s="453"/>
      <c r="O342" s="436"/>
      <c r="P342" s="455"/>
      <c r="Q342" s="436"/>
      <c r="R342" s="81"/>
      <c r="S342" s="81"/>
      <c r="T342" s="80"/>
      <c r="U342" s="80"/>
    </row>
    <row r="343" spans="1:21" ht="12.75" x14ac:dyDescent="0.2">
      <c r="A343" s="439" t="s">
        <v>839</v>
      </c>
      <c r="B343" s="436"/>
      <c r="C343" s="436"/>
      <c r="D343" s="436"/>
      <c r="E343" s="436"/>
      <c r="F343" s="436"/>
      <c r="G343" s="436"/>
      <c r="H343" s="436"/>
      <c r="I343" s="453"/>
      <c r="J343" s="453"/>
      <c r="K343" s="453"/>
      <c r="L343" s="453"/>
      <c r="M343" s="927"/>
      <c r="N343" s="453"/>
      <c r="O343" s="813" t="s">
        <v>752</v>
      </c>
      <c r="P343" s="455"/>
      <c r="Q343" s="436"/>
      <c r="R343" s="81"/>
      <c r="S343" s="81"/>
      <c r="T343" s="80"/>
      <c r="U343" s="80"/>
    </row>
    <row r="344" spans="1:21" ht="12.75" x14ac:dyDescent="0.2">
      <c r="A344" s="439" t="s">
        <v>490</v>
      </c>
      <c r="B344" s="436"/>
      <c r="C344" s="436"/>
      <c r="D344" s="436"/>
      <c r="E344" s="436"/>
      <c r="F344" s="436"/>
      <c r="G344" s="436"/>
      <c r="H344" s="436"/>
      <c r="I344" s="453"/>
      <c r="J344" s="453"/>
      <c r="K344" s="453"/>
      <c r="L344" s="453"/>
      <c r="M344" s="927"/>
      <c r="N344" s="453"/>
      <c r="O344" s="813" t="s">
        <v>1724</v>
      </c>
      <c r="P344" s="455"/>
      <c r="Q344" s="436"/>
      <c r="R344" s="81"/>
      <c r="S344" s="81"/>
      <c r="T344" s="80"/>
      <c r="U344" s="80"/>
    </row>
    <row r="345" spans="1:21" ht="12.75" x14ac:dyDescent="0.2">
      <c r="A345" s="441" t="s">
        <v>840</v>
      </c>
      <c r="B345" s="442"/>
      <c r="C345" s="442"/>
      <c r="D345" s="442"/>
      <c r="E345" s="442"/>
      <c r="F345" s="442"/>
      <c r="G345" s="442"/>
      <c r="H345" s="442"/>
      <c r="I345" s="918"/>
      <c r="J345" s="918"/>
      <c r="K345" s="918"/>
      <c r="L345" s="918"/>
      <c r="M345" s="928"/>
      <c r="N345" s="931"/>
      <c r="O345" s="814" t="str">
        <f>+Input!E27</f>
        <v>WITNESS:  C. Y. LAI</v>
      </c>
      <c r="P345" s="455"/>
      <c r="Q345" s="436"/>
      <c r="R345" s="81"/>
      <c r="S345" s="81"/>
      <c r="T345" s="80"/>
      <c r="U345" s="80"/>
    </row>
    <row r="346" spans="1:21" ht="12.75" x14ac:dyDescent="0.2">
      <c r="A346" s="1431" t="s">
        <v>728</v>
      </c>
      <c r="B346" s="1431"/>
      <c r="C346" s="437"/>
      <c r="D346" s="436"/>
      <c r="E346" s="436"/>
      <c r="F346" s="436"/>
      <c r="G346" s="436"/>
      <c r="H346" s="436"/>
      <c r="I346" s="453"/>
      <c r="J346" s="453"/>
      <c r="K346" s="453"/>
      <c r="L346" s="453"/>
      <c r="M346" s="453"/>
      <c r="N346" s="453"/>
      <c r="O346" s="436"/>
      <c r="P346" s="455"/>
      <c r="Q346" s="436"/>
      <c r="R346" s="81"/>
      <c r="S346" s="81"/>
      <c r="T346" s="80"/>
      <c r="U346" s="80"/>
    </row>
    <row r="347" spans="1:21" ht="12.75" x14ac:dyDescent="0.2">
      <c r="A347" s="1432" t="s">
        <v>729</v>
      </c>
      <c r="B347" s="1432"/>
      <c r="C347" s="443" t="s">
        <v>1011</v>
      </c>
      <c r="D347" s="443" t="s">
        <v>731</v>
      </c>
      <c r="E347" s="443" t="s">
        <v>732</v>
      </c>
      <c r="F347" s="443" t="s">
        <v>733</v>
      </c>
      <c r="G347" s="443" t="s">
        <v>734</v>
      </c>
      <c r="H347" s="443" t="s">
        <v>735</v>
      </c>
      <c r="I347" s="919" t="s">
        <v>736</v>
      </c>
      <c r="J347" s="919" t="s">
        <v>737</v>
      </c>
      <c r="K347" s="925" t="s">
        <v>1012</v>
      </c>
      <c r="L347" s="919" t="s">
        <v>1013</v>
      </c>
      <c r="M347" s="919" t="s">
        <v>730</v>
      </c>
      <c r="N347" s="919" t="s">
        <v>1014</v>
      </c>
      <c r="O347" s="444" t="s">
        <v>525</v>
      </c>
      <c r="P347" s="455"/>
      <c r="Q347" s="436"/>
      <c r="R347" s="81"/>
      <c r="S347" s="81"/>
      <c r="T347" s="80"/>
      <c r="U347" s="80"/>
    </row>
    <row r="348" spans="1:21" ht="12.75" x14ac:dyDescent="0.2">
      <c r="A348" s="436"/>
      <c r="B348" s="436"/>
      <c r="C348" s="445" t="s">
        <v>500</v>
      </c>
      <c r="D348" s="445" t="s">
        <v>500</v>
      </c>
      <c r="E348" s="445" t="s">
        <v>500</v>
      </c>
      <c r="F348" s="445" t="s">
        <v>500</v>
      </c>
      <c r="G348" s="445" t="s">
        <v>500</v>
      </c>
      <c r="H348" s="445" t="s">
        <v>500</v>
      </c>
      <c r="I348" s="910" t="s">
        <v>500</v>
      </c>
      <c r="J348" s="910" t="s">
        <v>500</v>
      </c>
      <c r="K348" s="910" t="s">
        <v>500</v>
      </c>
      <c r="L348" s="910" t="s">
        <v>500</v>
      </c>
      <c r="M348" s="910" t="s">
        <v>500</v>
      </c>
      <c r="N348" s="910" t="s">
        <v>500</v>
      </c>
      <c r="O348" s="445" t="s">
        <v>500</v>
      </c>
      <c r="P348" s="455"/>
      <c r="Q348" s="436"/>
      <c r="R348" s="81"/>
      <c r="S348" s="81"/>
      <c r="T348" s="80"/>
      <c r="U348" s="80"/>
    </row>
    <row r="349" spans="1:21" ht="12.75" x14ac:dyDescent="0.2">
      <c r="A349" s="440" t="s">
        <v>810</v>
      </c>
      <c r="B349" s="436"/>
      <c r="C349" s="436"/>
      <c r="D349" s="436"/>
      <c r="E349" s="436"/>
      <c r="F349" s="436"/>
      <c r="G349" s="456"/>
      <c r="H349" s="436"/>
      <c r="I349" s="453"/>
      <c r="J349" s="453"/>
      <c r="K349" s="453"/>
      <c r="L349" s="453"/>
      <c r="M349" s="453"/>
      <c r="N349" s="453"/>
      <c r="O349" s="436"/>
      <c r="P349" s="455"/>
      <c r="Q349" s="436"/>
      <c r="R349" s="81"/>
      <c r="S349" s="81"/>
      <c r="T349" s="80"/>
      <c r="U349" s="80"/>
    </row>
    <row r="350" spans="1:21" ht="12.75" x14ac:dyDescent="0.2">
      <c r="A350" s="439" t="s">
        <v>739</v>
      </c>
      <c r="B350" s="436"/>
      <c r="C350" s="896">
        <v>142</v>
      </c>
      <c r="D350" s="896">
        <v>327</v>
      </c>
      <c r="E350" s="896">
        <v>152</v>
      </c>
      <c r="F350" s="896">
        <v>241</v>
      </c>
      <c r="G350" s="896">
        <v>126</v>
      </c>
      <c r="H350" s="896">
        <v>126</v>
      </c>
      <c r="I350" s="896">
        <v>127</v>
      </c>
      <c r="J350" s="896">
        <v>228</v>
      </c>
      <c r="K350" s="896">
        <v>205</v>
      </c>
      <c r="L350" s="896">
        <v>96</v>
      </c>
      <c r="M350" s="896">
        <v>85</v>
      </c>
      <c r="N350" s="896">
        <v>53</v>
      </c>
      <c r="O350" s="448">
        <f>SUM(C350:N350)</f>
        <v>1908</v>
      </c>
      <c r="P350" s="455"/>
      <c r="Q350" s="436"/>
      <c r="R350" s="81"/>
      <c r="S350" s="81"/>
      <c r="T350" s="80"/>
      <c r="U350" s="80"/>
    </row>
    <row r="351" spans="1:21" ht="12.75" x14ac:dyDescent="0.2">
      <c r="A351" s="439" t="s">
        <v>740</v>
      </c>
      <c r="B351" s="436"/>
      <c r="C351" s="916">
        <v>67</v>
      </c>
      <c r="D351" s="916">
        <v>30</v>
      </c>
      <c r="E351" s="916">
        <v>45</v>
      </c>
      <c r="F351" s="916">
        <v>13</v>
      </c>
      <c r="G351" s="916">
        <v>39</v>
      </c>
      <c r="H351" s="916">
        <v>64</v>
      </c>
      <c r="I351" s="916">
        <v>45</v>
      </c>
      <c r="J351" s="916">
        <v>70</v>
      </c>
      <c r="K351" s="916">
        <v>69</v>
      </c>
      <c r="L351" s="916">
        <v>272</v>
      </c>
      <c r="M351" s="916">
        <v>63</v>
      </c>
      <c r="N351" s="916">
        <v>49</v>
      </c>
      <c r="O351" s="450">
        <f>SUM(C351:N351)</f>
        <v>826</v>
      </c>
      <c r="P351" s="455"/>
      <c r="Q351" s="436"/>
      <c r="R351" s="81"/>
      <c r="S351" s="81"/>
      <c r="T351" s="80"/>
      <c r="U351" s="80"/>
    </row>
    <row r="352" spans="1:21" ht="12.75" x14ac:dyDescent="0.2">
      <c r="A352" s="439" t="s">
        <v>741</v>
      </c>
      <c r="B352" s="436"/>
      <c r="C352" s="448">
        <f t="shared" ref="C352:N352" si="35">C350-C351</f>
        <v>75</v>
      </c>
      <c r="D352" s="448">
        <f t="shared" si="35"/>
        <v>297</v>
      </c>
      <c r="E352" s="448">
        <f t="shared" si="35"/>
        <v>107</v>
      </c>
      <c r="F352" s="448">
        <f t="shared" si="35"/>
        <v>228</v>
      </c>
      <c r="G352" s="917">
        <f t="shared" si="35"/>
        <v>87</v>
      </c>
      <c r="H352" s="448">
        <f t="shared" si="35"/>
        <v>62</v>
      </c>
      <c r="I352" s="917">
        <f t="shared" si="35"/>
        <v>82</v>
      </c>
      <c r="J352" s="917">
        <f t="shared" si="35"/>
        <v>158</v>
      </c>
      <c r="K352" s="917">
        <f t="shared" si="35"/>
        <v>136</v>
      </c>
      <c r="L352" s="917">
        <f t="shared" si="35"/>
        <v>-176</v>
      </c>
      <c r="M352" s="917">
        <f t="shared" si="35"/>
        <v>22</v>
      </c>
      <c r="N352" s="917">
        <f t="shared" si="35"/>
        <v>4</v>
      </c>
      <c r="O352" s="448">
        <f>SUM(C352:N352)</f>
        <v>1082</v>
      </c>
      <c r="P352" s="455"/>
      <c r="Q352" s="436"/>
      <c r="R352" s="81"/>
      <c r="S352" s="81"/>
      <c r="T352" s="80"/>
      <c r="U352" s="80"/>
    </row>
    <row r="353" spans="1:21" ht="12.75" x14ac:dyDescent="0.2">
      <c r="A353" s="436"/>
      <c r="B353" s="436"/>
      <c r="C353" s="436"/>
      <c r="D353" s="452"/>
      <c r="E353" s="453"/>
      <c r="F353" s="453"/>
      <c r="G353" s="453"/>
      <c r="H353" s="436"/>
      <c r="I353" s="453"/>
      <c r="J353" s="453"/>
      <c r="K353" s="453"/>
      <c r="L353" s="453"/>
      <c r="M353" s="454" t="s">
        <v>742</v>
      </c>
      <c r="N353" s="453"/>
      <c r="O353" s="451">
        <f>(+O352/O351)*100</f>
        <v>130.99273607748182</v>
      </c>
      <c r="P353" s="455"/>
      <c r="Q353" s="436"/>
      <c r="R353" s="81"/>
      <c r="S353" s="81"/>
      <c r="T353" s="80"/>
      <c r="U353" s="80"/>
    </row>
    <row r="354" spans="1:21" ht="12.75" x14ac:dyDescent="0.2">
      <c r="A354" s="440" t="s">
        <v>811</v>
      </c>
      <c r="B354" s="436"/>
      <c r="C354" s="436"/>
      <c r="D354" s="436"/>
      <c r="E354" s="436"/>
      <c r="F354" s="436"/>
      <c r="G354" s="436"/>
      <c r="H354" s="436"/>
      <c r="I354" s="453"/>
      <c r="J354" s="453"/>
      <c r="K354" s="453"/>
      <c r="L354" s="453"/>
      <c r="M354" s="453"/>
      <c r="N354" s="453"/>
      <c r="O354" s="436"/>
      <c r="P354" s="455"/>
      <c r="Q354" s="436"/>
      <c r="R354" s="81"/>
      <c r="S354" s="81"/>
      <c r="T354" s="80"/>
      <c r="U354" s="80"/>
    </row>
    <row r="355" spans="1:21" ht="12.75" x14ac:dyDescent="0.2">
      <c r="A355" s="439" t="s">
        <v>739</v>
      </c>
      <c r="B355" s="436"/>
      <c r="C355" s="896">
        <v>15933</v>
      </c>
      <c r="D355" s="896">
        <v>983</v>
      </c>
      <c r="E355" s="896">
        <v>951</v>
      </c>
      <c r="F355" s="896">
        <v>1281</v>
      </c>
      <c r="G355" s="896">
        <v>953</v>
      </c>
      <c r="H355" s="896">
        <v>1023</v>
      </c>
      <c r="I355" s="896">
        <v>907</v>
      </c>
      <c r="J355" s="896">
        <v>2781</v>
      </c>
      <c r="K355" s="896">
        <v>1704</v>
      </c>
      <c r="L355" s="896">
        <v>1153</v>
      </c>
      <c r="M355" s="896">
        <v>1012</v>
      </c>
      <c r="N355" s="896">
        <v>1646</v>
      </c>
      <c r="O355" s="448">
        <f>SUM(C355:N355)</f>
        <v>30327</v>
      </c>
      <c r="P355" s="455"/>
      <c r="Q355" s="436"/>
      <c r="R355" s="81"/>
      <c r="S355" s="81"/>
      <c r="T355" s="80"/>
      <c r="U355" s="80"/>
    </row>
    <row r="356" spans="1:21" ht="12.75" x14ac:dyDescent="0.2">
      <c r="A356" s="439" t="s">
        <v>740</v>
      </c>
      <c r="B356" s="436"/>
      <c r="C356" s="916">
        <v>15724</v>
      </c>
      <c r="D356" s="916">
        <v>962</v>
      </c>
      <c r="E356" s="916">
        <v>1276</v>
      </c>
      <c r="F356" s="916">
        <v>1190</v>
      </c>
      <c r="G356" s="916">
        <v>877</v>
      </c>
      <c r="H356" s="916">
        <v>5897</v>
      </c>
      <c r="I356" s="916">
        <v>1234</v>
      </c>
      <c r="J356" s="916">
        <v>878</v>
      </c>
      <c r="K356" s="916">
        <v>606</v>
      </c>
      <c r="L356" s="916">
        <v>1278</v>
      </c>
      <c r="M356" s="916">
        <v>795</v>
      </c>
      <c r="N356" s="916">
        <v>8361</v>
      </c>
      <c r="O356" s="450">
        <f>SUM(C356:N356)</f>
        <v>39078</v>
      </c>
      <c r="P356" s="455"/>
      <c r="Q356" s="436"/>
      <c r="R356" s="81"/>
      <c r="S356" s="81"/>
      <c r="T356" s="80"/>
      <c r="U356" s="80"/>
    </row>
    <row r="357" spans="1:21" ht="12.75" x14ac:dyDescent="0.2">
      <c r="A357" s="439" t="s">
        <v>741</v>
      </c>
      <c r="B357" s="436"/>
      <c r="C357" s="448">
        <f t="shared" ref="C357:N357" si="36">C355-C356</f>
        <v>209</v>
      </c>
      <c r="D357" s="448">
        <f t="shared" si="36"/>
        <v>21</v>
      </c>
      <c r="E357" s="448">
        <f t="shared" si="36"/>
        <v>-325</v>
      </c>
      <c r="F357" s="448">
        <f t="shared" si="36"/>
        <v>91</v>
      </c>
      <c r="G357" s="448">
        <f t="shared" si="36"/>
        <v>76</v>
      </c>
      <c r="H357" s="448">
        <f t="shared" si="36"/>
        <v>-4874</v>
      </c>
      <c r="I357" s="917">
        <f t="shared" si="36"/>
        <v>-327</v>
      </c>
      <c r="J357" s="917">
        <f t="shared" si="36"/>
        <v>1903</v>
      </c>
      <c r="K357" s="917">
        <f t="shared" si="36"/>
        <v>1098</v>
      </c>
      <c r="L357" s="917">
        <f t="shared" si="36"/>
        <v>-125</v>
      </c>
      <c r="M357" s="917">
        <f t="shared" si="36"/>
        <v>217</v>
      </c>
      <c r="N357" s="917">
        <f t="shared" si="36"/>
        <v>-6715</v>
      </c>
      <c r="O357" s="448">
        <f>SUM(C357:N357)</f>
        <v>-8751</v>
      </c>
      <c r="P357" s="455"/>
      <c r="Q357" s="436"/>
      <c r="R357" s="81"/>
      <c r="S357" s="81"/>
      <c r="T357" s="80"/>
      <c r="U357" s="80"/>
    </row>
    <row r="358" spans="1:21" ht="12.75" x14ac:dyDescent="0.2">
      <c r="A358" s="436"/>
      <c r="B358" s="436"/>
      <c r="C358" s="436"/>
      <c r="D358" s="436"/>
      <c r="E358" s="436"/>
      <c r="F358" s="436"/>
      <c r="G358" s="436"/>
      <c r="H358" s="436"/>
      <c r="I358" s="453"/>
      <c r="J358" s="453"/>
      <c r="K358" s="453"/>
      <c r="L358" s="453"/>
      <c r="M358" s="454" t="s">
        <v>742</v>
      </c>
      <c r="N358" s="453"/>
      <c r="O358" s="451">
        <f>(+O357/O356)*100</f>
        <v>-22.393674190081374</v>
      </c>
      <c r="P358" s="455"/>
      <c r="Q358" s="436"/>
      <c r="R358" s="81"/>
      <c r="S358" s="81"/>
      <c r="T358" s="80"/>
      <c r="U358" s="80"/>
    </row>
    <row r="359" spans="1:21" ht="12.75" x14ac:dyDescent="0.2">
      <c r="A359" s="440" t="s">
        <v>812</v>
      </c>
      <c r="B359" s="436"/>
      <c r="C359" s="436"/>
      <c r="D359" s="436"/>
      <c r="E359" s="436"/>
      <c r="F359" s="436"/>
      <c r="G359" s="436"/>
      <c r="H359" s="436"/>
      <c r="I359" s="453"/>
      <c r="J359" s="453"/>
      <c r="K359" s="453"/>
      <c r="L359" s="453"/>
      <c r="M359" s="453"/>
      <c r="N359" s="453"/>
      <c r="O359" s="436"/>
      <c r="P359" s="455"/>
      <c r="Q359" s="436"/>
      <c r="R359" s="81"/>
      <c r="S359" s="81"/>
      <c r="T359" s="80"/>
      <c r="U359" s="80"/>
    </row>
    <row r="360" spans="1:21" ht="12.75" x14ac:dyDescent="0.2">
      <c r="A360" s="439" t="s">
        <v>739</v>
      </c>
      <c r="B360" s="436"/>
      <c r="C360" s="896">
        <v>15003</v>
      </c>
      <c r="D360" s="896">
        <v>2513</v>
      </c>
      <c r="E360" s="896">
        <v>20004</v>
      </c>
      <c r="F360" s="896">
        <v>2719</v>
      </c>
      <c r="G360" s="896">
        <v>6296</v>
      </c>
      <c r="H360" s="896">
        <v>19104</v>
      </c>
      <c r="I360" s="896">
        <v>1852</v>
      </c>
      <c r="J360" s="896">
        <v>25448</v>
      </c>
      <c r="K360" s="896">
        <v>1452</v>
      </c>
      <c r="L360" s="896">
        <v>5087</v>
      </c>
      <c r="M360" s="896">
        <v>20675</v>
      </c>
      <c r="N360" s="896">
        <v>28410</v>
      </c>
      <c r="O360" s="448">
        <f>SUM(C360:N360)</f>
        <v>148563</v>
      </c>
      <c r="P360" s="455"/>
      <c r="Q360" s="436"/>
      <c r="R360" s="81"/>
      <c r="S360" s="81"/>
      <c r="T360" s="80"/>
      <c r="U360" s="80"/>
    </row>
    <row r="361" spans="1:21" ht="12.75" x14ac:dyDescent="0.2">
      <c r="A361" s="439" t="s">
        <v>740</v>
      </c>
      <c r="B361" s="436"/>
      <c r="C361" s="916">
        <v>2478</v>
      </c>
      <c r="D361" s="916">
        <v>29270</v>
      </c>
      <c r="E361" s="916">
        <v>8736</v>
      </c>
      <c r="F361" s="916">
        <v>10288</v>
      </c>
      <c r="G361" s="916">
        <v>12614</v>
      </c>
      <c r="H361" s="916">
        <v>8172</v>
      </c>
      <c r="I361" s="916">
        <v>13401</v>
      </c>
      <c r="J361" s="916">
        <v>7483</v>
      </c>
      <c r="K361" s="916">
        <v>11448</v>
      </c>
      <c r="L361" s="916">
        <v>6604</v>
      </c>
      <c r="M361" s="916">
        <v>21698</v>
      </c>
      <c r="N361" s="916">
        <v>26173</v>
      </c>
      <c r="O361" s="450">
        <f>SUM(C361:N361)</f>
        <v>158365</v>
      </c>
      <c r="P361" s="455"/>
      <c r="Q361" s="436"/>
      <c r="R361" s="81"/>
      <c r="S361" s="81"/>
      <c r="T361" s="80"/>
      <c r="U361" s="80"/>
    </row>
    <row r="362" spans="1:21" ht="12.75" x14ac:dyDescent="0.2">
      <c r="A362" s="439" t="s">
        <v>741</v>
      </c>
      <c r="B362" s="436"/>
      <c r="C362" s="448">
        <f t="shared" ref="C362:N362" si="37">C360-C361</f>
        <v>12525</v>
      </c>
      <c r="D362" s="448">
        <f t="shared" si="37"/>
        <v>-26757</v>
      </c>
      <c r="E362" s="448">
        <f t="shared" si="37"/>
        <v>11268</v>
      </c>
      <c r="F362" s="448">
        <f t="shared" si="37"/>
        <v>-7569</v>
      </c>
      <c r="G362" s="448">
        <f t="shared" si="37"/>
        <v>-6318</v>
      </c>
      <c r="H362" s="448">
        <f t="shared" si="37"/>
        <v>10932</v>
      </c>
      <c r="I362" s="917">
        <f t="shared" si="37"/>
        <v>-11549</v>
      </c>
      <c r="J362" s="917">
        <f t="shared" si="37"/>
        <v>17965</v>
      </c>
      <c r="K362" s="917">
        <f t="shared" si="37"/>
        <v>-9996</v>
      </c>
      <c r="L362" s="917">
        <f t="shared" si="37"/>
        <v>-1517</v>
      </c>
      <c r="M362" s="917">
        <f t="shared" si="37"/>
        <v>-1023</v>
      </c>
      <c r="N362" s="917">
        <f t="shared" si="37"/>
        <v>2237</v>
      </c>
      <c r="O362" s="448">
        <f>SUM(C362:N362)</f>
        <v>-9802</v>
      </c>
      <c r="P362" s="455"/>
      <c r="Q362" s="436"/>
      <c r="R362" s="81"/>
      <c r="S362" s="81"/>
      <c r="T362" s="80"/>
      <c r="U362" s="80"/>
    </row>
    <row r="363" spans="1:21" ht="12.75" x14ac:dyDescent="0.2">
      <c r="A363" s="436"/>
      <c r="B363" s="436"/>
      <c r="C363" s="436"/>
      <c r="D363" s="436"/>
      <c r="E363" s="436"/>
      <c r="F363" s="436"/>
      <c r="G363" s="436"/>
      <c r="H363" s="436"/>
      <c r="I363" s="453"/>
      <c r="J363" s="453"/>
      <c r="K363" s="453"/>
      <c r="L363" s="453"/>
      <c r="M363" s="454" t="s">
        <v>742</v>
      </c>
      <c r="N363" s="453"/>
      <c r="O363" s="451">
        <f>(+O362/O361)*100</f>
        <v>-6.1894989423168001</v>
      </c>
      <c r="P363" s="455"/>
      <c r="Q363" s="436"/>
      <c r="R363" s="81"/>
      <c r="S363" s="81"/>
      <c r="T363" s="80"/>
      <c r="U363" s="80"/>
    </row>
    <row r="364" spans="1:21" ht="12.75" x14ac:dyDescent="0.2">
      <c r="A364" s="440" t="s">
        <v>813</v>
      </c>
      <c r="B364" s="436"/>
      <c r="C364" s="436"/>
      <c r="D364" s="436"/>
      <c r="E364" s="436"/>
      <c r="F364" s="436"/>
      <c r="G364" s="436"/>
      <c r="H364" s="436"/>
      <c r="I364" s="453"/>
      <c r="J364" s="453"/>
      <c r="K364" s="453"/>
      <c r="L364" s="453"/>
      <c r="M364" s="453"/>
      <c r="N364" s="453"/>
      <c r="O364" s="436"/>
      <c r="P364" s="455"/>
      <c r="Q364" s="436"/>
      <c r="R364" s="81"/>
      <c r="S364" s="81"/>
      <c r="T364" s="80"/>
      <c r="U364" s="80"/>
    </row>
    <row r="365" spans="1:21" ht="12.75" x14ac:dyDescent="0.2">
      <c r="A365" s="439" t="s">
        <v>739</v>
      </c>
      <c r="B365" s="436"/>
      <c r="C365" s="896">
        <v>0</v>
      </c>
      <c r="D365" s="896">
        <v>0</v>
      </c>
      <c r="E365" s="896">
        <v>0</v>
      </c>
      <c r="F365" s="896">
        <v>0</v>
      </c>
      <c r="G365" s="896">
        <v>0</v>
      </c>
      <c r="H365" s="896">
        <v>6973</v>
      </c>
      <c r="I365" s="896">
        <v>19886</v>
      </c>
      <c r="J365" s="896">
        <v>9074</v>
      </c>
      <c r="K365" s="896">
        <v>0</v>
      </c>
      <c r="L365" s="896">
        <v>0</v>
      </c>
      <c r="M365" s="896">
        <v>4552</v>
      </c>
      <c r="N365" s="896">
        <v>15224</v>
      </c>
      <c r="O365" s="448">
        <f>SUM(C365:N365)</f>
        <v>55709</v>
      </c>
      <c r="P365" s="455"/>
      <c r="Q365" s="436"/>
      <c r="R365" s="81"/>
      <c r="S365" s="81"/>
      <c r="T365" s="80"/>
      <c r="U365" s="80"/>
    </row>
    <row r="366" spans="1:21" ht="12.75" x14ac:dyDescent="0.2">
      <c r="A366" s="439" t="s">
        <v>740</v>
      </c>
      <c r="B366" s="436"/>
      <c r="C366" s="916">
        <v>0</v>
      </c>
      <c r="D366" s="916">
        <v>0</v>
      </c>
      <c r="E366" s="916">
        <v>0</v>
      </c>
      <c r="F366" s="916">
        <v>0</v>
      </c>
      <c r="G366" s="916">
        <v>0</v>
      </c>
      <c r="H366" s="916">
        <v>0</v>
      </c>
      <c r="I366" s="916">
        <v>0</v>
      </c>
      <c r="J366" s="916">
        <v>0</v>
      </c>
      <c r="K366" s="916">
        <v>0</v>
      </c>
      <c r="L366" s="916">
        <v>0</v>
      </c>
      <c r="M366" s="916">
        <v>0</v>
      </c>
      <c r="N366" s="916">
        <v>0</v>
      </c>
      <c r="O366" s="450">
        <f>SUM(C366:N366)</f>
        <v>0</v>
      </c>
      <c r="P366" s="455"/>
      <c r="Q366" s="436"/>
      <c r="R366" s="81"/>
      <c r="S366" s="81"/>
      <c r="T366" s="80"/>
      <c r="U366" s="80"/>
    </row>
    <row r="367" spans="1:21" ht="12.75" x14ac:dyDescent="0.2">
      <c r="A367" s="439" t="s">
        <v>741</v>
      </c>
      <c r="B367" s="436"/>
      <c r="C367" s="448">
        <f t="shared" ref="C367:O367" si="38">C365-C366</f>
        <v>0</v>
      </c>
      <c r="D367" s="448">
        <f t="shared" si="38"/>
        <v>0</v>
      </c>
      <c r="E367" s="448">
        <f t="shared" si="38"/>
        <v>0</v>
      </c>
      <c r="F367" s="448">
        <f t="shared" si="38"/>
        <v>0</v>
      </c>
      <c r="G367" s="448">
        <f t="shared" si="38"/>
        <v>0</v>
      </c>
      <c r="H367" s="448">
        <f t="shared" si="38"/>
        <v>6973</v>
      </c>
      <c r="I367" s="917">
        <f t="shared" si="38"/>
        <v>19886</v>
      </c>
      <c r="J367" s="917">
        <f t="shared" si="38"/>
        <v>9074</v>
      </c>
      <c r="K367" s="917">
        <f t="shared" si="38"/>
        <v>0</v>
      </c>
      <c r="L367" s="917">
        <f t="shared" si="38"/>
        <v>0</v>
      </c>
      <c r="M367" s="917">
        <f t="shared" si="38"/>
        <v>4552</v>
      </c>
      <c r="N367" s="917">
        <f t="shared" si="38"/>
        <v>15224</v>
      </c>
      <c r="O367" s="448">
        <f t="shared" si="38"/>
        <v>55709</v>
      </c>
      <c r="P367" s="455"/>
      <c r="Q367" s="436"/>
      <c r="R367" s="81"/>
      <c r="S367" s="81"/>
      <c r="T367" s="80"/>
      <c r="U367" s="80"/>
    </row>
    <row r="368" spans="1:21" ht="12.75" x14ac:dyDescent="0.2">
      <c r="A368" s="436"/>
      <c r="B368" s="436"/>
      <c r="C368" s="436"/>
      <c r="D368" s="436"/>
      <c r="E368" s="436"/>
      <c r="F368" s="436"/>
      <c r="G368" s="436"/>
      <c r="H368" s="436"/>
      <c r="I368" s="453"/>
      <c r="J368" s="453"/>
      <c r="K368" s="453"/>
      <c r="L368" s="453"/>
      <c r="M368" s="454" t="s">
        <v>742</v>
      </c>
      <c r="N368" s="453"/>
      <c r="O368" s="451">
        <v>0</v>
      </c>
      <c r="P368" s="455"/>
      <c r="Q368" s="436"/>
      <c r="R368" s="81"/>
      <c r="S368" s="81"/>
      <c r="T368" s="80"/>
      <c r="U368" s="80"/>
    </row>
    <row r="369" spans="1:21" ht="12.75" x14ac:dyDescent="0.2">
      <c r="A369" s="440" t="s">
        <v>814</v>
      </c>
      <c r="B369" s="436"/>
      <c r="C369" s="436"/>
      <c r="D369" s="436"/>
      <c r="E369" s="436"/>
      <c r="F369" s="453"/>
      <c r="G369" s="437"/>
      <c r="H369" s="436"/>
      <c r="I369" s="453"/>
      <c r="J369" s="453"/>
      <c r="K369" s="453"/>
      <c r="L369" s="453"/>
      <c r="M369" s="453"/>
      <c r="N369" s="453"/>
      <c r="O369" s="436"/>
      <c r="P369" s="455"/>
      <c r="Q369" s="436"/>
      <c r="R369" s="81"/>
      <c r="S369" s="81"/>
      <c r="T369" s="80"/>
      <c r="U369" s="80"/>
    </row>
    <row r="370" spans="1:21" ht="12.75" x14ac:dyDescent="0.2">
      <c r="A370" s="439" t="s">
        <v>739</v>
      </c>
      <c r="B370" s="436"/>
      <c r="C370" s="896">
        <v>50969</v>
      </c>
      <c r="D370" s="896">
        <v>39549</v>
      </c>
      <c r="E370" s="896">
        <v>34692</v>
      </c>
      <c r="F370" s="896">
        <v>38045</v>
      </c>
      <c r="G370" s="896">
        <v>33451</v>
      </c>
      <c r="H370" s="896">
        <v>33022</v>
      </c>
      <c r="I370" s="896">
        <v>35759</v>
      </c>
      <c r="J370" s="896">
        <v>65244</v>
      </c>
      <c r="K370" s="896">
        <v>30895</v>
      </c>
      <c r="L370" s="896">
        <v>53049</v>
      </c>
      <c r="M370" s="896">
        <v>38136</v>
      </c>
      <c r="N370" s="896">
        <v>49481</v>
      </c>
      <c r="O370" s="448">
        <f>SUM(C370:N370)</f>
        <v>502292</v>
      </c>
      <c r="P370" s="455"/>
      <c r="Q370" s="436"/>
      <c r="R370" s="81"/>
      <c r="S370" s="81"/>
      <c r="T370" s="80"/>
      <c r="U370" s="80"/>
    </row>
    <row r="371" spans="1:21" ht="12.75" x14ac:dyDescent="0.2">
      <c r="A371" s="439" t="s">
        <v>740</v>
      </c>
      <c r="B371" s="436"/>
      <c r="C371" s="916">
        <v>0</v>
      </c>
      <c r="D371" s="916">
        <v>0</v>
      </c>
      <c r="E371" s="916">
        <v>0</v>
      </c>
      <c r="F371" s="916">
        <v>0</v>
      </c>
      <c r="G371" s="916">
        <v>0</v>
      </c>
      <c r="H371" s="916">
        <v>0</v>
      </c>
      <c r="I371" s="916">
        <v>0</v>
      </c>
      <c r="J371" s="916">
        <v>0</v>
      </c>
      <c r="K371" s="916">
        <v>0</v>
      </c>
      <c r="L371" s="916">
        <v>457</v>
      </c>
      <c r="M371" s="916">
        <v>16252</v>
      </c>
      <c r="N371" s="916">
        <v>7490</v>
      </c>
      <c r="O371" s="450">
        <f>SUM(C371:N371)</f>
        <v>24199</v>
      </c>
      <c r="P371" s="455"/>
      <c r="Q371" s="436"/>
      <c r="R371" s="81"/>
      <c r="S371" s="81"/>
      <c r="T371" s="80"/>
      <c r="U371" s="80"/>
    </row>
    <row r="372" spans="1:21" ht="12.75" x14ac:dyDescent="0.2">
      <c r="A372" s="439" t="s">
        <v>741</v>
      </c>
      <c r="B372" s="436"/>
      <c r="C372" s="448">
        <f t="shared" ref="C372:N372" si="39">C370-C371</f>
        <v>50969</v>
      </c>
      <c r="D372" s="448">
        <f t="shared" si="39"/>
        <v>39549</v>
      </c>
      <c r="E372" s="448">
        <f t="shared" si="39"/>
        <v>34692</v>
      </c>
      <c r="F372" s="448">
        <f t="shared" si="39"/>
        <v>38045</v>
      </c>
      <c r="G372" s="448">
        <f t="shared" si="39"/>
        <v>33451</v>
      </c>
      <c r="H372" s="448">
        <f t="shared" si="39"/>
        <v>33022</v>
      </c>
      <c r="I372" s="917">
        <f t="shared" si="39"/>
        <v>35759</v>
      </c>
      <c r="J372" s="917">
        <f t="shared" si="39"/>
        <v>65244</v>
      </c>
      <c r="K372" s="917">
        <f t="shared" si="39"/>
        <v>30895</v>
      </c>
      <c r="L372" s="917">
        <f t="shared" si="39"/>
        <v>52592</v>
      </c>
      <c r="M372" s="917">
        <f t="shared" si="39"/>
        <v>21884</v>
      </c>
      <c r="N372" s="917">
        <f t="shared" si="39"/>
        <v>41991</v>
      </c>
      <c r="O372" s="448">
        <f>SUM(C372:N372)</f>
        <v>478093</v>
      </c>
      <c r="P372" s="455"/>
      <c r="Q372" s="436"/>
      <c r="R372" s="81"/>
      <c r="S372" s="81"/>
      <c r="T372" s="80"/>
      <c r="U372" s="80"/>
    </row>
    <row r="373" spans="1:21" ht="12.75" x14ac:dyDescent="0.2">
      <c r="A373" s="436"/>
      <c r="B373" s="436"/>
      <c r="C373" s="436"/>
      <c r="D373" s="452"/>
      <c r="E373" s="453"/>
      <c r="F373" s="453"/>
      <c r="G373" s="436"/>
      <c r="H373" s="436"/>
      <c r="I373" s="453"/>
      <c r="J373" s="453"/>
      <c r="K373" s="453"/>
      <c r="L373" s="453"/>
      <c r="M373" s="454" t="s">
        <v>742</v>
      </c>
      <c r="N373" s="453"/>
      <c r="O373" s="436"/>
      <c r="P373" s="455"/>
      <c r="Q373" s="436"/>
      <c r="R373" s="81"/>
      <c r="S373" s="81"/>
      <c r="T373" s="80"/>
      <c r="U373" s="80"/>
    </row>
    <row r="374" spans="1:21" ht="12.75" x14ac:dyDescent="0.2">
      <c r="A374" s="440" t="s">
        <v>1145</v>
      </c>
      <c r="B374" s="436"/>
      <c r="C374" s="436"/>
      <c r="D374" s="436"/>
      <c r="E374" s="436"/>
      <c r="F374" s="436"/>
      <c r="G374" s="436"/>
      <c r="H374" s="436"/>
      <c r="I374" s="453"/>
      <c r="J374" s="453"/>
      <c r="K374" s="453"/>
      <c r="L374" s="453"/>
      <c r="M374" s="453"/>
      <c r="N374" s="453"/>
      <c r="O374" s="436"/>
      <c r="P374" s="455"/>
      <c r="Q374" s="436"/>
      <c r="R374" s="81"/>
      <c r="S374" s="81"/>
      <c r="T374" s="80"/>
      <c r="U374" s="80"/>
    </row>
    <row r="375" spans="1:21" ht="12.75" x14ac:dyDescent="0.2">
      <c r="A375" s="439" t="s">
        <v>739</v>
      </c>
      <c r="B375" s="436"/>
      <c r="C375" s="896">
        <v>0</v>
      </c>
      <c r="D375" s="896">
        <v>0</v>
      </c>
      <c r="E375" s="896">
        <v>0</v>
      </c>
      <c r="F375" s="896">
        <v>0</v>
      </c>
      <c r="G375" s="896">
        <v>0</v>
      </c>
      <c r="H375" s="896">
        <v>0</v>
      </c>
      <c r="I375" s="896">
        <v>0</v>
      </c>
      <c r="J375" s="896">
        <v>2634</v>
      </c>
      <c r="K375" s="896">
        <v>0</v>
      </c>
      <c r="L375" s="896">
        <v>0</v>
      </c>
      <c r="M375" s="896">
        <v>0</v>
      </c>
      <c r="N375" s="896">
        <v>0</v>
      </c>
      <c r="O375" s="448">
        <f>SUM(C375:N375)</f>
        <v>2634</v>
      </c>
      <c r="P375" s="455"/>
      <c r="Q375" s="436"/>
      <c r="R375" s="81"/>
      <c r="S375" s="81"/>
      <c r="T375" s="80"/>
      <c r="U375" s="80"/>
    </row>
    <row r="376" spans="1:21" ht="12.75" x14ac:dyDescent="0.2">
      <c r="A376" s="439" t="s">
        <v>740</v>
      </c>
      <c r="B376" s="436"/>
      <c r="C376" s="916">
        <v>0</v>
      </c>
      <c r="D376" s="916">
        <v>0</v>
      </c>
      <c r="E376" s="916">
        <v>0</v>
      </c>
      <c r="F376" s="916">
        <v>0</v>
      </c>
      <c r="G376" s="916">
        <v>0</v>
      </c>
      <c r="H376" s="916">
        <v>0</v>
      </c>
      <c r="I376" s="916">
        <v>0</v>
      </c>
      <c r="J376" s="916">
        <v>0</v>
      </c>
      <c r="K376" s="916">
        <v>0</v>
      </c>
      <c r="L376" s="916">
        <v>0</v>
      </c>
      <c r="M376" s="916">
        <v>0</v>
      </c>
      <c r="N376" s="916">
        <v>0</v>
      </c>
      <c r="O376" s="450">
        <f>SUM(C376:N376)</f>
        <v>0</v>
      </c>
      <c r="P376" s="455"/>
      <c r="Q376" s="436"/>
      <c r="R376" s="81"/>
      <c r="S376" s="81"/>
      <c r="T376" s="80"/>
      <c r="U376" s="80"/>
    </row>
    <row r="377" spans="1:21" ht="12.75" x14ac:dyDescent="0.2">
      <c r="A377" s="439" t="s">
        <v>741</v>
      </c>
      <c r="B377" s="436"/>
      <c r="C377" s="448">
        <f t="shared" ref="C377:N377" si="40">C375-C376</f>
        <v>0</v>
      </c>
      <c r="D377" s="448">
        <f t="shared" si="40"/>
        <v>0</v>
      </c>
      <c r="E377" s="448">
        <f t="shared" si="40"/>
        <v>0</v>
      </c>
      <c r="F377" s="448">
        <f t="shared" si="40"/>
        <v>0</v>
      </c>
      <c r="G377" s="448">
        <f t="shared" si="40"/>
        <v>0</v>
      </c>
      <c r="H377" s="448">
        <f t="shared" si="40"/>
        <v>0</v>
      </c>
      <c r="I377" s="917">
        <f t="shared" si="40"/>
        <v>0</v>
      </c>
      <c r="J377" s="917">
        <f t="shared" si="40"/>
        <v>2634</v>
      </c>
      <c r="K377" s="917">
        <f t="shared" si="40"/>
        <v>0</v>
      </c>
      <c r="L377" s="917">
        <f t="shared" si="40"/>
        <v>0</v>
      </c>
      <c r="M377" s="917">
        <f t="shared" si="40"/>
        <v>0</v>
      </c>
      <c r="N377" s="917">
        <f t="shared" si="40"/>
        <v>0</v>
      </c>
      <c r="O377" s="448">
        <f>SUM(C377:N377)</f>
        <v>2634</v>
      </c>
      <c r="P377" s="455"/>
      <c r="Q377" s="436"/>
      <c r="R377" s="81"/>
      <c r="S377" s="81"/>
      <c r="T377" s="80"/>
      <c r="U377" s="80"/>
    </row>
    <row r="378" spans="1:21" ht="12.75" x14ac:dyDescent="0.2">
      <c r="A378" s="436"/>
      <c r="B378" s="436"/>
      <c r="C378" s="436"/>
      <c r="D378" s="436"/>
      <c r="E378" s="436"/>
      <c r="F378" s="436"/>
      <c r="G378" s="436"/>
      <c r="H378" s="436"/>
      <c r="I378" s="453"/>
      <c r="J378" s="453"/>
      <c r="K378" s="453"/>
      <c r="L378" s="453"/>
      <c r="M378" s="454" t="s">
        <v>742</v>
      </c>
      <c r="N378" s="453"/>
      <c r="O378" s="451" t="e">
        <f>(+O377/O376)*100</f>
        <v>#DIV/0!</v>
      </c>
      <c r="P378" s="455"/>
      <c r="Q378" s="436"/>
      <c r="R378" s="81"/>
      <c r="S378" s="81"/>
      <c r="T378" s="80"/>
      <c r="U378" s="80"/>
    </row>
    <row r="379" spans="1:21" ht="12.75" x14ac:dyDescent="0.2">
      <c r="A379" s="440" t="s">
        <v>815</v>
      </c>
      <c r="B379" s="436"/>
      <c r="C379" s="436"/>
      <c r="D379" s="436"/>
      <c r="E379" s="436"/>
      <c r="F379" s="436"/>
      <c r="G379" s="436"/>
      <c r="H379" s="436"/>
      <c r="I379" s="453"/>
      <c r="J379" s="453"/>
      <c r="K379" s="453"/>
      <c r="L379" s="453"/>
      <c r="M379" s="453"/>
      <c r="N379" s="453"/>
      <c r="O379" s="436"/>
      <c r="P379" s="455"/>
      <c r="Q379" s="436"/>
      <c r="R379" s="81"/>
      <c r="S379" s="81"/>
      <c r="T379" s="80"/>
      <c r="U379" s="80"/>
    </row>
    <row r="380" spans="1:21" ht="12.75" x14ac:dyDescent="0.2">
      <c r="A380" s="439" t="s">
        <v>739</v>
      </c>
      <c r="B380" s="436"/>
      <c r="C380" s="896">
        <v>2819</v>
      </c>
      <c r="D380" s="896">
        <v>2058</v>
      </c>
      <c r="E380" s="896">
        <v>4235</v>
      </c>
      <c r="F380" s="896">
        <v>5286</v>
      </c>
      <c r="G380" s="896">
        <v>2346</v>
      </c>
      <c r="H380" s="896">
        <v>1172</v>
      </c>
      <c r="I380" s="896">
        <v>5959</v>
      </c>
      <c r="J380" s="896">
        <v>2373</v>
      </c>
      <c r="K380" s="896">
        <v>3837</v>
      </c>
      <c r="L380" s="896">
        <v>63</v>
      </c>
      <c r="M380" s="896">
        <v>7013</v>
      </c>
      <c r="N380" s="896">
        <v>6256</v>
      </c>
      <c r="O380" s="448">
        <f>SUM(C380:N380)</f>
        <v>43417</v>
      </c>
      <c r="P380" s="455"/>
      <c r="Q380" s="436"/>
      <c r="R380" s="81"/>
      <c r="S380" s="81"/>
      <c r="T380" s="80"/>
      <c r="U380" s="80"/>
    </row>
    <row r="381" spans="1:21" ht="12.75" x14ac:dyDescent="0.2">
      <c r="A381" s="439" t="s">
        <v>740</v>
      </c>
      <c r="B381" s="436"/>
      <c r="C381" s="916">
        <v>0</v>
      </c>
      <c r="D381" s="916">
        <v>0</v>
      </c>
      <c r="E381" s="916">
        <v>0</v>
      </c>
      <c r="F381" s="916">
        <v>0</v>
      </c>
      <c r="G381" s="916">
        <v>0</v>
      </c>
      <c r="H381" s="916">
        <v>2352</v>
      </c>
      <c r="I381" s="916">
        <v>0</v>
      </c>
      <c r="J381" s="916">
        <v>250</v>
      </c>
      <c r="K381" s="916">
        <v>5000</v>
      </c>
      <c r="L381" s="916">
        <v>3600</v>
      </c>
      <c r="M381" s="916">
        <v>1470</v>
      </c>
      <c r="N381" s="916">
        <v>1190</v>
      </c>
      <c r="O381" s="450">
        <f>SUM(C381:N381)</f>
        <v>13862</v>
      </c>
      <c r="P381" s="455"/>
      <c r="Q381" s="436"/>
      <c r="R381" s="81"/>
      <c r="S381" s="81"/>
      <c r="T381" s="80"/>
      <c r="U381" s="80"/>
    </row>
    <row r="382" spans="1:21" ht="12.75" x14ac:dyDescent="0.2">
      <c r="A382" s="439" t="s">
        <v>741</v>
      </c>
      <c r="B382" s="436"/>
      <c r="C382" s="448">
        <f t="shared" ref="C382:N382" si="41">C380-C381</f>
        <v>2819</v>
      </c>
      <c r="D382" s="448">
        <f t="shared" si="41"/>
        <v>2058</v>
      </c>
      <c r="E382" s="448">
        <f t="shared" si="41"/>
        <v>4235</v>
      </c>
      <c r="F382" s="448">
        <f t="shared" si="41"/>
        <v>5286</v>
      </c>
      <c r="G382" s="448">
        <f t="shared" si="41"/>
        <v>2346</v>
      </c>
      <c r="H382" s="448">
        <f t="shared" si="41"/>
        <v>-1180</v>
      </c>
      <c r="I382" s="917">
        <f t="shared" si="41"/>
        <v>5959</v>
      </c>
      <c r="J382" s="917">
        <f t="shared" si="41"/>
        <v>2123</v>
      </c>
      <c r="K382" s="917">
        <f t="shared" si="41"/>
        <v>-1163</v>
      </c>
      <c r="L382" s="917">
        <f t="shared" si="41"/>
        <v>-3537</v>
      </c>
      <c r="M382" s="917">
        <f t="shared" si="41"/>
        <v>5543</v>
      </c>
      <c r="N382" s="917">
        <f t="shared" si="41"/>
        <v>5066</v>
      </c>
      <c r="O382" s="448">
        <f>SUM(C382:N382)</f>
        <v>29555</v>
      </c>
      <c r="P382" s="455"/>
      <c r="Q382" s="436"/>
      <c r="R382" s="81"/>
      <c r="S382" s="81"/>
      <c r="T382" s="80"/>
      <c r="U382" s="80"/>
    </row>
    <row r="383" spans="1:21" ht="12.75" x14ac:dyDescent="0.2">
      <c r="A383" s="436"/>
      <c r="B383" s="436"/>
      <c r="C383" s="436"/>
      <c r="D383" s="436"/>
      <c r="E383" s="436"/>
      <c r="F383" s="436"/>
      <c r="G383" s="436"/>
      <c r="H383" s="436"/>
      <c r="I383" s="453"/>
      <c r="J383" s="453"/>
      <c r="K383" s="453"/>
      <c r="L383" s="453"/>
      <c r="M383" s="454" t="s">
        <v>742</v>
      </c>
      <c r="N383" s="453"/>
      <c r="O383" s="451">
        <f>(+O382/O381)*100</f>
        <v>213.20877218294618</v>
      </c>
      <c r="P383" s="455"/>
      <c r="Q383" s="436"/>
      <c r="R383" s="81"/>
      <c r="S383" s="81"/>
      <c r="T383" s="80"/>
      <c r="U383" s="80"/>
    </row>
    <row r="384" spans="1:21" ht="12.75" x14ac:dyDescent="0.2">
      <c r="A384" s="440" t="s">
        <v>816</v>
      </c>
      <c r="B384" s="436"/>
      <c r="C384" s="436"/>
      <c r="D384" s="436"/>
      <c r="E384" s="436"/>
      <c r="F384" s="436"/>
      <c r="G384" s="436"/>
      <c r="H384" s="436"/>
      <c r="I384" s="453"/>
      <c r="J384" s="453"/>
      <c r="K384" s="453"/>
      <c r="L384" s="453"/>
      <c r="M384" s="453"/>
      <c r="N384" s="453"/>
      <c r="O384" s="436"/>
      <c r="P384" s="455"/>
      <c r="Q384" s="436"/>
      <c r="R384" s="81"/>
      <c r="S384" s="81"/>
      <c r="T384" s="80"/>
      <c r="U384" s="80"/>
    </row>
    <row r="385" spans="1:21" ht="12.75" x14ac:dyDescent="0.2">
      <c r="A385" s="439" t="s">
        <v>739</v>
      </c>
      <c r="B385" s="436"/>
      <c r="C385" s="896">
        <v>882</v>
      </c>
      <c r="D385" s="896">
        <v>-1</v>
      </c>
      <c r="E385" s="896">
        <v>55</v>
      </c>
      <c r="F385" s="896">
        <v>540</v>
      </c>
      <c r="G385" s="896">
        <v>-165</v>
      </c>
      <c r="H385" s="896">
        <v>148</v>
      </c>
      <c r="I385" s="896">
        <v>114</v>
      </c>
      <c r="J385" s="896">
        <v>1292</v>
      </c>
      <c r="K385" s="896">
        <v>1405</v>
      </c>
      <c r="L385" s="896">
        <v>232</v>
      </c>
      <c r="M385" s="896">
        <v>62</v>
      </c>
      <c r="N385" s="896">
        <v>961</v>
      </c>
      <c r="O385" s="448">
        <f>SUM(C385:N385)</f>
        <v>5525</v>
      </c>
      <c r="P385" s="455"/>
      <c r="Q385" s="436"/>
      <c r="R385" s="81"/>
      <c r="S385" s="81"/>
      <c r="T385" s="80"/>
      <c r="U385" s="80"/>
    </row>
    <row r="386" spans="1:21" ht="12.75" x14ac:dyDescent="0.2">
      <c r="A386" s="439" t="s">
        <v>740</v>
      </c>
      <c r="B386" s="436"/>
      <c r="C386" s="916">
        <v>0</v>
      </c>
      <c r="D386" s="916">
        <v>0</v>
      </c>
      <c r="E386" s="916">
        <v>0</v>
      </c>
      <c r="F386" s="916">
        <v>0</v>
      </c>
      <c r="G386" s="916">
        <v>0</v>
      </c>
      <c r="H386" s="916">
        <v>0</v>
      </c>
      <c r="I386" s="916">
        <v>0</v>
      </c>
      <c r="J386" s="916">
        <v>0</v>
      </c>
      <c r="K386" s="916">
        <v>0</v>
      </c>
      <c r="L386" s="916">
        <v>0</v>
      </c>
      <c r="M386" s="916">
        <v>0</v>
      </c>
      <c r="N386" s="916">
        <v>0</v>
      </c>
      <c r="O386" s="450">
        <f>SUM(C386:N386)</f>
        <v>0</v>
      </c>
      <c r="P386" s="455"/>
      <c r="Q386" s="436"/>
      <c r="R386" s="81"/>
      <c r="S386" s="81"/>
      <c r="T386" s="80"/>
      <c r="U386" s="80"/>
    </row>
    <row r="387" spans="1:21" ht="12.75" x14ac:dyDescent="0.2">
      <c r="A387" s="439" t="s">
        <v>741</v>
      </c>
      <c r="B387" s="436"/>
      <c r="C387" s="448">
        <f t="shared" ref="C387:N387" si="42">C385-C386</f>
        <v>882</v>
      </c>
      <c r="D387" s="448">
        <f t="shared" si="42"/>
        <v>-1</v>
      </c>
      <c r="E387" s="448">
        <f t="shared" si="42"/>
        <v>55</v>
      </c>
      <c r="F387" s="448">
        <f t="shared" si="42"/>
        <v>540</v>
      </c>
      <c r="G387" s="448">
        <f t="shared" si="42"/>
        <v>-165</v>
      </c>
      <c r="H387" s="448">
        <f t="shared" si="42"/>
        <v>148</v>
      </c>
      <c r="I387" s="917">
        <f t="shared" si="42"/>
        <v>114</v>
      </c>
      <c r="J387" s="917">
        <f t="shared" si="42"/>
        <v>1292</v>
      </c>
      <c r="K387" s="917">
        <f t="shared" si="42"/>
        <v>1405</v>
      </c>
      <c r="L387" s="917">
        <f t="shared" si="42"/>
        <v>232</v>
      </c>
      <c r="M387" s="917">
        <f t="shared" si="42"/>
        <v>62</v>
      </c>
      <c r="N387" s="917">
        <f t="shared" si="42"/>
        <v>961</v>
      </c>
      <c r="O387" s="448">
        <f>SUM(C387:N387)</f>
        <v>5525</v>
      </c>
      <c r="P387" s="455"/>
      <c r="Q387" s="436"/>
      <c r="R387" s="81"/>
      <c r="S387" s="81"/>
      <c r="T387" s="80"/>
      <c r="U387" s="80"/>
    </row>
    <row r="388" spans="1:21" ht="12.75" x14ac:dyDescent="0.2">
      <c r="A388" s="436"/>
      <c r="B388" s="436"/>
      <c r="C388" s="436"/>
      <c r="D388" s="436"/>
      <c r="E388" s="436"/>
      <c r="F388" s="436"/>
      <c r="G388" s="436"/>
      <c r="H388" s="436"/>
      <c r="I388" s="453"/>
      <c r="J388" s="453"/>
      <c r="K388" s="453"/>
      <c r="L388" s="453"/>
      <c r="M388" s="454" t="s">
        <v>742</v>
      </c>
      <c r="N388" s="453"/>
      <c r="O388" s="451">
        <v>0</v>
      </c>
      <c r="P388" s="455"/>
      <c r="Q388" s="436"/>
      <c r="R388" s="81"/>
      <c r="S388" s="81"/>
      <c r="T388" s="80"/>
      <c r="U388" s="80"/>
    </row>
    <row r="389" spans="1:21" ht="12.75" x14ac:dyDescent="0.2">
      <c r="A389" s="1429" t="s">
        <v>477</v>
      </c>
      <c r="B389" s="1430"/>
      <c r="C389" s="1430"/>
      <c r="D389" s="1430"/>
      <c r="E389" s="1430"/>
      <c r="F389" s="1430"/>
      <c r="G389" s="1430"/>
      <c r="H389" s="1430"/>
      <c r="I389" s="1430"/>
      <c r="J389" s="1430"/>
      <c r="K389" s="1430"/>
      <c r="L389" s="1430"/>
      <c r="M389" s="1430"/>
      <c r="N389" s="1430"/>
      <c r="O389" s="1430"/>
      <c r="P389" s="455"/>
      <c r="Q389" s="436"/>
      <c r="R389" s="81"/>
      <c r="S389" s="81"/>
      <c r="T389" s="80"/>
      <c r="U389" s="80"/>
    </row>
    <row r="390" spans="1:21" ht="12.75" x14ac:dyDescent="0.2">
      <c r="A390" s="1429" t="str">
        <f>+Input!C4</f>
        <v>CASE NO. 2017-xxxxx</v>
      </c>
      <c r="B390" s="1430"/>
      <c r="C390" s="1430"/>
      <c r="D390" s="1430"/>
      <c r="E390" s="1430"/>
      <c r="F390" s="1430"/>
      <c r="G390" s="1430"/>
      <c r="H390" s="1430"/>
      <c r="I390" s="1430"/>
      <c r="J390" s="1430"/>
      <c r="K390" s="1430"/>
      <c r="L390" s="1430"/>
      <c r="M390" s="1430"/>
      <c r="N390" s="1430"/>
      <c r="O390" s="1430"/>
      <c r="P390" s="455"/>
      <c r="Q390" s="436"/>
      <c r="R390" s="81"/>
      <c r="S390" s="81"/>
      <c r="T390" s="80"/>
      <c r="U390" s="80"/>
    </row>
    <row r="391" spans="1:21" ht="12.75" x14ac:dyDescent="0.2">
      <c r="A391" s="1429" t="s">
        <v>727</v>
      </c>
      <c r="B391" s="1430"/>
      <c r="C391" s="1430"/>
      <c r="D391" s="1430"/>
      <c r="E391" s="1430"/>
      <c r="F391" s="1430"/>
      <c r="G391" s="1430"/>
      <c r="H391" s="1430"/>
      <c r="I391" s="1430"/>
      <c r="J391" s="1430"/>
      <c r="K391" s="1430"/>
      <c r="L391" s="1430"/>
      <c r="M391" s="1430"/>
      <c r="N391" s="1430"/>
      <c r="O391" s="1430"/>
      <c r="P391" s="455"/>
      <c r="Q391" s="436"/>
      <c r="R391" s="81"/>
      <c r="S391" s="81"/>
      <c r="T391" s="80"/>
      <c r="U391" s="80"/>
    </row>
    <row r="392" spans="1:21" ht="12.75" x14ac:dyDescent="0.2">
      <c r="A392" s="1429" t="str">
        <f>+Input!C23</f>
        <v>FOR THE HISTORIC PERIOD 12 MONTHS ENDED DECEMBER 31, 2017 AND PRIOR PERIOD DECEMBER 31, 2016</v>
      </c>
      <c r="B392" s="1430"/>
      <c r="C392" s="1430"/>
      <c r="D392" s="1430"/>
      <c r="E392" s="1430"/>
      <c r="F392" s="1430"/>
      <c r="G392" s="1430"/>
      <c r="H392" s="1430"/>
      <c r="I392" s="1430"/>
      <c r="J392" s="1430"/>
      <c r="K392" s="1430"/>
      <c r="L392" s="1430"/>
      <c r="M392" s="1430"/>
      <c r="N392" s="1430"/>
      <c r="O392" s="1430"/>
      <c r="P392" s="455"/>
      <c r="Q392" s="436"/>
      <c r="R392" s="81"/>
      <c r="S392" s="81"/>
      <c r="T392" s="80"/>
      <c r="U392" s="80"/>
    </row>
    <row r="393" spans="1:21" ht="12.75" x14ac:dyDescent="0.2">
      <c r="A393" s="436"/>
      <c r="B393" s="436"/>
      <c r="C393" s="437"/>
      <c r="D393" s="436"/>
      <c r="E393" s="436"/>
      <c r="F393" s="436"/>
      <c r="G393" s="438"/>
      <c r="H393" s="436"/>
      <c r="I393" s="453"/>
      <c r="J393" s="453"/>
      <c r="K393" s="453"/>
      <c r="L393" s="453"/>
      <c r="M393" s="453"/>
      <c r="N393" s="453"/>
      <c r="O393" s="436"/>
      <c r="P393" s="455"/>
      <c r="Q393" s="436"/>
      <c r="R393" s="81"/>
      <c r="S393" s="81"/>
      <c r="T393" s="80"/>
      <c r="U393" s="80"/>
    </row>
    <row r="394" spans="1:21" ht="12.75" x14ac:dyDescent="0.2">
      <c r="A394" s="439" t="s">
        <v>839</v>
      </c>
      <c r="B394" s="436"/>
      <c r="C394" s="436"/>
      <c r="D394" s="436"/>
      <c r="E394" s="436"/>
      <c r="F394" s="436"/>
      <c r="G394" s="436"/>
      <c r="H394" s="436"/>
      <c r="I394" s="453"/>
      <c r="J394" s="453"/>
      <c r="K394" s="453"/>
      <c r="L394" s="453"/>
      <c r="M394" s="927"/>
      <c r="N394" s="453"/>
      <c r="O394" s="813" t="s">
        <v>752</v>
      </c>
      <c r="P394" s="455"/>
      <c r="Q394" s="436"/>
      <c r="R394" s="81"/>
      <c r="S394" s="81"/>
      <c r="T394" s="80"/>
      <c r="U394" s="80"/>
    </row>
    <row r="395" spans="1:21" ht="12.75" x14ac:dyDescent="0.2">
      <c r="A395" s="439" t="s">
        <v>490</v>
      </c>
      <c r="B395" s="436"/>
      <c r="C395" s="436"/>
      <c r="D395" s="436"/>
      <c r="E395" s="436"/>
      <c r="F395" s="436"/>
      <c r="G395" s="436"/>
      <c r="H395" s="436"/>
      <c r="I395" s="453"/>
      <c r="J395" s="453"/>
      <c r="K395" s="453"/>
      <c r="L395" s="453"/>
      <c r="M395" s="927"/>
      <c r="N395" s="453"/>
      <c r="O395" s="813" t="s">
        <v>1725</v>
      </c>
      <c r="P395" s="455"/>
      <c r="Q395" s="436"/>
      <c r="R395" s="81"/>
      <c r="S395" s="81"/>
      <c r="T395" s="80"/>
      <c r="U395" s="80"/>
    </row>
    <row r="396" spans="1:21" ht="12.75" x14ac:dyDescent="0.2">
      <c r="A396" s="441" t="s">
        <v>840</v>
      </c>
      <c r="B396" s="442"/>
      <c r="C396" s="442"/>
      <c r="D396" s="442"/>
      <c r="E396" s="442"/>
      <c r="F396" s="442"/>
      <c r="G396" s="442"/>
      <c r="H396" s="442"/>
      <c r="I396" s="918"/>
      <c r="J396" s="918"/>
      <c r="K396" s="918"/>
      <c r="L396" s="918"/>
      <c r="M396" s="928"/>
      <c r="N396" s="931"/>
      <c r="O396" s="815" t="str">
        <f>+Input!E27</f>
        <v>WITNESS:  C. Y. LAI</v>
      </c>
      <c r="P396" s="455"/>
      <c r="Q396" s="436"/>
      <c r="R396" s="81"/>
      <c r="S396" s="81"/>
      <c r="T396" s="80"/>
      <c r="U396" s="80"/>
    </row>
    <row r="397" spans="1:21" ht="12.75" x14ac:dyDescent="0.2">
      <c r="A397" s="1431" t="s">
        <v>728</v>
      </c>
      <c r="B397" s="1431"/>
      <c r="C397" s="437"/>
      <c r="D397" s="436"/>
      <c r="E397" s="436"/>
      <c r="F397" s="436"/>
      <c r="G397" s="436"/>
      <c r="H397" s="436"/>
      <c r="I397" s="453"/>
      <c r="J397" s="453"/>
      <c r="K397" s="453"/>
      <c r="L397" s="453"/>
      <c r="M397" s="453"/>
      <c r="N397" s="453"/>
      <c r="O397" s="436"/>
      <c r="P397" s="455"/>
      <c r="Q397" s="436"/>
      <c r="R397" s="81"/>
      <c r="S397" s="81"/>
      <c r="T397" s="80"/>
      <c r="U397" s="80"/>
    </row>
    <row r="398" spans="1:21" ht="12.75" x14ac:dyDescent="0.2">
      <c r="A398" s="1432" t="s">
        <v>729</v>
      </c>
      <c r="B398" s="1432"/>
      <c r="C398" s="443" t="s">
        <v>1011</v>
      </c>
      <c r="D398" s="443" t="s">
        <v>731</v>
      </c>
      <c r="E398" s="443" t="s">
        <v>732</v>
      </c>
      <c r="F398" s="443" t="s">
        <v>733</v>
      </c>
      <c r="G398" s="443" t="s">
        <v>734</v>
      </c>
      <c r="H398" s="443" t="s">
        <v>735</v>
      </c>
      <c r="I398" s="919" t="s">
        <v>736</v>
      </c>
      <c r="J398" s="919" t="s">
        <v>737</v>
      </c>
      <c r="K398" s="925" t="s">
        <v>1012</v>
      </c>
      <c r="L398" s="919" t="s">
        <v>1013</v>
      </c>
      <c r="M398" s="919" t="s">
        <v>730</v>
      </c>
      <c r="N398" s="919" t="s">
        <v>1014</v>
      </c>
      <c r="O398" s="444" t="s">
        <v>525</v>
      </c>
      <c r="P398" s="455"/>
      <c r="Q398" s="436"/>
      <c r="R398" s="81"/>
      <c r="S398" s="81"/>
      <c r="T398" s="80"/>
      <c r="U398" s="80"/>
    </row>
    <row r="399" spans="1:21" ht="12.75" x14ac:dyDescent="0.2">
      <c r="A399" s="436"/>
      <c r="B399" s="436"/>
      <c r="C399" s="445" t="s">
        <v>500</v>
      </c>
      <c r="D399" s="445" t="s">
        <v>500</v>
      </c>
      <c r="E399" s="445" t="s">
        <v>500</v>
      </c>
      <c r="F399" s="445" t="s">
        <v>500</v>
      </c>
      <c r="G399" s="445" t="s">
        <v>500</v>
      </c>
      <c r="H399" s="445" t="s">
        <v>500</v>
      </c>
      <c r="I399" s="910" t="s">
        <v>500</v>
      </c>
      <c r="J399" s="910" t="s">
        <v>500</v>
      </c>
      <c r="K399" s="910" t="s">
        <v>500</v>
      </c>
      <c r="L399" s="910" t="s">
        <v>500</v>
      </c>
      <c r="M399" s="910" t="s">
        <v>500</v>
      </c>
      <c r="N399" s="910" t="s">
        <v>500</v>
      </c>
      <c r="O399" s="445" t="s">
        <v>500</v>
      </c>
      <c r="P399" s="455"/>
      <c r="Q399" s="436"/>
      <c r="R399" s="81"/>
      <c r="S399" s="81"/>
      <c r="T399" s="80"/>
      <c r="U399" s="80"/>
    </row>
    <row r="400" spans="1:21" ht="12.75" x14ac:dyDescent="0.2">
      <c r="A400" s="91"/>
      <c r="B400" s="91"/>
      <c r="C400" s="91"/>
      <c r="D400" s="91"/>
      <c r="E400" s="91"/>
      <c r="F400" s="91"/>
      <c r="G400" s="91"/>
      <c r="H400" s="91"/>
      <c r="I400" s="921"/>
      <c r="J400" s="921"/>
      <c r="K400" s="921"/>
      <c r="L400" s="921"/>
      <c r="M400" s="921"/>
      <c r="N400" s="921"/>
      <c r="O400" s="91"/>
      <c r="P400" s="455"/>
      <c r="Q400" s="436"/>
      <c r="R400" s="81"/>
      <c r="S400" s="81"/>
      <c r="T400" s="80"/>
      <c r="U400" s="80"/>
    </row>
    <row r="401" spans="1:21" ht="12.75" x14ac:dyDescent="0.2">
      <c r="A401" s="440" t="s">
        <v>817</v>
      </c>
      <c r="B401" s="436"/>
      <c r="C401" s="437"/>
      <c r="D401" s="436"/>
      <c r="E401" s="436"/>
      <c r="F401" s="436"/>
      <c r="G401" s="436"/>
      <c r="H401" s="436"/>
      <c r="I401" s="453"/>
      <c r="J401" s="453"/>
      <c r="K401" s="453"/>
      <c r="L401" s="453"/>
      <c r="M401" s="453"/>
      <c r="N401" s="453"/>
      <c r="O401" s="436"/>
      <c r="P401" s="455"/>
      <c r="Q401" s="436"/>
      <c r="R401" s="81"/>
      <c r="S401" s="81"/>
      <c r="T401" s="80"/>
      <c r="U401" s="80"/>
    </row>
    <row r="402" spans="1:21" ht="12.75" x14ac:dyDescent="0.2">
      <c r="A402" s="439" t="s">
        <v>739</v>
      </c>
      <c r="B402" s="436"/>
      <c r="C402" s="896">
        <v>0</v>
      </c>
      <c r="D402" s="896">
        <v>0</v>
      </c>
      <c r="E402" s="896">
        <v>0</v>
      </c>
      <c r="F402" s="896">
        <v>0</v>
      </c>
      <c r="G402" s="896">
        <v>-1</v>
      </c>
      <c r="H402" s="896">
        <v>0</v>
      </c>
      <c r="I402" s="896">
        <v>0</v>
      </c>
      <c r="J402" s="896">
        <v>0</v>
      </c>
      <c r="K402" s="896">
        <v>0</v>
      </c>
      <c r="L402" s="896">
        <v>0</v>
      </c>
      <c r="M402" s="896">
        <v>0</v>
      </c>
      <c r="N402" s="896">
        <v>0</v>
      </c>
      <c r="O402" s="448">
        <f>SUM(C402:N402)</f>
        <v>-1</v>
      </c>
      <c r="P402" s="455"/>
      <c r="Q402" s="436"/>
      <c r="R402" s="81"/>
      <c r="S402" s="81"/>
      <c r="T402" s="80"/>
      <c r="U402" s="80"/>
    </row>
    <row r="403" spans="1:21" ht="12.75" x14ac:dyDescent="0.2">
      <c r="A403" s="439" t="s">
        <v>740</v>
      </c>
      <c r="B403" s="436"/>
      <c r="C403" s="916">
        <v>0</v>
      </c>
      <c r="D403" s="916">
        <v>0</v>
      </c>
      <c r="E403" s="916">
        <v>0</v>
      </c>
      <c r="F403" s="916">
        <v>0</v>
      </c>
      <c r="G403" s="916">
        <v>0</v>
      </c>
      <c r="H403" s="916">
        <v>0</v>
      </c>
      <c r="I403" s="916">
        <v>0</v>
      </c>
      <c r="J403" s="916">
        <v>0</v>
      </c>
      <c r="K403" s="916">
        <v>0</v>
      </c>
      <c r="L403" s="916">
        <v>0</v>
      </c>
      <c r="M403" s="916">
        <v>0</v>
      </c>
      <c r="N403" s="916">
        <v>0</v>
      </c>
      <c r="O403" s="450">
        <f>SUM(C403:N403)</f>
        <v>0</v>
      </c>
      <c r="P403" s="455"/>
      <c r="Q403" s="436"/>
      <c r="R403" s="81"/>
      <c r="S403" s="81"/>
      <c r="T403" s="80"/>
      <c r="U403" s="80"/>
    </row>
    <row r="404" spans="1:21" ht="12.75" x14ac:dyDescent="0.2">
      <c r="A404" s="439" t="s">
        <v>741</v>
      </c>
      <c r="B404" s="436"/>
      <c r="C404" s="448">
        <f t="shared" ref="C404:O404" si="43">C402-C403</f>
        <v>0</v>
      </c>
      <c r="D404" s="448">
        <f t="shared" si="43"/>
        <v>0</v>
      </c>
      <c r="E404" s="448">
        <f t="shared" si="43"/>
        <v>0</v>
      </c>
      <c r="F404" s="448">
        <f t="shared" si="43"/>
        <v>0</v>
      </c>
      <c r="G404" s="448">
        <f t="shared" si="43"/>
        <v>-1</v>
      </c>
      <c r="H404" s="448">
        <f t="shared" si="43"/>
        <v>0</v>
      </c>
      <c r="I404" s="917">
        <f t="shared" si="43"/>
        <v>0</v>
      </c>
      <c r="J404" s="917">
        <f t="shared" si="43"/>
        <v>0</v>
      </c>
      <c r="K404" s="917">
        <f t="shared" si="43"/>
        <v>0</v>
      </c>
      <c r="L404" s="917">
        <f t="shared" si="43"/>
        <v>0</v>
      </c>
      <c r="M404" s="917">
        <f t="shared" si="43"/>
        <v>0</v>
      </c>
      <c r="N404" s="917">
        <f t="shared" si="43"/>
        <v>0</v>
      </c>
      <c r="O404" s="448">
        <f t="shared" si="43"/>
        <v>-1</v>
      </c>
      <c r="P404" s="455"/>
      <c r="Q404" s="436"/>
      <c r="R404" s="81"/>
      <c r="S404" s="81"/>
      <c r="T404" s="80"/>
      <c r="U404" s="80"/>
    </row>
    <row r="405" spans="1:21" ht="12.75" x14ac:dyDescent="0.2">
      <c r="A405" s="436"/>
      <c r="B405" s="436"/>
      <c r="C405" s="436"/>
      <c r="D405" s="452"/>
      <c r="E405" s="453"/>
      <c r="F405" s="453"/>
      <c r="G405" s="436"/>
      <c r="H405" s="436"/>
      <c r="I405" s="453"/>
      <c r="J405" s="453"/>
      <c r="K405" s="453"/>
      <c r="L405" s="453"/>
      <c r="M405" s="454" t="s">
        <v>742</v>
      </c>
      <c r="N405" s="453"/>
      <c r="O405" s="451">
        <v>0</v>
      </c>
      <c r="P405" s="455"/>
      <c r="Q405" s="436"/>
      <c r="R405" s="81"/>
      <c r="S405" s="81"/>
      <c r="T405" s="80"/>
      <c r="U405" s="80"/>
    </row>
    <row r="406" spans="1:21" ht="12.75" x14ac:dyDescent="0.2">
      <c r="A406" s="440" t="s">
        <v>818</v>
      </c>
      <c r="B406" s="436"/>
      <c r="C406" s="437"/>
      <c r="D406" s="436"/>
      <c r="E406" s="436"/>
      <c r="F406" s="436"/>
      <c r="G406" s="436"/>
      <c r="H406" s="436"/>
      <c r="I406" s="453"/>
      <c r="J406" s="453"/>
      <c r="K406" s="453"/>
      <c r="L406" s="453"/>
      <c r="M406" s="453"/>
      <c r="N406" s="453"/>
      <c r="O406" s="436"/>
      <c r="P406" s="455"/>
      <c r="Q406" s="436"/>
      <c r="R406" s="81"/>
      <c r="S406" s="81"/>
      <c r="T406" s="80"/>
      <c r="U406" s="80"/>
    </row>
    <row r="407" spans="1:21" ht="12.75" x14ac:dyDescent="0.2">
      <c r="A407" s="439" t="s">
        <v>739</v>
      </c>
      <c r="B407" s="436"/>
      <c r="C407" s="896">
        <v>76187</v>
      </c>
      <c r="D407" s="896">
        <v>51289</v>
      </c>
      <c r="E407" s="896">
        <v>42806</v>
      </c>
      <c r="F407" s="896">
        <v>84007</v>
      </c>
      <c r="G407" s="896">
        <v>61784</v>
      </c>
      <c r="H407" s="896">
        <v>65213</v>
      </c>
      <c r="I407" s="896">
        <v>43222</v>
      </c>
      <c r="J407" s="896">
        <v>59195</v>
      </c>
      <c r="K407" s="896">
        <v>80446</v>
      </c>
      <c r="L407" s="896">
        <v>47766</v>
      </c>
      <c r="M407" s="896">
        <v>63199</v>
      </c>
      <c r="N407" s="896">
        <v>323966</v>
      </c>
      <c r="O407" s="448">
        <f>SUM(C407:N407)</f>
        <v>999080</v>
      </c>
      <c r="P407" s="455"/>
      <c r="Q407" s="436"/>
      <c r="R407" s="81"/>
      <c r="S407" s="81"/>
      <c r="T407" s="80"/>
      <c r="U407" s="80"/>
    </row>
    <row r="408" spans="1:21" ht="12.75" x14ac:dyDescent="0.2">
      <c r="A408" s="439" t="s">
        <v>740</v>
      </c>
      <c r="B408" s="436"/>
      <c r="C408" s="916">
        <v>33230</v>
      </c>
      <c r="D408" s="916">
        <v>40705</v>
      </c>
      <c r="E408" s="916">
        <v>74066</v>
      </c>
      <c r="F408" s="916">
        <v>31961</v>
      </c>
      <c r="G408" s="916">
        <v>70323</v>
      </c>
      <c r="H408" s="916">
        <v>50515</v>
      </c>
      <c r="I408" s="916">
        <v>44092</v>
      </c>
      <c r="J408" s="916">
        <v>-418880</v>
      </c>
      <c r="K408" s="916">
        <v>44801</v>
      </c>
      <c r="L408" s="916">
        <v>79434</v>
      </c>
      <c r="M408" s="916">
        <v>48087</v>
      </c>
      <c r="N408" s="916">
        <v>164225</v>
      </c>
      <c r="O408" s="450">
        <f>SUM(C408:N408)</f>
        <v>262559</v>
      </c>
      <c r="P408" s="455"/>
      <c r="Q408" s="436"/>
      <c r="R408" s="81"/>
      <c r="S408" s="81"/>
      <c r="T408" s="80"/>
      <c r="U408" s="80"/>
    </row>
    <row r="409" spans="1:21" ht="12.75" x14ac:dyDescent="0.2">
      <c r="A409" s="439" t="s">
        <v>741</v>
      </c>
      <c r="B409" s="436"/>
      <c r="C409" s="448">
        <f t="shared" ref="C409:N409" si="44">C407-C408</f>
        <v>42957</v>
      </c>
      <c r="D409" s="448">
        <f t="shared" si="44"/>
        <v>10584</v>
      </c>
      <c r="E409" s="448">
        <f t="shared" si="44"/>
        <v>-31260</v>
      </c>
      <c r="F409" s="448">
        <f t="shared" si="44"/>
        <v>52046</v>
      </c>
      <c r="G409" s="448">
        <f t="shared" si="44"/>
        <v>-8539</v>
      </c>
      <c r="H409" s="448">
        <f t="shared" si="44"/>
        <v>14698</v>
      </c>
      <c r="I409" s="917">
        <f t="shared" si="44"/>
        <v>-870</v>
      </c>
      <c r="J409" s="917">
        <f t="shared" si="44"/>
        <v>478075</v>
      </c>
      <c r="K409" s="917">
        <f t="shared" si="44"/>
        <v>35645</v>
      </c>
      <c r="L409" s="917">
        <f t="shared" si="44"/>
        <v>-31668</v>
      </c>
      <c r="M409" s="917">
        <f t="shared" si="44"/>
        <v>15112</v>
      </c>
      <c r="N409" s="917">
        <f t="shared" si="44"/>
        <v>159741</v>
      </c>
      <c r="O409" s="448">
        <f>SUM(C409:N409)</f>
        <v>736521</v>
      </c>
      <c r="P409" s="455"/>
      <c r="Q409" s="436"/>
      <c r="R409" s="81"/>
      <c r="S409" s="81"/>
      <c r="T409" s="80"/>
      <c r="U409" s="80"/>
    </row>
    <row r="410" spans="1:21" ht="12.75" x14ac:dyDescent="0.2">
      <c r="A410" s="436"/>
      <c r="B410" s="436"/>
      <c r="C410" s="436"/>
      <c r="D410" s="452"/>
      <c r="E410" s="453"/>
      <c r="F410" s="453"/>
      <c r="G410" s="453"/>
      <c r="H410" s="436"/>
      <c r="I410" s="453"/>
      <c r="J410" s="453"/>
      <c r="K410" s="453"/>
      <c r="L410" s="453"/>
      <c r="M410" s="454" t="s">
        <v>742</v>
      </c>
      <c r="N410" s="453"/>
      <c r="O410" s="451">
        <f>(+O409/O408)*100</f>
        <v>280.51637917572816</v>
      </c>
      <c r="P410" s="455"/>
      <c r="Q410" s="436"/>
      <c r="R410" s="81"/>
      <c r="S410" s="81"/>
      <c r="T410" s="80"/>
      <c r="U410" s="80"/>
    </row>
    <row r="411" spans="1:21" ht="12.75" x14ac:dyDescent="0.2">
      <c r="A411" s="440" t="s">
        <v>819</v>
      </c>
      <c r="B411" s="436"/>
      <c r="C411" s="437"/>
      <c r="D411" s="436"/>
      <c r="E411" s="436"/>
      <c r="F411" s="436"/>
      <c r="G411" s="436"/>
      <c r="H411" s="436"/>
      <c r="I411" s="453"/>
      <c r="J411" s="453"/>
      <c r="K411" s="453"/>
      <c r="L411" s="453"/>
      <c r="M411" s="453"/>
      <c r="N411" s="453"/>
      <c r="O411" s="436"/>
      <c r="P411" s="455"/>
      <c r="Q411" s="436"/>
      <c r="R411" s="81"/>
      <c r="S411" s="81"/>
      <c r="T411" s="80"/>
      <c r="U411" s="80"/>
    </row>
    <row r="412" spans="1:21" ht="12.75" x14ac:dyDescent="0.2">
      <c r="A412" s="439" t="s">
        <v>739</v>
      </c>
      <c r="B412" s="436"/>
      <c r="C412" s="896">
        <v>39469</v>
      </c>
      <c r="D412" s="896">
        <v>28933</v>
      </c>
      <c r="E412" s="896">
        <v>26589</v>
      </c>
      <c r="F412" s="896">
        <v>25822</v>
      </c>
      <c r="G412" s="896">
        <v>25336</v>
      </c>
      <c r="H412" s="896">
        <v>13390</v>
      </c>
      <c r="I412" s="896">
        <v>28065</v>
      </c>
      <c r="J412" s="896">
        <v>23896</v>
      </c>
      <c r="K412" s="896">
        <v>19757</v>
      </c>
      <c r="L412" s="896">
        <v>20555</v>
      </c>
      <c r="M412" s="896">
        <v>39782</v>
      </c>
      <c r="N412" s="896">
        <v>26982</v>
      </c>
      <c r="O412" s="448">
        <f>SUM(C412:N412)</f>
        <v>318576</v>
      </c>
      <c r="P412" s="455"/>
      <c r="Q412" s="436"/>
      <c r="R412" s="81"/>
      <c r="S412" s="81"/>
      <c r="T412" s="80"/>
      <c r="U412" s="80"/>
    </row>
    <row r="413" spans="1:21" ht="12.75" x14ac:dyDescent="0.2">
      <c r="A413" s="439" t="s">
        <v>740</v>
      </c>
      <c r="B413" s="436"/>
      <c r="C413" s="916">
        <v>18961</v>
      </c>
      <c r="D413" s="916">
        <v>17779</v>
      </c>
      <c r="E413" s="916">
        <v>53281</v>
      </c>
      <c r="F413" s="916">
        <v>45610</v>
      </c>
      <c r="G413" s="916">
        <v>22311</v>
      </c>
      <c r="H413" s="916">
        <v>20287</v>
      </c>
      <c r="I413" s="916">
        <v>23953</v>
      </c>
      <c r="J413" s="916">
        <v>24340</v>
      </c>
      <c r="K413" s="916">
        <v>32553</v>
      </c>
      <c r="L413" s="916">
        <v>75979</v>
      </c>
      <c r="M413" s="916">
        <v>22537</v>
      </c>
      <c r="N413" s="916">
        <v>42829</v>
      </c>
      <c r="O413" s="450">
        <f>SUM(C413:N413)</f>
        <v>400420</v>
      </c>
      <c r="P413" s="455"/>
      <c r="Q413" s="436"/>
      <c r="R413" s="81"/>
      <c r="S413" s="81"/>
      <c r="T413" s="80"/>
      <c r="U413" s="80"/>
    </row>
    <row r="414" spans="1:21" ht="12.75" x14ac:dyDescent="0.2">
      <c r="A414" s="439" t="s">
        <v>741</v>
      </c>
      <c r="B414" s="436"/>
      <c r="C414" s="448">
        <f t="shared" ref="C414:N414" si="45">C412-C413</f>
        <v>20508</v>
      </c>
      <c r="D414" s="448">
        <f t="shared" si="45"/>
        <v>11154</v>
      </c>
      <c r="E414" s="448">
        <f t="shared" si="45"/>
        <v>-26692</v>
      </c>
      <c r="F414" s="448">
        <f t="shared" si="45"/>
        <v>-19788</v>
      </c>
      <c r="G414" s="448">
        <f t="shared" si="45"/>
        <v>3025</v>
      </c>
      <c r="H414" s="448">
        <f t="shared" si="45"/>
        <v>-6897</v>
      </c>
      <c r="I414" s="917">
        <f t="shared" si="45"/>
        <v>4112</v>
      </c>
      <c r="J414" s="917">
        <f t="shared" si="45"/>
        <v>-444</v>
      </c>
      <c r="K414" s="917">
        <f t="shared" si="45"/>
        <v>-12796</v>
      </c>
      <c r="L414" s="917">
        <f t="shared" si="45"/>
        <v>-55424</v>
      </c>
      <c r="M414" s="917">
        <f t="shared" si="45"/>
        <v>17245</v>
      </c>
      <c r="N414" s="917">
        <f t="shared" si="45"/>
        <v>-15847</v>
      </c>
      <c r="O414" s="448">
        <f>SUM(C414:N414)</f>
        <v>-81844</v>
      </c>
      <c r="P414" s="455"/>
      <c r="Q414" s="436"/>
      <c r="R414" s="81"/>
      <c r="S414" s="81"/>
      <c r="T414" s="80"/>
      <c r="U414" s="80"/>
    </row>
    <row r="415" spans="1:21" ht="12.75" x14ac:dyDescent="0.2">
      <c r="A415" s="436"/>
      <c r="B415" s="436"/>
      <c r="C415" s="436"/>
      <c r="D415" s="436"/>
      <c r="E415" s="436"/>
      <c r="F415" s="436"/>
      <c r="G415" s="436"/>
      <c r="H415" s="436"/>
      <c r="I415" s="453"/>
      <c r="J415" s="453"/>
      <c r="K415" s="453"/>
      <c r="L415" s="453"/>
      <c r="M415" s="454" t="s">
        <v>742</v>
      </c>
      <c r="N415" s="453"/>
      <c r="O415" s="451">
        <f>(+O414/O413)*100</f>
        <v>-20.439538484591179</v>
      </c>
      <c r="P415" s="455"/>
      <c r="Q415" s="436"/>
      <c r="R415" s="81"/>
      <c r="S415" s="81"/>
      <c r="T415" s="80"/>
      <c r="U415" s="80"/>
    </row>
    <row r="416" spans="1:21" ht="12.75" x14ac:dyDescent="0.2">
      <c r="A416" s="440" t="s">
        <v>820</v>
      </c>
      <c r="B416" s="436"/>
      <c r="C416" s="437"/>
      <c r="D416" s="436"/>
      <c r="E416" s="436"/>
      <c r="F416" s="436"/>
      <c r="G416" s="436"/>
      <c r="H416" s="436"/>
      <c r="I416" s="453"/>
      <c r="J416" s="453"/>
      <c r="K416" s="453"/>
      <c r="L416" s="453"/>
      <c r="M416" s="453"/>
      <c r="N416" s="453"/>
      <c r="O416" s="436"/>
      <c r="P416" s="455"/>
      <c r="Q416" s="436"/>
      <c r="R416" s="81"/>
      <c r="S416" s="81"/>
      <c r="T416" s="80"/>
      <c r="U416" s="80"/>
    </row>
    <row r="417" spans="1:21" ht="12.75" x14ac:dyDescent="0.2">
      <c r="A417" s="439" t="s">
        <v>739</v>
      </c>
      <c r="B417" s="436"/>
      <c r="C417" s="896">
        <v>0</v>
      </c>
      <c r="D417" s="896">
        <v>0</v>
      </c>
      <c r="E417" s="896">
        <v>0</v>
      </c>
      <c r="F417" s="896">
        <v>0</v>
      </c>
      <c r="G417" s="896">
        <v>0</v>
      </c>
      <c r="H417" s="896">
        <v>0</v>
      </c>
      <c r="I417" s="896">
        <v>0</v>
      </c>
      <c r="J417" s="896">
        <v>0</v>
      </c>
      <c r="K417" s="896">
        <v>0</v>
      </c>
      <c r="L417" s="896">
        <v>0</v>
      </c>
      <c r="M417" s="896">
        <v>0</v>
      </c>
      <c r="N417" s="896">
        <v>0</v>
      </c>
      <c r="O417" s="448">
        <f>SUM(C417:N417)</f>
        <v>0</v>
      </c>
      <c r="P417" s="455"/>
      <c r="Q417" s="436"/>
      <c r="R417" s="81"/>
      <c r="S417" s="81"/>
      <c r="T417" s="80"/>
      <c r="U417" s="80"/>
    </row>
    <row r="418" spans="1:21" ht="12.75" x14ac:dyDescent="0.2">
      <c r="A418" s="439" t="s">
        <v>740</v>
      </c>
      <c r="B418" s="436"/>
      <c r="C418" s="916">
        <v>0</v>
      </c>
      <c r="D418" s="916">
        <v>0</v>
      </c>
      <c r="E418" s="916">
        <v>0</v>
      </c>
      <c r="F418" s="916">
        <v>0</v>
      </c>
      <c r="G418" s="916">
        <v>0</v>
      </c>
      <c r="H418" s="916">
        <v>0</v>
      </c>
      <c r="I418" s="916">
        <v>0</v>
      </c>
      <c r="J418" s="916">
        <v>0</v>
      </c>
      <c r="K418" s="916">
        <v>0</v>
      </c>
      <c r="L418" s="916">
        <v>0</v>
      </c>
      <c r="M418" s="916">
        <v>0</v>
      </c>
      <c r="N418" s="916">
        <v>0</v>
      </c>
      <c r="O418" s="450">
        <f>SUM(C418:N418)</f>
        <v>0</v>
      </c>
      <c r="P418" s="455"/>
      <c r="Q418" s="436"/>
      <c r="R418" s="81"/>
      <c r="S418" s="81"/>
      <c r="T418" s="80"/>
      <c r="U418" s="80"/>
    </row>
    <row r="419" spans="1:21" ht="12.75" x14ac:dyDescent="0.2">
      <c r="A419" s="439" t="s">
        <v>741</v>
      </c>
      <c r="B419" s="436"/>
      <c r="C419" s="448">
        <f t="shared" ref="C419:N419" si="46">C417-C418</f>
        <v>0</v>
      </c>
      <c r="D419" s="448">
        <f t="shared" si="46"/>
        <v>0</v>
      </c>
      <c r="E419" s="448">
        <f t="shared" si="46"/>
        <v>0</v>
      </c>
      <c r="F419" s="448">
        <f t="shared" si="46"/>
        <v>0</v>
      </c>
      <c r="G419" s="448">
        <f t="shared" si="46"/>
        <v>0</v>
      </c>
      <c r="H419" s="448">
        <f t="shared" si="46"/>
        <v>0</v>
      </c>
      <c r="I419" s="917">
        <f t="shared" si="46"/>
        <v>0</v>
      </c>
      <c r="J419" s="917">
        <f t="shared" si="46"/>
        <v>0</v>
      </c>
      <c r="K419" s="917">
        <f t="shared" si="46"/>
        <v>0</v>
      </c>
      <c r="L419" s="917">
        <f t="shared" si="46"/>
        <v>0</v>
      </c>
      <c r="M419" s="917">
        <f t="shared" si="46"/>
        <v>0</v>
      </c>
      <c r="N419" s="917">
        <f t="shared" si="46"/>
        <v>0</v>
      </c>
      <c r="O419" s="448">
        <f>SUM(C419:N419)</f>
        <v>0</v>
      </c>
      <c r="P419" s="455"/>
      <c r="Q419" s="436"/>
      <c r="R419" s="81"/>
      <c r="S419" s="81"/>
      <c r="T419" s="80"/>
      <c r="U419" s="80"/>
    </row>
    <row r="420" spans="1:21" ht="12.75" x14ac:dyDescent="0.2">
      <c r="A420" s="436"/>
      <c r="B420" s="436"/>
      <c r="C420" s="436"/>
      <c r="D420" s="436"/>
      <c r="E420" s="436"/>
      <c r="F420" s="436"/>
      <c r="G420" s="436"/>
      <c r="H420" s="436"/>
      <c r="I420" s="453"/>
      <c r="J420" s="453"/>
      <c r="K420" s="453"/>
      <c r="L420" s="453"/>
      <c r="M420" s="454" t="s">
        <v>742</v>
      </c>
      <c r="N420" s="453"/>
      <c r="O420" s="451">
        <v>0</v>
      </c>
      <c r="P420" s="455"/>
      <c r="Q420" s="436"/>
      <c r="R420" s="81"/>
      <c r="S420" s="81"/>
      <c r="T420" s="80"/>
      <c r="U420" s="80"/>
    </row>
    <row r="421" spans="1:21" ht="12.75" x14ac:dyDescent="0.2">
      <c r="A421" s="440" t="s">
        <v>821</v>
      </c>
      <c r="B421" s="436"/>
      <c r="C421" s="437"/>
      <c r="D421" s="436"/>
      <c r="E421" s="436"/>
      <c r="F421" s="436"/>
      <c r="G421" s="436"/>
      <c r="H421" s="436"/>
      <c r="I421" s="453"/>
      <c r="J421" s="453"/>
      <c r="K421" s="453"/>
      <c r="L421" s="453"/>
      <c r="M421" s="453"/>
      <c r="N421" s="453"/>
      <c r="O421" s="436"/>
      <c r="P421" s="455"/>
      <c r="Q421" s="436"/>
      <c r="R421" s="81"/>
      <c r="S421" s="81"/>
      <c r="T421" s="80"/>
      <c r="U421" s="80"/>
    </row>
    <row r="422" spans="1:21" ht="12.75" x14ac:dyDescent="0.2">
      <c r="A422" s="439" t="s">
        <v>739</v>
      </c>
      <c r="B422" s="436"/>
      <c r="C422" s="896">
        <v>516367</v>
      </c>
      <c r="D422" s="896">
        <v>577723</v>
      </c>
      <c r="E422" s="896">
        <v>633752</v>
      </c>
      <c r="F422" s="896">
        <v>564857</v>
      </c>
      <c r="G422" s="896">
        <v>585407</v>
      </c>
      <c r="H422" s="896">
        <v>582418</v>
      </c>
      <c r="I422" s="896">
        <v>571908</v>
      </c>
      <c r="J422" s="896">
        <v>548847</v>
      </c>
      <c r="K422" s="896">
        <v>598946</v>
      </c>
      <c r="L422" s="896">
        <v>592165</v>
      </c>
      <c r="M422" s="896">
        <v>573781</v>
      </c>
      <c r="N422" s="896">
        <v>765664</v>
      </c>
      <c r="O422" s="448">
        <f>SUM(C422:N422)</f>
        <v>7111835</v>
      </c>
      <c r="P422" s="455"/>
      <c r="Q422" s="436"/>
      <c r="R422" s="81"/>
      <c r="S422" s="81"/>
      <c r="T422" s="80"/>
      <c r="U422" s="80"/>
    </row>
    <row r="423" spans="1:21" ht="12.75" x14ac:dyDescent="0.2">
      <c r="A423" s="439" t="s">
        <v>740</v>
      </c>
      <c r="B423" s="436"/>
      <c r="C423" s="916">
        <v>981635</v>
      </c>
      <c r="D423" s="916">
        <v>832704</v>
      </c>
      <c r="E423" s="916">
        <v>864230</v>
      </c>
      <c r="F423" s="916">
        <v>871865</v>
      </c>
      <c r="G423" s="916">
        <v>946547</v>
      </c>
      <c r="H423" s="916">
        <v>793176</v>
      </c>
      <c r="I423" s="916">
        <v>817600</v>
      </c>
      <c r="J423" s="916">
        <v>-1719012</v>
      </c>
      <c r="K423" s="916">
        <v>924925</v>
      </c>
      <c r="L423" s="916">
        <v>895290</v>
      </c>
      <c r="M423" s="916">
        <v>779374</v>
      </c>
      <c r="N423" s="916">
        <v>957835</v>
      </c>
      <c r="O423" s="450">
        <f>SUM(C423:N423)</f>
        <v>7946169</v>
      </c>
      <c r="P423" s="455"/>
      <c r="Q423" s="436"/>
      <c r="R423" s="81"/>
      <c r="S423" s="81"/>
      <c r="T423" s="80"/>
      <c r="U423" s="80"/>
    </row>
    <row r="424" spans="1:21" ht="12.75" x14ac:dyDescent="0.2">
      <c r="A424" s="439" t="s">
        <v>741</v>
      </c>
      <c r="B424" s="436"/>
      <c r="C424" s="448">
        <f t="shared" ref="C424:N424" si="47">C422-C423</f>
        <v>-465268</v>
      </c>
      <c r="D424" s="448">
        <f t="shared" si="47"/>
        <v>-254981</v>
      </c>
      <c r="E424" s="448">
        <f t="shared" si="47"/>
        <v>-230478</v>
      </c>
      <c r="F424" s="448">
        <f t="shared" si="47"/>
        <v>-307008</v>
      </c>
      <c r="G424" s="448">
        <f t="shared" si="47"/>
        <v>-361140</v>
      </c>
      <c r="H424" s="448">
        <f t="shared" si="47"/>
        <v>-210758</v>
      </c>
      <c r="I424" s="917">
        <f t="shared" si="47"/>
        <v>-245692</v>
      </c>
      <c r="J424" s="917">
        <f t="shared" si="47"/>
        <v>2267859</v>
      </c>
      <c r="K424" s="917">
        <f t="shared" si="47"/>
        <v>-325979</v>
      </c>
      <c r="L424" s="917">
        <f t="shared" si="47"/>
        <v>-303125</v>
      </c>
      <c r="M424" s="917">
        <f t="shared" si="47"/>
        <v>-205593</v>
      </c>
      <c r="N424" s="917">
        <f t="shared" si="47"/>
        <v>-192171</v>
      </c>
      <c r="O424" s="448">
        <f>SUM(C424:N424)</f>
        <v>-834334</v>
      </c>
      <c r="P424" s="455"/>
      <c r="Q424" s="436"/>
      <c r="R424" s="81"/>
      <c r="S424" s="81"/>
      <c r="T424" s="80"/>
      <c r="U424" s="80"/>
    </row>
    <row r="425" spans="1:21" ht="12.75" x14ac:dyDescent="0.2">
      <c r="A425" s="436"/>
      <c r="B425" s="436"/>
      <c r="C425" s="436"/>
      <c r="D425" s="436"/>
      <c r="E425" s="436"/>
      <c r="F425" s="436"/>
      <c r="G425" s="436"/>
      <c r="H425" s="436"/>
      <c r="I425" s="453"/>
      <c r="J425" s="453"/>
      <c r="K425" s="453"/>
      <c r="L425" s="453"/>
      <c r="M425" s="454" t="s">
        <v>742</v>
      </c>
      <c r="N425" s="453"/>
      <c r="O425" s="451">
        <f>(+O424/O423)*100</f>
        <v>-10.499827023563178</v>
      </c>
      <c r="P425" s="455"/>
      <c r="Q425" s="436"/>
      <c r="R425" s="81"/>
      <c r="S425" s="81"/>
      <c r="T425" s="80"/>
      <c r="U425" s="80"/>
    </row>
    <row r="426" spans="1:21" ht="12.75" x14ac:dyDescent="0.2">
      <c r="A426" s="440" t="s">
        <v>822</v>
      </c>
      <c r="B426" s="436"/>
      <c r="C426" s="437"/>
      <c r="D426" s="436"/>
      <c r="E426" s="436"/>
      <c r="F426" s="437"/>
      <c r="G426" s="436"/>
      <c r="H426" s="436"/>
      <c r="I426" s="453"/>
      <c r="J426" s="453"/>
      <c r="K426" s="453"/>
      <c r="L426" s="453"/>
      <c r="M426" s="453"/>
      <c r="N426" s="453"/>
      <c r="O426" s="436"/>
      <c r="P426" s="455"/>
      <c r="Q426" s="436"/>
      <c r="R426" s="81"/>
      <c r="S426" s="81"/>
      <c r="T426" s="80"/>
      <c r="U426" s="80"/>
    </row>
    <row r="427" spans="1:21" ht="12.75" x14ac:dyDescent="0.2">
      <c r="A427" s="439" t="s">
        <v>739</v>
      </c>
      <c r="B427" s="436"/>
      <c r="C427" s="896">
        <v>11383</v>
      </c>
      <c r="D427" s="896">
        <v>11384</v>
      </c>
      <c r="E427" s="896">
        <v>11384</v>
      </c>
      <c r="F427" s="896">
        <v>11384</v>
      </c>
      <c r="G427" s="896">
        <v>11384</v>
      </c>
      <c r="H427" s="896">
        <v>11384</v>
      </c>
      <c r="I427" s="896">
        <v>8254</v>
      </c>
      <c r="J427" s="896">
        <v>7445</v>
      </c>
      <c r="K427" s="896">
        <v>8091</v>
      </c>
      <c r="L427" s="896">
        <v>8046</v>
      </c>
      <c r="M427" s="896">
        <v>8676</v>
      </c>
      <c r="N427" s="896">
        <v>8091</v>
      </c>
      <c r="O427" s="448">
        <f>SUM(C427:N427)</f>
        <v>116906</v>
      </c>
      <c r="P427" s="455"/>
      <c r="Q427" s="436"/>
      <c r="R427" s="81"/>
      <c r="S427" s="81"/>
      <c r="T427" s="80"/>
      <c r="U427" s="80"/>
    </row>
    <row r="428" spans="1:21" ht="12.75" x14ac:dyDescent="0.2">
      <c r="A428" s="439" t="s">
        <v>740</v>
      </c>
      <c r="B428" s="436"/>
      <c r="C428" s="916">
        <v>13462</v>
      </c>
      <c r="D428" s="916">
        <v>10670</v>
      </c>
      <c r="E428" s="916">
        <v>7681</v>
      </c>
      <c r="F428" s="916">
        <v>11218</v>
      </c>
      <c r="G428" s="916">
        <v>11218</v>
      </c>
      <c r="H428" s="916">
        <v>11219</v>
      </c>
      <c r="I428" s="916">
        <v>10011</v>
      </c>
      <c r="J428" s="916">
        <v>12751</v>
      </c>
      <c r="K428" s="916">
        <v>12202</v>
      </c>
      <c r="L428" s="916">
        <v>11383</v>
      </c>
      <c r="M428" s="916">
        <v>11356</v>
      </c>
      <c r="N428" s="916">
        <v>11384</v>
      </c>
      <c r="O428" s="450">
        <f>SUM(C428:N428)</f>
        <v>134555</v>
      </c>
      <c r="P428" s="455"/>
      <c r="Q428" s="436"/>
      <c r="R428" s="81"/>
      <c r="S428" s="81"/>
      <c r="T428" s="80"/>
      <c r="U428" s="80"/>
    </row>
    <row r="429" spans="1:21" ht="12.75" x14ac:dyDescent="0.2">
      <c r="A429" s="439" t="s">
        <v>741</v>
      </c>
      <c r="B429" s="436"/>
      <c r="C429" s="448">
        <f t="shared" ref="C429:N429" si="48">C427-C428</f>
        <v>-2079</v>
      </c>
      <c r="D429" s="448">
        <f t="shared" si="48"/>
        <v>714</v>
      </c>
      <c r="E429" s="448">
        <f t="shared" si="48"/>
        <v>3703</v>
      </c>
      <c r="F429" s="448">
        <f t="shared" si="48"/>
        <v>166</v>
      </c>
      <c r="G429" s="448">
        <f t="shared" si="48"/>
        <v>166</v>
      </c>
      <c r="H429" s="448">
        <f t="shared" si="48"/>
        <v>165</v>
      </c>
      <c r="I429" s="917">
        <f t="shared" si="48"/>
        <v>-1757</v>
      </c>
      <c r="J429" s="917">
        <f t="shared" si="48"/>
        <v>-5306</v>
      </c>
      <c r="K429" s="917">
        <f t="shared" si="48"/>
        <v>-4111</v>
      </c>
      <c r="L429" s="917">
        <f t="shared" si="48"/>
        <v>-3337</v>
      </c>
      <c r="M429" s="917">
        <f t="shared" si="48"/>
        <v>-2680</v>
      </c>
      <c r="N429" s="917">
        <f t="shared" si="48"/>
        <v>-3293</v>
      </c>
      <c r="O429" s="448">
        <f>SUM(C429:N429)</f>
        <v>-17649</v>
      </c>
      <c r="P429" s="455"/>
      <c r="Q429" s="436"/>
      <c r="R429" s="81"/>
      <c r="S429" s="81"/>
      <c r="T429" s="80"/>
      <c r="U429" s="80"/>
    </row>
    <row r="430" spans="1:21" ht="12.75" x14ac:dyDescent="0.2">
      <c r="A430" s="436"/>
      <c r="B430" s="436"/>
      <c r="C430" s="436"/>
      <c r="D430" s="436"/>
      <c r="E430" s="436"/>
      <c r="F430" s="436"/>
      <c r="G430" s="436"/>
      <c r="H430" s="436"/>
      <c r="I430" s="453"/>
      <c r="J430" s="453"/>
      <c r="K430" s="453"/>
      <c r="L430" s="453"/>
      <c r="M430" s="454" t="s">
        <v>742</v>
      </c>
      <c r="N430" s="453"/>
      <c r="O430" s="451">
        <f>(+O429/O428)*100</f>
        <v>-13.116569432574041</v>
      </c>
      <c r="P430" s="455"/>
      <c r="Q430" s="436"/>
      <c r="R430" s="81"/>
      <c r="S430" s="81"/>
      <c r="T430" s="80"/>
      <c r="U430" s="80"/>
    </row>
    <row r="431" spans="1:21" ht="12.75" x14ac:dyDescent="0.2">
      <c r="A431" s="440" t="s">
        <v>823</v>
      </c>
      <c r="B431" s="436"/>
      <c r="C431" s="437"/>
      <c r="D431" s="436"/>
      <c r="E431" s="436"/>
      <c r="F431" s="436"/>
      <c r="G431" s="436"/>
      <c r="H431" s="436"/>
      <c r="I431" s="453"/>
      <c r="J431" s="453"/>
      <c r="K431" s="453"/>
      <c r="L431" s="453"/>
      <c r="M431" s="453"/>
      <c r="N431" s="453"/>
      <c r="O431" s="436"/>
      <c r="P431" s="455"/>
      <c r="Q431" s="436"/>
      <c r="R431" s="81"/>
      <c r="S431" s="81"/>
      <c r="T431" s="80"/>
      <c r="U431" s="80"/>
    </row>
    <row r="432" spans="1:21" ht="12.75" x14ac:dyDescent="0.2">
      <c r="A432" s="439" t="s">
        <v>739</v>
      </c>
      <c r="B432" s="436"/>
      <c r="C432" s="896">
        <v>46744</v>
      </c>
      <c r="D432" s="896">
        <v>47580</v>
      </c>
      <c r="E432" s="896">
        <v>89507</v>
      </c>
      <c r="F432" s="896">
        <v>46026</v>
      </c>
      <c r="G432" s="896">
        <v>44612</v>
      </c>
      <c r="H432" s="896">
        <v>81247</v>
      </c>
      <c r="I432" s="896">
        <v>45614</v>
      </c>
      <c r="J432" s="896">
        <v>50879</v>
      </c>
      <c r="K432" s="896">
        <v>66924</v>
      </c>
      <c r="L432" s="896">
        <v>48259</v>
      </c>
      <c r="M432" s="896">
        <v>49790</v>
      </c>
      <c r="N432" s="896">
        <v>71508</v>
      </c>
      <c r="O432" s="448">
        <f>SUM(C432:N432)</f>
        <v>688690</v>
      </c>
      <c r="P432" s="455"/>
      <c r="Q432" s="436"/>
      <c r="R432" s="81"/>
      <c r="S432" s="81"/>
      <c r="T432" s="80"/>
      <c r="U432" s="80"/>
    </row>
    <row r="433" spans="1:21" ht="12.75" x14ac:dyDescent="0.2">
      <c r="A433" s="439" t="s">
        <v>740</v>
      </c>
      <c r="B433" s="436"/>
      <c r="C433" s="916">
        <v>46022</v>
      </c>
      <c r="D433" s="916">
        <v>46426</v>
      </c>
      <c r="E433" s="916">
        <v>121270</v>
      </c>
      <c r="F433" s="916">
        <v>47731</v>
      </c>
      <c r="G433" s="916">
        <v>52732</v>
      </c>
      <c r="H433" s="916">
        <v>64471</v>
      </c>
      <c r="I433" s="916">
        <v>45143</v>
      </c>
      <c r="J433" s="916">
        <v>48979</v>
      </c>
      <c r="K433" s="916">
        <v>71864</v>
      </c>
      <c r="L433" s="916">
        <v>49310</v>
      </c>
      <c r="M433" s="916">
        <v>45814</v>
      </c>
      <c r="N433" s="916">
        <v>92187</v>
      </c>
      <c r="O433" s="450">
        <f>SUM(C433:N433)</f>
        <v>731949</v>
      </c>
      <c r="P433" s="455"/>
      <c r="Q433" s="436"/>
      <c r="R433" s="81"/>
      <c r="S433" s="81"/>
      <c r="T433" s="80"/>
      <c r="U433" s="80"/>
    </row>
    <row r="434" spans="1:21" ht="12.75" x14ac:dyDescent="0.2">
      <c r="A434" s="439" t="s">
        <v>741</v>
      </c>
      <c r="B434" s="436"/>
      <c r="C434" s="448">
        <f t="shared" ref="C434:N434" si="49">C432-C433</f>
        <v>722</v>
      </c>
      <c r="D434" s="448">
        <f t="shared" si="49"/>
        <v>1154</v>
      </c>
      <c r="E434" s="448">
        <f t="shared" si="49"/>
        <v>-31763</v>
      </c>
      <c r="F434" s="448">
        <f t="shared" si="49"/>
        <v>-1705</v>
      </c>
      <c r="G434" s="448">
        <f t="shared" si="49"/>
        <v>-8120</v>
      </c>
      <c r="H434" s="448">
        <f t="shared" si="49"/>
        <v>16776</v>
      </c>
      <c r="I434" s="917">
        <f t="shared" si="49"/>
        <v>471</v>
      </c>
      <c r="J434" s="917">
        <f t="shared" si="49"/>
        <v>1900</v>
      </c>
      <c r="K434" s="917">
        <f t="shared" si="49"/>
        <v>-4940</v>
      </c>
      <c r="L434" s="917">
        <f t="shared" si="49"/>
        <v>-1051</v>
      </c>
      <c r="M434" s="917">
        <f t="shared" si="49"/>
        <v>3976</v>
      </c>
      <c r="N434" s="917">
        <f t="shared" si="49"/>
        <v>-20679</v>
      </c>
      <c r="O434" s="448">
        <f>SUM(C434:N434)</f>
        <v>-43259</v>
      </c>
      <c r="P434" s="455"/>
      <c r="Q434" s="436"/>
      <c r="R434" s="81"/>
      <c r="S434" s="81"/>
      <c r="T434" s="80"/>
      <c r="U434" s="80"/>
    </row>
    <row r="435" spans="1:21" ht="12.75" x14ac:dyDescent="0.2">
      <c r="A435" s="436"/>
      <c r="B435" s="436"/>
      <c r="C435" s="436"/>
      <c r="D435" s="436"/>
      <c r="E435" s="436"/>
      <c r="F435" s="436"/>
      <c r="G435" s="436"/>
      <c r="H435" s="436"/>
      <c r="I435" s="453"/>
      <c r="J435" s="453"/>
      <c r="K435" s="453"/>
      <c r="L435" s="453"/>
      <c r="M435" s="454" t="s">
        <v>742</v>
      </c>
      <c r="N435" s="453"/>
      <c r="O435" s="451">
        <f>(+O434/O433)*100</f>
        <v>-5.9101112235961795</v>
      </c>
      <c r="P435" s="455"/>
      <c r="Q435" s="436"/>
      <c r="R435" s="81"/>
      <c r="S435" s="81"/>
      <c r="T435" s="80"/>
      <c r="U435" s="80"/>
    </row>
    <row r="436" spans="1:21" ht="12.75" x14ac:dyDescent="0.2">
      <c r="A436" s="1429" t="s">
        <v>477</v>
      </c>
      <c r="B436" s="1430"/>
      <c r="C436" s="1430"/>
      <c r="D436" s="1430"/>
      <c r="E436" s="1430"/>
      <c r="F436" s="1430"/>
      <c r="G436" s="1430"/>
      <c r="H436" s="1430"/>
      <c r="I436" s="1430"/>
      <c r="J436" s="1430"/>
      <c r="K436" s="1430"/>
      <c r="L436" s="1430"/>
      <c r="M436" s="1430"/>
      <c r="N436" s="1430"/>
      <c r="O436" s="1430"/>
      <c r="P436" s="455"/>
      <c r="Q436" s="436"/>
      <c r="R436" s="81"/>
      <c r="S436" s="81"/>
      <c r="T436" s="80"/>
      <c r="U436" s="80"/>
    </row>
    <row r="437" spans="1:21" ht="12.75" x14ac:dyDescent="0.2">
      <c r="A437" s="1429" t="str">
        <f>+Input!C4</f>
        <v>CASE NO. 2017-xxxxx</v>
      </c>
      <c r="B437" s="1430"/>
      <c r="C437" s="1430"/>
      <c r="D437" s="1430"/>
      <c r="E437" s="1430"/>
      <c r="F437" s="1430"/>
      <c r="G437" s="1430"/>
      <c r="H437" s="1430"/>
      <c r="I437" s="1430"/>
      <c r="J437" s="1430"/>
      <c r="K437" s="1430"/>
      <c r="L437" s="1430"/>
      <c r="M437" s="1430"/>
      <c r="N437" s="1430"/>
      <c r="O437" s="1430"/>
      <c r="P437" s="455"/>
      <c r="Q437" s="436"/>
      <c r="R437" s="81"/>
      <c r="S437" s="81"/>
      <c r="T437" s="80"/>
      <c r="U437" s="80"/>
    </row>
    <row r="438" spans="1:21" ht="12.75" x14ac:dyDescent="0.2">
      <c r="A438" s="1429" t="s">
        <v>727</v>
      </c>
      <c r="B438" s="1430"/>
      <c r="C438" s="1430"/>
      <c r="D438" s="1430"/>
      <c r="E438" s="1430"/>
      <c r="F438" s="1430"/>
      <c r="G438" s="1430"/>
      <c r="H438" s="1430"/>
      <c r="I438" s="1430"/>
      <c r="J438" s="1430"/>
      <c r="K438" s="1430"/>
      <c r="L438" s="1430"/>
      <c r="M438" s="1430"/>
      <c r="N438" s="1430"/>
      <c r="O438" s="1430"/>
      <c r="P438" s="455"/>
      <c r="Q438" s="436"/>
      <c r="R438" s="81"/>
      <c r="S438" s="81"/>
      <c r="T438" s="80"/>
      <c r="U438" s="80"/>
    </row>
    <row r="439" spans="1:21" ht="12.75" x14ac:dyDescent="0.2">
      <c r="A439" s="1429" t="str">
        <f>+Input!C23</f>
        <v>FOR THE HISTORIC PERIOD 12 MONTHS ENDED DECEMBER 31, 2017 AND PRIOR PERIOD DECEMBER 31, 2016</v>
      </c>
      <c r="B439" s="1430"/>
      <c r="C439" s="1430"/>
      <c r="D439" s="1430"/>
      <c r="E439" s="1430"/>
      <c r="F439" s="1430"/>
      <c r="G439" s="1430"/>
      <c r="H439" s="1430"/>
      <c r="I439" s="1430"/>
      <c r="J439" s="1430"/>
      <c r="K439" s="1430"/>
      <c r="L439" s="1430"/>
      <c r="M439" s="1430"/>
      <c r="N439" s="1430"/>
      <c r="O439" s="1430"/>
      <c r="P439" s="455"/>
      <c r="Q439" s="436"/>
      <c r="R439" s="81"/>
      <c r="S439" s="81"/>
      <c r="T439" s="80"/>
      <c r="U439" s="80"/>
    </row>
    <row r="440" spans="1:21" ht="12.75" x14ac:dyDescent="0.2">
      <c r="A440" s="436"/>
      <c r="B440" s="436"/>
      <c r="C440" s="437"/>
      <c r="D440" s="436"/>
      <c r="E440" s="436"/>
      <c r="F440" s="436"/>
      <c r="G440" s="438"/>
      <c r="H440" s="436"/>
      <c r="I440" s="453"/>
      <c r="J440" s="453"/>
      <c r="K440" s="453"/>
      <c r="L440" s="453"/>
      <c r="M440" s="453"/>
      <c r="N440" s="453"/>
      <c r="O440" s="436"/>
      <c r="P440" s="455"/>
      <c r="Q440" s="436"/>
      <c r="R440" s="81"/>
      <c r="S440" s="81"/>
      <c r="T440" s="80"/>
      <c r="U440" s="80"/>
    </row>
    <row r="441" spans="1:21" ht="12.75" x14ac:dyDescent="0.2">
      <c r="A441" s="439" t="s">
        <v>839</v>
      </c>
      <c r="B441" s="436"/>
      <c r="C441" s="436"/>
      <c r="D441" s="436"/>
      <c r="E441" s="436"/>
      <c r="F441" s="436"/>
      <c r="G441" s="436"/>
      <c r="H441" s="436"/>
      <c r="I441" s="453"/>
      <c r="J441" s="453"/>
      <c r="K441" s="453"/>
      <c r="L441" s="453"/>
      <c r="M441" s="927"/>
      <c r="N441" s="453"/>
      <c r="O441" s="813" t="s">
        <v>752</v>
      </c>
      <c r="P441" s="455"/>
      <c r="Q441" s="436"/>
      <c r="R441" s="81"/>
      <c r="S441" s="81"/>
      <c r="T441" s="80"/>
      <c r="U441" s="80"/>
    </row>
    <row r="442" spans="1:21" ht="12.75" x14ac:dyDescent="0.2">
      <c r="A442" s="439" t="s">
        <v>490</v>
      </c>
      <c r="B442" s="436"/>
      <c r="C442" s="436"/>
      <c r="D442" s="436"/>
      <c r="E442" s="436"/>
      <c r="F442" s="436"/>
      <c r="G442" s="436"/>
      <c r="H442" s="436"/>
      <c r="I442" s="453"/>
      <c r="J442" s="453"/>
      <c r="K442" s="453"/>
      <c r="L442" s="453"/>
      <c r="M442" s="927"/>
      <c r="N442" s="453"/>
      <c r="O442" s="813" t="s">
        <v>1726</v>
      </c>
      <c r="P442" s="455"/>
      <c r="Q442" s="436"/>
      <c r="R442" s="81"/>
      <c r="S442" s="81"/>
      <c r="T442" s="80"/>
      <c r="U442" s="80"/>
    </row>
    <row r="443" spans="1:21" ht="12.75" x14ac:dyDescent="0.2">
      <c r="A443" s="441" t="s">
        <v>840</v>
      </c>
      <c r="B443" s="442"/>
      <c r="C443" s="442"/>
      <c r="D443" s="442"/>
      <c r="E443" s="442"/>
      <c r="F443" s="442"/>
      <c r="G443" s="442"/>
      <c r="H443" s="442"/>
      <c r="I443" s="918"/>
      <c r="J443" s="918"/>
      <c r="K443" s="918"/>
      <c r="L443" s="918"/>
      <c r="M443" s="928"/>
      <c r="N443" s="931"/>
      <c r="O443" s="815" t="str">
        <f>+Input!E27</f>
        <v>WITNESS:  C. Y. LAI</v>
      </c>
      <c r="P443" s="455"/>
      <c r="Q443" s="436"/>
      <c r="R443" s="81"/>
      <c r="S443" s="81"/>
      <c r="T443" s="80"/>
      <c r="U443" s="80"/>
    </row>
    <row r="444" spans="1:21" ht="12.75" x14ac:dyDescent="0.2">
      <c r="A444" s="1431" t="s">
        <v>728</v>
      </c>
      <c r="B444" s="1431"/>
      <c r="C444" s="437"/>
      <c r="D444" s="436"/>
      <c r="E444" s="436"/>
      <c r="F444" s="436"/>
      <c r="G444" s="436"/>
      <c r="H444" s="436"/>
      <c r="I444" s="453"/>
      <c r="J444" s="453"/>
      <c r="K444" s="453"/>
      <c r="L444" s="453"/>
      <c r="M444" s="453"/>
      <c r="N444" s="453"/>
      <c r="O444" s="436"/>
      <c r="P444" s="455"/>
      <c r="Q444" s="436"/>
      <c r="R444" s="81"/>
      <c r="S444" s="81"/>
      <c r="T444" s="80"/>
      <c r="U444" s="80"/>
    </row>
    <row r="445" spans="1:21" ht="12.75" x14ac:dyDescent="0.2">
      <c r="A445" s="1432" t="s">
        <v>729</v>
      </c>
      <c r="B445" s="1432"/>
      <c r="C445" s="443" t="s">
        <v>1011</v>
      </c>
      <c r="D445" s="443" t="s">
        <v>731</v>
      </c>
      <c r="E445" s="443" t="s">
        <v>732</v>
      </c>
      <c r="F445" s="443" t="s">
        <v>733</v>
      </c>
      <c r="G445" s="443" t="s">
        <v>734</v>
      </c>
      <c r="H445" s="443" t="s">
        <v>735</v>
      </c>
      <c r="I445" s="919" t="s">
        <v>736</v>
      </c>
      <c r="J445" s="919" t="s">
        <v>737</v>
      </c>
      <c r="K445" s="925" t="s">
        <v>1012</v>
      </c>
      <c r="L445" s="919" t="s">
        <v>1013</v>
      </c>
      <c r="M445" s="919" t="s">
        <v>730</v>
      </c>
      <c r="N445" s="919" t="s">
        <v>1014</v>
      </c>
      <c r="O445" s="444" t="s">
        <v>525</v>
      </c>
      <c r="P445" s="455"/>
      <c r="Q445" s="436"/>
      <c r="R445" s="81"/>
      <c r="S445" s="81"/>
      <c r="T445" s="80"/>
      <c r="U445" s="80"/>
    </row>
    <row r="446" spans="1:21" ht="12.75" x14ac:dyDescent="0.2">
      <c r="A446" s="436"/>
      <c r="B446" s="436"/>
      <c r="C446" s="445" t="s">
        <v>500</v>
      </c>
      <c r="D446" s="445" t="s">
        <v>500</v>
      </c>
      <c r="E446" s="445" t="s">
        <v>500</v>
      </c>
      <c r="F446" s="445" t="s">
        <v>500</v>
      </c>
      <c r="G446" s="445" t="s">
        <v>500</v>
      </c>
      <c r="H446" s="445" t="s">
        <v>500</v>
      </c>
      <c r="I446" s="910" t="s">
        <v>500</v>
      </c>
      <c r="J446" s="910" t="s">
        <v>500</v>
      </c>
      <c r="K446" s="910" t="s">
        <v>500</v>
      </c>
      <c r="L446" s="910" t="s">
        <v>500</v>
      </c>
      <c r="M446" s="910" t="s">
        <v>500</v>
      </c>
      <c r="N446" s="910" t="s">
        <v>500</v>
      </c>
      <c r="O446" s="445" t="s">
        <v>500</v>
      </c>
      <c r="P446" s="455"/>
      <c r="Q446" s="436"/>
      <c r="R446" s="81"/>
      <c r="S446" s="81"/>
      <c r="T446" s="80"/>
      <c r="U446" s="80"/>
    </row>
    <row r="447" spans="1:21" ht="12.75" x14ac:dyDescent="0.2">
      <c r="A447" s="436"/>
      <c r="B447" s="436"/>
      <c r="C447" s="436"/>
      <c r="D447" s="436"/>
      <c r="E447" s="436"/>
      <c r="F447" s="436"/>
      <c r="G447" s="436"/>
      <c r="H447" s="436"/>
      <c r="I447" s="453"/>
      <c r="J447" s="453"/>
      <c r="K447" s="453"/>
      <c r="L447" s="453"/>
      <c r="M447" s="453"/>
      <c r="N447" s="453"/>
      <c r="O447" s="436"/>
      <c r="P447" s="455"/>
      <c r="Q447" s="436"/>
      <c r="R447" s="81"/>
      <c r="S447" s="81"/>
      <c r="T447" s="80"/>
      <c r="U447" s="80"/>
    </row>
    <row r="448" spans="1:21" ht="12.75" x14ac:dyDescent="0.2">
      <c r="A448" s="440" t="s">
        <v>824</v>
      </c>
      <c r="B448" s="436"/>
      <c r="C448" s="437"/>
      <c r="D448" s="436"/>
      <c r="E448" s="436"/>
      <c r="F448" s="436"/>
      <c r="G448" s="436"/>
      <c r="H448" s="436"/>
      <c r="I448" s="453"/>
      <c r="J448" s="453"/>
      <c r="K448" s="453"/>
      <c r="L448" s="453"/>
      <c r="M448" s="453"/>
      <c r="N448" s="453"/>
      <c r="O448" s="436"/>
      <c r="P448" s="455"/>
      <c r="Q448" s="436"/>
      <c r="R448" s="81"/>
      <c r="S448" s="81"/>
      <c r="T448" s="80"/>
      <c r="U448" s="80"/>
    </row>
    <row r="449" spans="1:21" ht="12.75" x14ac:dyDescent="0.2">
      <c r="A449" s="439" t="s">
        <v>739</v>
      </c>
      <c r="B449" s="436"/>
      <c r="C449" s="896">
        <v>113792</v>
      </c>
      <c r="D449" s="896">
        <v>124579</v>
      </c>
      <c r="E449" s="896">
        <v>198274</v>
      </c>
      <c r="F449" s="896">
        <v>147373</v>
      </c>
      <c r="G449" s="896">
        <v>136386</v>
      </c>
      <c r="H449" s="896">
        <v>159051</v>
      </c>
      <c r="I449" s="896">
        <v>142327</v>
      </c>
      <c r="J449" s="896">
        <v>130604</v>
      </c>
      <c r="K449" s="896">
        <v>-188823</v>
      </c>
      <c r="L449" s="896">
        <v>134055</v>
      </c>
      <c r="M449" s="896">
        <v>177438</v>
      </c>
      <c r="N449" s="896">
        <v>-209696</v>
      </c>
      <c r="O449" s="448">
        <f>SUM(C449:N449)</f>
        <v>1065360</v>
      </c>
      <c r="P449" s="455"/>
      <c r="Q449" s="436"/>
      <c r="R449" s="81"/>
      <c r="S449" s="81"/>
      <c r="T449" s="80"/>
      <c r="U449" s="80"/>
    </row>
    <row r="450" spans="1:21" ht="12.75" x14ac:dyDescent="0.2">
      <c r="A450" s="439" t="s">
        <v>740</v>
      </c>
      <c r="B450" s="436"/>
      <c r="C450" s="916">
        <v>214788</v>
      </c>
      <c r="D450" s="916">
        <v>36173</v>
      </c>
      <c r="E450" s="916">
        <v>194273</v>
      </c>
      <c r="F450" s="916">
        <v>175880</v>
      </c>
      <c r="G450" s="916">
        <v>164878</v>
      </c>
      <c r="H450" s="916">
        <v>164539</v>
      </c>
      <c r="I450" s="916">
        <v>187284</v>
      </c>
      <c r="J450" s="916">
        <v>-97309</v>
      </c>
      <c r="K450" s="916">
        <v>155827</v>
      </c>
      <c r="L450" s="916">
        <v>165617</v>
      </c>
      <c r="M450" s="916">
        <v>166466</v>
      </c>
      <c r="N450" s="916">
        <v>55538</v>
      </c>
      <c r="O450" s="450">
        <f>SUM(C450:N450)</f>
        <v>1583954</v>
      </c>
      <c r="P450" s="455"/>
      <c r="Q450" s="436"/>
      <c r="R450" s="81"/>
      <c r="S450" s="81"/>
      <c r="T450" s="80"/>
      <c r="U450" s="80"/>
    </row>
    <row r="451" spans="1:21" ht="12.75" x14ac:dyDescent="0.2">
      <c r="A451" s="439" t="s">
        <v>741</v>
      </c>
      <c r="B451" s="436"/>
      <c r="C451" s="448">
        <f t="shared" ref="C451:N451" si="50">C449-C450</f>
        <v>-100996</v>
      </c>
      <c r="D451" s="448">
        <f t="shared" si="50"/>
        <v>88406</v>
      </c>
      <c r="E451" s="448">
        <f t="shared" si="50"/>
        <v>4001</v>
      </c>
      <c r="F451" s="448">
        <f t="shared" si="50"/>
        <v>-28507</v>
      </c>
      <c r="G451" s="448">
        <f t="shared" si="50"/>
        <v>-28492</v>
      </c>
      <c r="H451" s="448">
        <f t="shared" si="50"/>
        <v>-5488</v>
      </c>
      <c r="I451" s="917">
        <f t="shared" si="50"/>
        <v>-44957</v>
      </c>
      <c r="J451" s="917">
        <f t="shared" si="50"/>
        <v>227913</v>
      </c>
      <c r="K451" s="917">
        <f t="shared" si="50"/>
        <v>-344650</v>
      </c>
      <c r="L451" s="917">
        <f t="shared" si="50"/>
        <v>-31562</v>
      </c>
      <c r="M451" s="917">
        <f t="shared" si="50"/>
        <v>10972</v>
      </c>
      <c r="N451" s="917">
        <f t="shared" si="50"/>
        <v>-265234</v>
      </c>
      <c r="O451" s="448">
        <f>SUM(C451:N451)</f>
        <v>-518594</v>
      </c>
      <c r="P451" s="455"/>
      <c r="Q451" s="436"/>
      <c r="R451" s="81"/>
      <c r="S451" s="81"/>
      <c r="T451" s="80"/>
      <c r="U451" s="80"/>
    </row>
    <row r="452" spans="1:21" ht="12.75" x14ac:dyDescent="0.2">
      <c r="A452" s="436"/>
      <c r="B452" s="436"/>
      <c r="C452" s="436"/>
      <c r="D452" s="436"/>
      <c r="E452" s="436"/>
      <c r="F452" s="436"/>
      <c r="G452" s="436"/>
      <c r="H452" s="436"/>
      <c r="I452" s="453"/>
      <c r="J452" s="453"/>
      <c r="K452" s="453"/>
      <c r="L452" s="453"/>
      <c r="M452" s="454" t="s">
        <v>742</v>
      </c>
      <c r="N452" s="453"/>
      <c r="O452" s="451">
        <f>(+O451/O450)*100</f>
        <v>-32.740470998526469</v>
      </c>
      <c r="P452" s="455"/>
      <c r="Q452" s="436"/>
      <c r="R452" s="81"/>
      <c r="S452" s="81"/>
      <c r="T452" s="80"/>
      <c r="U452" s="80"/>
    </row>
    <row r="453" spans="1:21" ht="12.75" x14ac:dyDescent="0.2">
      <c r="A453" s="440" t="s">
        <v>825</v>
      </c>
      <c r="B453" s="436"/>
      <c r="C453" s="436"/>
      <c r="D453" s="436"/>
      <c r="E453" s="436"/>
      <c r="F453" s="436"/>
      <c r="G453" s="436"/>
      <c r="H453" s="436"/>
      <c r="I453" s="453"/>
      <c r="J453" s="453"/>
      <c r="K453" s="453"/>
      <c r="L453" s="453"/>
      <c r="M453" s="453"/>
      <c r="N453" s="453"/>
      <c r="O453" s="436"/>
      <c r="P453" s="455"/>
      <c r="Q453" s="436"/>
      <c r="R453" s="81"/>
      <c r="S453" s="81"/>
      <c r="T453" s="80"/>
      <c r="U453" s="80"/>
    </row>
    <row r="454" spans="1:21" ht="12.75" x14ac:dyDescent="0.2">
      <c r="A454" s="439" t="s">
        <v>739</v>
      </c>
      <c r="B454" s="436"/>
      <c r="C454" s="896">
        <v>0</v>
      </c>
      <c r="D454" s="896">
        <v>0</v>
      </c>
      <c r="E454" s="896">
        <v>0</v>
      </c>
      <c r="F454" s="896">
        <v>0</v>
      </c>
      <c r="G454" s="896">
        <v>0</v>
      </c>
      <c r="H454" s="896">
        <v>0</v>
      </c>
      <c r="I454" s="896">
        <v>0</v>
      </c>
      <c r="J454" s="896">
        <v>0</v>
      </c>
      <c r="K454" s="896">
        <v>0</v>
      </c>
      <c r="L454" s="896">
        <v>0</v>
      </c>
      <c r="M454" s="896">
        <v>0</v>
      </c>
      <c r="N454" s="896">
        <v>0</v>
      </c>
      <c r="O454" s="448">
        <f>SUM(C454:N454)</f>
        <v>0</v>
      </c>
      <c r="P454" s="458"/>
      <c r="Q454" s="436"/>
      <c r="R454" s="81"/>
      <c r="S454" s="81"/>
      <c r="T454" s="80"/>
      <c r="U454" s="80"/>
    </row>
    <row r="455" spans="1:21" ht="12.75" x14ac:dyDescent="0.2">
      <c r="A455" s="439" t="s">
        <v>740</v>
      </c>
      <c r="B455" s="436"/>
      <c r="C455" s="916">
        <v>0</v>
      </c>
      <c r="D455" s="916">
        <v>0</v>
      </c>
      <c r="E455" s="916">
        <v>0</v>
      </c>
      <c r="F455" s="916">
        <v>0</v>
      </c>
      <c r="G455" s="916">
        <v>0</v>
      </c>
      <c r="H455" s="916">
        <v>0</v>
      </c>
      <c r="I455" s="916">
        <v>0</v>
      </c>
      <c r="J455" s="916">
        <v>0</v>
      </c>
      <c r="K455" s="916">
        <v>0</v>
      </c>
      <c r="L455" s="916">
        <v>0</v>
      </c>
      <c r="M455" s="916">
        <v>0</v>
      </c>
      <c r="N455" s="916">
        <v>0</v>
      </c>
      <c r="O455" s="450">
        <f>SUM(C455:N455)</f>
        <v>0</v>
      </c>
      <c r="P455" s="458"/>
      <c r="Q455" s="436"/>
      <c r="R455" s="81"/>
      <c r="S455" s="81"/>
      <c r="T455" s="80"/>
      <c r="U455" s="80"/>
    </row>
    <row r="456" spans="1:21" ht="12.75" x14ac:dyDescent="0.2">
      <c r="A456" s="439" t="s">
        <v>741</v>
      </c>
      <c r="B456" s="436"/>
      <c r="C456" s="448">
        <f t="shared" ref="C456:O456" si="51">C454-C455</f>
        <v>0</v>
      </c>
      <c r="D456" s="448">
        <f t="shared" si="51"/>
        <v>0</v>
      </c>
      <c r="E456" s="448">
        <f t="shared" si="51"/>
        <v>0</v>
      </c>
      <c r="F456" s="448">
        <f t="shared" si="51"/>
        <v>0</v>
      </c>
      <c r="G456" s="448">
        <f t="shared" si="51"/>
        <v>0</v>
      </c>
      <c r="H456" s="448">
        <f t="shared" si="51"/>
        <v>0</v>
      </c>
      <c r="I456" s="917">
        <f t="shared" si="51"/>
        <v>0</v>
      </c>
      <c r="J456" s="917">
        <f t="shared" si="51"/>
        <v>0</v>
      </c>
      <c r="K456" s="917">
        <f t="shared" si="51"/>
        <v>0</v>
      </c>
      <c r="L456" s="917">
        <f t="shared" si="51"/>
        <v>0</v>
      </c>
      <c r="M456" s="917">
        <f t="shared" si="51"/>
        <v>0</v>
      </c>
      <c r="N456" s="917">
        <f t="shared" si="51"/>
        <v>0</v>
      </c>
      <c r="O456" s="448">
        <f t="shared" si="51"/>
        <v>0</v>
      </c>
      <c r="P456" s="458"/>
      <c r="Q456" s="436"/>
      <c r="R456" s="81"/>
      <c r="S456" s="81"/>
      <c r="T456" s="80"/>
      <c r="U456" s="80"/>
    </row>
    <row r="457" spans="1:21" ht="12.75" x14ac:dyDescent="0.2">
      <c r="A457" s="436"/>
      <c r="B457" s="436"/>
      <c r="C457" s="436"/>
      <c r="D457" s="436"/>
      <c r="E457" s="436"/>
      <c r="F457" s="436"/>
      <c r="G457" s="436"/>
      <c r="H457" s="436"/>
      <c r="I457" s="453"/>
      <c r="J457" s="453"/>
      <c r="K457" s="453"/>
      <c r="L457" s="453"/>
      <c r="M457" s="454" t="s">
        <v>742</v>
      </c>
      <c r="N457" s="453"/>
      <c r="O457" s="451">
        <v>0</v>
      </c>
      <c r="P457" s="455"/>
      <c r="Q457" s="436"/>
      <c r="R457" s="81"/>
      <c r="S457" s="81"/>
      <c r="T457" s="80"/>
      <c r="U457" s="80"/>
    </row>
    <row r="458" spans="1:21" ht="12.75" x14ac:dyDescent="0.2">
      <c r="A458" s="440" t="s">
        <v>826</v>
      </c>
      <c r="B458" s="436"/>
      <c r="C458" s="437"/>
      <c r="D458" s="436"/>
      <c r="E458" s="436"/>
      <c r="F458" s="436"/>
      <c r="G458" s="436"/>
      <c r="H458" s="436"/>
      <c r="I458" s="453"/>
      <c r="J458" s="453"/>
      <c r="K458" s="453"/>
      <c r="L458" s="453"/>
      <c r="M458" s="453"/>
      <c r="N458" s="453"/>
      <c r="O458" s="436"/>
      <c r="P458" s="455"/>
      <c r="Q458" s="436"/>
      <c r="R458" s="81"/>
      <c r="S458" s="81"/>
      <c r="T458" s="80"/>
      <c r="U458" s="80"/>
    </row>
    <row r="459" spans="1:21" ht="12.75" x14ac:dyDescent="0.2">
      <c r="A459" s="439" t="s">
        <v>739</v>
      </c>
      <c r="B459" s="436"/>
      <c r="C459" s="896">
        <v>26490</v>
      </c>
      <c r="D459" s="896">
        <v>26490</v>
      </c>
      <c r="E459" s="896">
        <v>26491</v>
      </c>
      <c r="F459" s="896">
        <v>26490</v>
      </c>
      <c r="G459" s="896">
        <v>26491</v>
      </c>
      <c r="H459" s="896">
        <v>26491</v>
      </c>
      <c r="I459" s="896">
        <v>23953</v>
      </c>
      <c r="J459" s="896">
        <v>23953</v>
      </c>
      <c r="K459" s="896">
        <v>23954</v>
      </c>
      <c r="L459" s="896">
        <v>23954</v>
      </c>
      <c r="M459" s="896">
        <v>23954</v>
      </c>
      <c r="N459" s="896">
        <v>23953</v>
      </c>
      <c r="O459" s="448">
        <f>SUM(C459:N459)</f>
        <v>302664</v>
      </c>
      <c r="P459" s="458"/>
      <c r="Q459" s="436"/>
      <c r="R459" s="81"/>
      <c r="S459" s="81"/>
      <c r="T459" s="80"/>
      <c r="U459" s="80"/>
    </row>
    <row r="460" spans="1:21" ht="12.75" x14ac:dyDescent="0.2">
      <c r="A460" s="439" t="s">
        <v>740</v>
      </c>
      <c r="B460" s="436"/>
      <c r="C460" s="916">
        <v>23022</v>
      </c>
      <c r="D460" s="916">
        <v>23022</v>
      </c>
      <c r="E460" s="916">
        <v>23023</v>
      </c>
      <c r="F460" s="916">
        <v>23022</v>
      </c>
      <c r="G460" s="916">
        <v>23023</v>
      </c>
      <c r="H460" s="916">
        <v>23022</v>
      </c>
      <c r="I460" s="916">
        <v>22109</v>
      </c>
      <c r="J460" s="916">
        <v>22109</v>
      </c>
      <c r="K460" s="916">
        <v>26848</v>
      </c>
      <c r="L460" s="916">
        <v>26491</v>
      </c>
      <c r="M460" s="916">
        <v>26490</v>
      </c>
      <c r="N460" s="916">
        <v>26489</v>
      </c>
      <c r="O460" s="450">
        <f>SUM(C460:N460)</f>
        <v>288670</v>
      </c>
      <c r="P460" s="458"/>
      <c r="Q460" s="436"/>
      <c r="R460" s="81"/>
      <c r="S460" s="81"/>
      <c r="T460" s="80"/>
      <c r="U460" s="80"/>
    </row>
    <row r="461" spans="1:21" ht="12.75" x14ac:dyDescent="0.2">
      <c r="A461" s="439" t="s">
        <v>741</v>
      </c>
      <c r="B461" s="436"/>
      <c r="C461" s="448">
        <f t="shared" ref="C461:N461" si="52">C459-C460</f>
        <v>3468</v>
      </c>
      <c r="D461" s="448">
        <f t="shared" si="52"/>
        <v>3468</v>
      </c>
      <c r="E461" s="448">
        <f t="shared" si="52"/>
        <v>3468</v>
      </c>
      <c r="F461" s="448">
        <f t="shared" si="52"/>
        <v>3468</v>
      </c>
      <c r="G461" s="448">
        <f t="shared" si="52"/>
        <v>3468</v>
      </c>
      <c r="H461" s="448">
        <f t="shared" si="52"/>
        <v>3469</v>
      </c>
      <c r="I461" s="917">
        <f t="shared" si="52"/>
        <v>1844</v>
      </c>
      <c r="J461" s="917">
        <f t="shared" si="52"/>
        <v>1844</v>
      </c>
      <c r="K461" s="917">
        <f t="shared" si="52"/>
        <v>-2894</v>
      </c>
      <c r="L461" s="917">
        <f t="shared" si="52"/>
        <v>-2537</v>
      </c>
      <c r="M461" s="917">
        <f t="shared" si="52"/>
        <v>-2536</v>
      </c>
      <c r="N461" s="917">
        <f t="shared" si="52"/>
        <v>-2536</v>
      </c>
      <c r="O461" s="448">
        <f>SUM(C461:N461)</f>
        <v>13994</v>
      </c>
      <c r="P461" s="458"/>
      <c r="Q461" s="436"/>
      <c r="R461" s="81"/>
      <c r="S461" s="81"/>
      <c r="T461" s="80"/>
      <c r="U461" s="80"/>
    </row>
    <row r="462" spans="1:21" ht="12.75" x14ac:dyDescent="0.2">
      <c r="A462" s="436"/>
      <c r="B462" s="436"/>
      <c r="C462" s="436"/>
      <c r="D462" s="436"/>
      <c r="E462" s="436"/>
      <c r="F462" s="436"/>
      <c r="G462" s="436"/>
      <c r="H462" s="436"/>
      <c r="I462" s="453"/>
      <c r="J462" s="453"/>
      <c r="K462" s="453"/>
      <c r="L462" s="453"/>
      <c r="M462" s="454" t="s">
        <v>742</v>
      </c>
      <c r="N462" s="453"/>
      <c r="O462" s="451">
        <f>(+O461/O460)*100</f>
        <v>4.8477500259812238</v>
      </c>
      <c r="P462" s="455"/>
      <c r="Q462" s="436"/>
      <c r="R462" s="81"/>
      <c r="S462" s="81"/>
      <c r="T462" s="80"/>
      <c r="U462" s="80"/>
    </row>
    <row r="463" spans="1:21" ht="12.75" x14ac:dyDescent="0.2">
      <c r="A463" s="440" t="s">
        <v>829</v>
      </c>
      <c r="B463" s="436"/>
      <c r="C463" s="437"/>
      <c r="D463" s="436"/>
      <c r="E463" s="436"/>
      <c r="F463" s="436"/>
      <c r="G463" s="436"/>
      <c r="H463" s="436"/>
      <c r="I463" s="453"/>
      <c r="J463" s="453"/>
      <c r="K463" s="453"/>
      <c r="L463" s="453"/>
      <c r="M463" s="453"/>
      <c r="N463" s="453"/>
      <c r="O463" s="436"/>
      <c r="P463" s="455"/>
      <c r="Q463" s="436"/>
      <c r="R463" s="81"/>
      <c r="S463" s="81"/>
      <c r="T463" s="80"/>
      <c r="U463" s="80"/>
    </row>
    <row r="464" spans="1:21" ht="12.75" x14ac:dyDescent="0.2">
      <c r="A464" s="439" t="s">
        <v>739</v>
      </c>
      <c r="B464" s="436"/>
      <c r="C464" s="896">
        <v>0</v>
      </c>
      <c r="D464" s="896">
        <v>0</v>
      </c>
      <c r="E464" s="896">
        <v>0</v>
      </c>
      <c r="F464" s="896">
        <v>0</v>
      </c>
      <c r="G464" s="896">
        <v>0</v>
      </c>
      <c r="H464" s="896">
        <v>0</v>
      </c>
      <c r="I464" s="896">
        <v>0</v>
      </c>
      <c r="J464" s="896">
        <v>0</v>
      </c>
      <c r="K464" s="896">
        <v>0</v>
      </c>
      <c r="L464" s="896">
        <v>0</v>
      </c>
      <c r="M464" s="896">
        <v>0</v>
      </c>
      <c r="N464" s="896">
        <v>0</v>
      </c>
      <c r="O464" s="448">
        <f>SUM(C464:N464)</f>
        <v>0</v>
      </c>
      <c r="P464" s="458"/>
      <c r="Q464" s="436"/>
      <c r="R464" s="81"/>
      <c r="S464" s="81"/>
      <c r="T464" s="80"/>
      <c r="U464" s="80"/>
    </row>
    <row r="465" spans="1:21" ht="12.75" x14ac:dyDescent="0.2">
      <c r="A465" s="439" t="s">
        <v>740</v>
      </c>
      <c r="B465" s="436"/>
      <c r="C465" s="916">
        <v>0</v>
      </c>
      <c r="D465" s="916">
        <v>0</v>
      </c>
      <c r="E465" s="916">
        <v>0</v>
      </c>
      <c r="F465" s="916">
        <v>0</v>
      </c>
      <c r="G465" s="916">
        <v>0</v>
      </c>
      <c r="H465" s="916">
        <v>0</v>
      </c>
      <c r="I465" s="916">
        <v>0</v>
      </c>
      <c r="J465" s="916">
        <v>0</v>
      </c>
      <c r="K465" s="916">
        <v>0</v>
      </c>
      <c r="L465" s="916">
        <v>0</v>
      </c>
      <c r="M465" s="916">
        <v>0</v>
      </c>
      <c r="N465" s="916">
        <v>0</v>
      </c>
      <c r="O465" s="450">
        <f>SUM(C465:N465)</f>
        <v>0</v>
      </c>
      <c r="P465" s="458"/>
      <c r="Q465" s="436"/>
      <c r="R465" s="81"/>
      <c r="S465" s="81"/>
      <c r="T465" s="80"/>
      <c r="U465" s="80"/>
    </row>
    <row r="466" spans="1:21" ht="12.75" x14ac:dyDescent="0.2">
      <c r="A466" s="439" t="s">
        <v>741</v>
      </c>
      <c r="B466" s="436"/>
      <c r="C466" s="448">
        <f t="shared" ref="C466:O466" si="53">C464-C465</f>
        <v>0</v>
      </c>
      <c r="D466" s="448">
        <f t="shared" si="53"/>
        <v>0</v>
      </c>
      <c r="E466" s="448">
        <f t="shared" si="53"/>
        <v>0</v>
      </c>
      <c r="F466" s="448">
        <f t="shared" si="53"/>
        <v>0</v>
      </c>
      <c r="G466" s="448">
        <f t="shared" si="53"/>
        <v>0</v>
      </c>
      <c r="H466" s="448">
        <f t="shared" si="53"/>
        <v>0</v>
      </c>
      <c r="I466" s="917">
        <f t="shared" si="53"/>
        <v>0</v>
      </c>
      <c r="J466" s="917">
        <f t="shared" si="53"/>
        <v>0</v>
      </c>
      <c r="K466" s="917">
        <f t="shared" si="53"/>
        <v>0</v>
      </c>
      <c r="L466" s="917">
        <f t="shared" si="53"/>
        <v>0</v>
      </c>
      <c r="M466" s="917">
        <f t="shared" si="53"/>
        <v>0</v>
      </c>
      <c r="N466" s="917">
        <f t="shared" si="53"/>
        <v>0</v>
      </c>
      <c r="O466" s="448">
        <f t="shared" si="53"/>
        <v>0</v>
      </c>
      <c r="P466" s="458"/>
      <c r="Q466" s="436"/>
      <c r="R466" s="81"/>
      <c r="S466" s="81"/>
      <c r="T466" s="80"/>
      <c r="U466" s="80"/>
    </row>
    <row r="467" spans="1:21" ht="12.75" x14ac:dyDescent="0.2">
      <c r="A467" s="436"/>
      <c r="B467" s="436"/>
      <c r="C467" s="436"/>
      <c r="D467" s="436"/>
      <c r="E467" s="436"/>
      <c r="F467" s="436"/>
      <c r="G467" s="436"/>
      <c r="H467" s="436"/>
      <c r="I467" s="453"/>
      <c r="J467" s="453"/>
      <c r="K467" s="453"/>
      <c r="L467" s="453"/>
      <c r="M467" s="454" t="s">
        <v>742</v>
      </c>
      <c r="N467" s="453"/>
      <c r="O467" s="451">
        <v>0</v>
      </c>
      <c r="P467" s="455"/>
      <c r="Q467" s="436"/>
      <c r="R467" s="81"/>
      <c r="S467" s="81"/>
      <c r="T467" s="80"/>
      <c r="U467" s="80"/>
    </row>
    <row r="468" spans="1:21" ht="12.75" x14ac:dyDescent="0.2">
      <c r="A468" s="440" t="s">
        <v>1593</v>
      </c>
      <c r="B468" s="436"/>
      <c r="C468" s="436"/>
      <c r="D468" s="436"/>
      <c r="E468" s="436"/>
      <c r="F468" s="436"/>
      <c r="G468" s="436"/>
      <c r="H468" s="436"/>
      <c r="I468" s="453"/>
      <c r="J468" s="453"/>
      <c r="K468" s="453"/>
      <c r="L468" s="453"/>
      <c r="M468" s="453"/>
      <c r="N468" s="453"/>
      <c r="O468" s="436"/>
      <c r="P468" s="455"/>
      <c r="Q468" s="436"/>
      <c r="R468" s="81"/>
      <c r="S468" s="81"/>
      <c r="T468" s="80"/>
      <c r="U468" s="80"/>
    </row>
    <row r="469" spans="1:21" ht="12.75" x14ac:dyDescent="0.2">
      <c r="A469" s="439" t="s">
        <v>739</v>
      </c>
      <c r="B469" s="436"/>
      <c r="C469" s="896">
        <v>13507</v>
      </c>
      <c r="D469" s="896">
        <v>0</v>
      </c>
      <c r="E469" s="896">
        <v>6062</v>
      </c>
      <c r="F469" s="896">
        <v>10038</v>
      </c>
      <c r="G469" s="896">
        <v>1940</v>
      </c>
      <c r="H469" s="896">
        <v>0</v>
      </c>
      <c r="I469" s="896">
        <v>9674</v>
      </c>
      <c r="J469" s="896">
        <v>2350</v>
      </c>
      <c r="K469" s="896">
        <v>0</v>
      </c>
      <c r="L469" s="896">
        <v>9674</v>
      </c>
      <c r="M469" s="896">
        <v>0</v>
      </c>
      <c r="N469" s="896">
        <v>0</v>
      </c>
      <c r="O469" s="448">
        <f>SUM(C469:N469)</f>
        <v>53245</v>
      </c>
      <c r="P469" s="458"/>
      <c r="Q469" s="436"/>
      <c r="R469" s="81"/>
      <c r="S469" s="81"/>
      <c r="T469" s="80"/>
      <c r="U469" s="80"/>
    </row>
    <row r="470" spans="1:21" ht="12.75" x14ac:dyDescent="0.2">
      <c r="A470" s="439" t="s">
        <v>740</v>
      </c>
      <c r="B470" s="436"/>
      <c r="C470" s="916">
        <v>7379</v>
      </c>
      <c r="D470" s="916">
        <v>4218</v>
      </c>
      <c r="E470" s="916">
        <v>0</v>
      </c>
      <c r="F470" s="916">
        <v>7672</v>
      </c>
      <c r="G470" s="916">
        <v>431</v>
      </c>
      <c r="H470" s="916">
        <v>4689</v>
      </c>
      <c r="I470" s="916">
        <v>7378</v>
      </c>
      <c r="J470" s="916">
        <v>0</v>
      </c>
      <c r="K470" s="916">
        <v>1817</v>
      </c>
      <c r="L470" s="916">
        <v>0</v>
      </c>
      <c r="M470" s="916">
        <v>1314</v>
      </c>
      <c r="N470" s="916">
        <v>7379</v>
      </c>
      <c r="O470" s="450">
        <f>SUM(C470:N470)</f>
        <v>42277</v>
      </c>
      <c r="P470" s="458"/>
      <c r="Q470" s="436"/>
      <c r="R470" s="81"/>
      <c r="S470" s="81"/>
      <c r="T470" s="80"/>
      <c r="U470" s="80"/>
    </row>
    <row r="471" spans="1:21" ht="12.75" x14ac:dyDescent="0.2">
      <c r="A471" s="439" t="s">
        <v>741</v>
      </c>
      <c r="B471" s="436"/>
      <c r="C471" s="448">
        <f t="shared" ref="C471:N471" si="54">C469-C470</f>
        <v>6128</v>
      </c>
      <c r="D471" s="448">
        <f t="shared" si="54"/>
        <v>-4218</v>
      </c>
      <c r="E471" s="448">
        <f t="shared" si="54"/>
        <v>6062</v>
      </c>
      <c r="F471" s="448">
        <f t="shared" si="54"/>
        <v>2366</v>
      </c>
      <c r="G471" s="448">
        <f t="shared" si="54"/>
        <v>1509</v>
      </c>
      <c r="H471" s="448">
        <f t="shared" si="54"/>
        <v>-4689</v>
      </c>
      <c r="I471" s="917">
        <f t="shared" si="54"/>
        <v>2296</v>
      </c>
      <c r="J471" s="917">
        <f t="shared" si="54"/>
        <v>2350</v>
      </c>
      <c r="K471" s="917">
        <f t="shared" si="54"/>
        <v>-1817</v>
      </c>
      <c r="L471" s="917">
        <f t="shared" si="54"/>
        <v>9674</v>
      </c>
      <c r="M471" s="917">
        <f t="shared" si="54"/>
        <v>-1314</v>
      </c>
      <c r="N471" s="917">
        <f t="shared" si="54"/>
        <v>-7379</v>
      </c>
      <c r="O471" s="448">
        <f>SUM(C471:N471)</f>
        <v>10968</v>
      </c>
      <c r="P471" s="458"/>
      <c r="Q471" s="436"/>
      <c r="R471" s="81"/>
      <c r="S471" s="81"/>
      <c r="T471" s="80"/>
      <c r="U471" s="80"/>
    </row>
    <row r="472" spans="1:21" ht="12.75" x14ac:dyDescent="0.2">
      <c r="A472" s="436"/>
      <c r="B472" s="436"/>
      <c r="C472" s="436"/>
      <c r="D472" s="452"/>
      <c r="E472" s="453"/>
      <c r="F472" s="453"/>
      <c r="G472" s="453"/>
      <c r="H472" s="436"/>
      <c r="I472" s="453"/>
      <c r="J472" s="453"/>
      <c r="K472" s="453"/>
      <c r="L472" s="453"/>
      <c r="M472" s="454" t="s">
        <v>742</v>
      </c>
      <c r="N472" s="453"/>
      <c r="O472" s="451">
        <f>(+O471/O470)*100</f>
        <v>25.943184237292144</v>
      </c>
      <c r="P472" s="455"/>
      <c r="Q472" s="436"/>
      <c r="R472" s="81"/>
      <c r="S472" s="81"/>
      <c r="T472" s="80"/>
      <c r="U472" s="80"/>
    </row>
    <row r="473" spans="1:21" ht="12.75" x14ac:dyDescent="0.2">
      <c r="A473" s="440" t="s">
        <v>830</v>
      </c>
      <c r="B473" s="436"/>
      <c r="C473" s="436"/>
      <c r="D473" s="436"/>
      <c r="E473" s="436"/>
      <c r="F473" s="436"/>
      <c r="G473" s="436"/>
      <c r="H473" s="436"/>
      <c r="I473" s="453"/>
      <c r="J473" s="453"/>
      <c r="K473" s="453"/>
      <c r="L473" s="453"/>
      <c r="M473" s="453"/>
      <c r="N473" s="453"/>
      <c r="O473" s="436"/>
      <c r="P473" s="455"/>
      <c r="Q473" s="436"/>
      <c r="R473" s="81"/>
      <c r="S473" s="81"/>
      <c r="T473" s="80"/>
      <c r="U473" s="80"/>
    </row>
    <row r="474" spans="1:21" ht="12.75" x14ac:dyDescent="0.2">
      <c r="A474" s="439" t="s">
        <v>739</v>
      </c>
      <c r="B474" s="436"/>
      <c r="C474" s="896">
        <v>407</v>
      </c>
      <c r="D474" s="896">
        <v>594</v>
      </c>
      <c r="E474" s="896">
        <v>578</v>
      </c>
      <c r="F474" s="896">
        <v>593</v>
      </c>
      <c r="G474" s="896">
        <v>667</v>
      </c>
      <c r="H474" s="896">
        <v>679</v>
      </c>
      <c r="I474" s="896">
        <v>542</v>
      </c>
      <c r="J474" s="896">
        <v>551</v>
      </c>
      <c r="K474" s="896">
        <v>569</v>
      </c>
      <c r="L474" s="896">
        <v>663</v>
      </c>
      <c r="M474" s="896">
        <v>580</v>
      </c>
      <c r="N474" s="896">
        <v>535</v>
      </c>
      <c r="O474" s="448">
        <f>SUM(C474:N474)</f>
        <v>6958</v>
      </c>
      <c r="P474" s="458"/>
      <c r="Q474" s="436"/>
      <c r="R474" s="81"/>
      <c r="S474" s="81"/>
      <c r="T474" s="80"/>
      <c r="U474" s="80"/>
    </row>
    <row r="475" spans="1:21" ht="12.75" x14ac:dyDescent="0.2">
      <c r="A475" s="439" t="s">
        <v>740</v>
      </c>
      <c r="B475" s="436"/>
      <c r="C475" s="916">
        <v>884</v>
      </c>
      <c r="D475" s="916">
        <v>967</v>
      </c>
      <c r="E475" s="916">
        <v>965</v>
      </c>
      <c r="F475" s="916">
        <v>900</v>
      </c>
      <c r="G475" s="916">
        <v>842</v>
      </c>
      <c r="H475" s="916">
        <v>817</v>
      </c>
      <c r="I475" s="916">
        <v>765</v>
      </c>
      <c r="J475" s="916">
        <v>739</v>
      </c>
      <c r="K475" s="916">
        <v>674</v>
      </c>
      <c r="L475" s="916">
        <v>792</v>
      </c>
      <c r="M475" s="916">
        <v>743</v>
      </c>
      <c r="N475" s="916">
        <v>697</v>
      </c>
      <c r="O475" s="450">
        <f>SUM(C475:N475)</f>
        <v>9785</v>
      </c>
      <c r="P475" s="458"/>
      <c r="Q475" s="436"/>
      <c r="R475" s="81"/>
      <c r="S475" s="81"/>
      <c r="T475" s="80"/>
      <c r="U475" s="80"/>
    </row>
    <row r="476" spans="1:21" ht="12.75" x14ac:dyDescent="0.2">
      <c r="A476" s="439" t="s">
        <v>741</v>
      </c>
      <c r="B476" s="436"/>
      <c r="C476" s="448">
        <f t="shared" ref="C476:N476" si="55">C474-C475</f>
        <v>-477</v>
      </c>
      <c r="D476" s="448">
        <f t="shared" si="55"/>
        <v>-373</v>
      </c>
      <c r="E476" s="448">
        <f t="shared" si="55"/>
        <v>-387</v>
      </c>
      <c r="F476" s="448">
        <f t="shared" si="55"/>
        <v>-307</v>
      </c>
      <c r="G476" s="448">
        <f t="shared" si="55"/>
        <v>-175</v>
      </c>
      <c r="H476" s="448">
        <f t="shared" si="55"/>
        <v>-138</v>
      </c>
      <c r="I476" s="917">
        <f t="shared" si="55"/>
        <v>-223</v>
      </c>
      <c r="J476" s="917">
        <f t="shared" si="55"/>
        <v>-188</v>
      </c>
      <c r="K476" s="917">
        <f t="shared" si="55"/>
        <v>-105</v>
      </c>
      <c r="L476" s="917">
        <f t="shared" si="55"/>
        <v>-129</v>
      </c>
      <c r="M476" s="917">
        <f t="shared" si="55"/>
        <v>-163</v>
      </c>
      <c r="N476" s="917">
        <f t="shared" si="55"/>
        <v>-162</v>
      </c>
      <c r="O476" s="448">
        <f>SUM(C476:N476)</f>
        <v>-2827</v>
      </c>
      <c r="P476" s="458"/>
      <c r="Q476" s="436"/>
      <c r="R476" s="81"/>
      <c r="S476" s="81"/>
      <c r="T476" s="80"/>
      <c r="U476" s="80"/>
    </row>
    <row r="477" spans="1:21" ht="12.75" x14ac:dyDescent="0.2">
      <c r="A477" s="436"/>
      <c r="B477" s="436"/>
      <c r="C477" s="436"/>
      <c r="D477" s="436"/>
      <c r="E477" s="436"/>
      <c r="F477" s="436"/>
      <c r="G477" s="436"/>
      <c r="H477" s="436"/>
      <c r="I477" s="453"/>
      <c r="J477" s="453"/>
      <c r="K477" s="453"/>
      <c r="L477" s="453"/>
      <c r="M477" s="454" t="s">
        <v>742</v>
      </c>
      <c r="N477" s="453"/>
      <c r="O477" s="451">
        <v>0</v>
      </c>
      <c r="P477" s="455"/>
      <c r="Q477" s="436"/>
      <c r="R477" s="81"/>
      <c r="S477" s="81"/>
      <c r="T477" s="80"/>
      <c r="U477" s="80"/>
    </row>
    <row r="478" spans="1:21" ht="12.75" x14ac:dyDescent="0.2">
      <c r="A478" s="440" t="s">
        <v>831</v>
      </c>
      <c r="B478" s="436"/>
      <c r="C478" s="436"/>
      <c r="D478" s="436"/>
      <c r="E478" s="437"/>
      <c r="F478" s="436"/>
      <c r="G478" s="436"/>
      <c r="H478" s="436"/>
      <c r="I478" s="453"/>
      <c r="J478" s="453"/>
      <c r="K478" s="453"/>
      <c r="L478" s="453"/>
      <c r="M478" s="453"/>
      <c r="N478" s="453"/>
      <c r="O478" s="436"/>
      <c r="P478" s="455"/>
      <c r="Q478" s="436"/>
      <c r="R478" s="81"/>
      <c r="S478" s="81"/>
      <c r="T478" s="80"/>
      <c r="U478" s="80"/>
    </row>
    <row r="479" spans="1:21" ht="12.75" x14ac:dyDescent="0.2">
      <c r="A479" s="439" t="s">
        <v>739</v>
      </c>
      <c r="B479" s="436"/>
      <c r="C479" s="896">
        <v>1</v>
      </c>
      <c r="D479" s="896">
        <v>5</v>
      </c>
      <c r="E479" s="896">
        <v>5</v>
      </c>
      <c r="F479" s="896">
        <v>5</v>
      </c>
      <c r="G479" s="896">
        <v>3</v>
      </c>
      <c r="H479" s="896">
        <v>1</v>
      </c>
      <c r="I479" s="896">
        <v>3</v>
      </c>
      <c r="J479" s="896">
        <v>146</v>
      </c>
      <c r="K479" s="896">
        <v>225</v>
      </c>
      <c r="L479" s="896">
        <v>0</v>
      </c>
      <c r="M479" s="896">
        <v>0</v>
      </c>
      <c r="N479" s="896">
        <v>0</v>
      </c>
      <c r="O479" s="448">
        <f>SUM(C479:N479)</f>
        <v>394</v>
      </c>
      <c r="P479" s="458"/>
      <c r="Q479" s="436"/>
      <c r="R479" s="81"/>
      <c r="S479" s="81"/>
      <c r="T479" s="80"/>
      <c r="U479" s="80"/>
    </row>
    <row r="480" spans="1:21" ht="12.75" x14ac:dyDescent="0.2">
      <c r="A480" s="439" t="s">
        <v>740</v>
      </c>
      <c r="B480" s="436"/>
      <c r="C480" s="916">
        <v>1</v>
      </c>
      <c r="D480" s="916">
        <v>13</v>
      </c>
      <c r="E480" s="916">
        <v>11</v>
      </c>
      <c r="F480" s="916">
        <v>1</v>
      </c>
      <c r="G480" s="916">
        <v>3</v>
      </c>
      <c r="H480" s="916">
        <v>1</v>
      </c>
      <c r="I480" s="916">
        <v>1</v>
      </c>
      <c r="J480" s="916">
        <v>146</v>
      </c>
      <c r="K480" s="916">
        <v>225</v>
      </c>
      <c r="L480" s="916">
        <v>3</v>
      </c>
      <c r="M480" s="916">
        <v>1</v>
      </c>
      <c r="N480" s="916">
        <v>0</v>
      </c>
      <c r="O480" s="450">
        <f>SUM(C480:N480)</f>
        <v>406</v>
      </c>
      <c r="P480" s="458"/>
      <c r="Q480" s="436"/>
      <c r="R480" s="81"/>
      <c r="S480" s="81"/>
      <c r="T480" s="80"/>
      <c r="U480" s="80"/>
    </row>
    <row r="481" spans="1:21" ht="12.75" x14ac:dyDescent="0.2">
      <c r="A481" s="439" t="s">
        <v>741</v>
      </c>
      <c r="B481" s="436"/>
      <c r="C481" s="448">
        <f t="shared" ref="C481:N481" si="56">C479-C480</f>
        <v>0</v>
      </c>
      <c r="D481" s="448">
        <f t="shared" si="56"/>
        <v>-8</v>
      </c>
      <c r="E481" s="448">
        <f t="shared" si="56"/>
        <v>-6</v>
      </c>
      <c r="F481" s="448">
        <f t="shared" si="56"/>
        <v>4</v>
      </c>
      <c r="G481" s="448">
        <f t="shared" si="56"/>
        <v>0</v>
      </c>
      <c r="H481" s="448">
        <f t="shared" si="56"/>
        <v>0</v>
      </c>
      <c r="I481" s="917">
        <f t="shared" si="56"/>
        <v>2</v>
      </c>
      <c r="J481" s="917">
        <f t="shared" si="56"/>
        <v>0</v>
      </c>
      <c r="K481" s="917">
        <f t="shared" si="56"/>
        <v>0</v>
      </c>
      <c r="L481" s="917">
        <f t="shared" si="56"/>
        <v>-3</v>
      </c>
      <c r="M481" s="917">
        <f t="shared" si="56"/>
        <v>-1</v>
      </c>
      <c r="N481" s="917">
        <f t="shared" si="56"/>
        <v>0</v>
      </c>
      <c r="O481" s="448">
        <f>SUM(C481:N481)</f>
        <v>-12</v>
      </c>
      <c r="P481" s="458"/>
      <c r="Q481" s="436"/>
      <c r="R481" s="81"/>
      <c r="S481" s="81"/>
      <c r="T481" s="80"/>
      <c r="U481" s="80"/>
    </row>
    <row r="482" spans="1:21" ht="12.75" x14ac:dyDescent="0.2">
      <c r="A482" s="436"/>
      <c r="B482" s="436"/>
      <c r="C482" s="436"/>
      <c r="D482" s="436"/>
      <c r="E482" s="436"/>
      <c r="F482" s="436"/>
      <c r="G482" s="436"/>
      <c r="H482" s="436"/>
      <c r="I482" s="453"/>
      <c r="J482" s="453"/>
      <c r="K482" s="453"/>
      <c r="L482" s="453"/>
      <c r="M482" s="454" t="s">
        <v>742</v>
      </c>
      <c r="N482" s="453"/>
      <c r="O482" s="451">
        <f>(+O481/O480)*100</f>
        <v>-2.9556650246305418</v>
      </c>
      <c r="P482" s="455"/>
      <c r="Q482" s="436"/>
      <c r="R482" s="81"/>
      <c r="S482" s="81"/>
      <c r="T482" s="80"/>
      <c r="U482" s="80"/>
    </row>
    <row r="483" spans="1:21" ht="12.75" x14ac:dyDescent="0.2">
      <c r="A483" s="437"/>
      <c r="B483" s="436"/>
      <c r="C483" s="437"/>
      <c r="D483" s="436"/>
      <c r="E483" s="436"/>
      <c r="F483" s="436"/>
      <c r="G483" s="436"/>
      <c r="H483" s="436"/>
      <c r="I483" s="453"/>
      <c r="J483" s="453"/>
      <c r="K483" s="453"/>
      <c r="L483" s="453"/>
      <c r="M483" s="453"/>
      <c r="N483" s="453"/>
      <c r="O483" s="448"/>
      <c r="P483" s="455"/>
      <c r="Q483" s="436"/>
      <c r="R483" s="81"/>
      <c r="S483" s="81"/>
      <c r="T483" s="80"/>
      <c r="U483" s="80"/>
    </row>
    <row r="484" spans="1:21" ht="12.75" x14ac:dyDescent="0.2">
      <c r="A484" s="436"/>
      <c r="B484" s="436"/>
      <c r="C484" s="436"/>
      <c r="D484" s="436"/>
      <c r="E484" s="436"/>
      <c r="F484" s="436"/>
      <c r="G484" s="436"/>
      <c r="H484" s="436"/>
      <c r="I484" s="453"/>
      <c r="J484" s="453"/>
      <c r="K484" s="453"/>
      <c r="L484" s="453"/>
      <c r="M484" s="453"/>
      <c r="N484" s="453"/>
      <c r="O484" s="436"/>
      <c r="P484" s="435"/>
      <c r="Q484" s="436"/>
      <c r="R484" s="81"/>
      <c r="S484" s="81"/>
      <c r="T484" s="80"/>
      <c r="U484" s="80"/>
    </row>
    <row r="485" spans="1:21" ht="12.75" x14ac:dyDescent="0.2">
      <c r="A485" s="436"/>
      <c r="B485" s="436"/>
      <c r="C485" s="436"/>
      <c r="D485" s="436"/>
      <c r="E485" s="436"/>
      <c r="F485" s="436"/>
      <c r="G485" s="436"/>
      <c r="H485" s="436"/>
      <c r="I485" s="453"/>
      <c r="J485" s="453"/>
      <c r="K485" s="453"/>
      <c r="L485" s="453"/>
      <c r="M485" s="453"/>
      <c r="N485" s="453"/>
      <c r="O485" s="436"/>
      <c r="P485" s="435"/>
      <c r="Q485" s="436"/>
      <c r="R485" s="81"/>
      <c r="S485" s="81"/>
      <c r="T485" s="80"/>
      <c r="U485" s="80"/>
    </row>
    <row r="486" spans="1:21" ht="12.75" x14ac:dyDescent="0.2">
      <c r="A486" s="436"/>
      <c r="B486" s="436"/>
      <c r="C486" s="449"/>
      <c r="D486" s="436"/>
      <c r="E486" s="436"/>
      <c r="F486" s="436"/>
      <c r="G486" s="436"/>
      <c r="H486" s="436"/>
      <c r="I486" s="453"/>
      <c r="J486" s="453"/>
      <c r="K486" s="453"/>
      <c r="L486" s="453"/>
      <c r="M486" s="453"/>
      <c r="N486" s="453"/>
      <c r="O486" s="436"/>
      <c r="P486" s="435"/>
      <c r="Q486" s="436"/>
      <c r="R486" s="81"/>
      <c r="S486" s="81"/>
      <c r="T486" s="80"/>
      <c r="U486" s="80"/>
    </row>
    <row r="487" spans="1:21" ht="12.75" x14ac:dyDescent="0.2">
      <c r="A487" s="436"/>
      <c r="B487" s="436"/>
      <c r="C487" s="449"/>
      <c r="D487" s="436"/>
      <c r="E487" s="436"/>
      <c r="F487" s="436"/>
      <c r="G487" s="436"/>
      <c r="H487" s="436"/>
      <c r="I487" s="453"/>
      <c r="J487" s="453"/>
      <c r="K487" s="453"/>
      <c r="L487" s="453"/>
      <c r="M487" s="453"/>
      <c r="N487" s="453"/>
      <c r="O487" s="436"/>
      <c r="P487" s="435"/>
      <c r="Q487" s="436"/>
      <c r="R487" s="81"/>
      <c r="S487" s="81"/>
      <c r="T487" s="80"/>
      <c r="U487" s="80"/>
    </row>
    <row r="488" spans="1:21" ht="12.75" x14ac:dyDescent="0.2">
      <c r="A488" s="436"/>
      <c r="B488" s="436"/>
      <c r="C488" s="436"/>
      <c r="D488" s="436"/>
      <c r="E488" s="436"/>
      <c r="F488" s="436"/>
      <c r="G488" s="436"/>
      <c r="H488" s="436"/>
      <c r="I488" s="453"/>
      <c r="J488" s="453"/>
      <c r="K488" s="453"/>
      <c r="L488" s="453"/>
      <c r="M488" s="453"/>
      <c r="N488" s="453"/>
      <c r="O488" s="436"/>
      <c r="P488" s="435"/>
      <c r="Q488" s="436"/>
      <c r="R488" s="81"/>
      <c r="S488" s="81"/>
      <c r="T488" s="80"/>
      <c r="U488" s="80"/>
    </row>
    <row r="489" spans="1:21" ht="12.75" x14ac:dyDescent="0.2">
      <c r="A489" s="436" t="s">
        <v>582</v>
      </c>
      <c r="B489" s="436"/>
      <c r="C489" s="449">
        <f t="shared" ref="C489:N489" si="57">+C62+C65+C80+C83+C86+C89+C92+C95+C98+C113</f>
        <v>-36026252</v>
      </c>
      <c r="D489" s="449">
        <f t="shared" si="57"/>
        <v>-29830393</v>
      </c>
      <c r="E489" s="449">
        <f t="shared" si="57"/>
        <v>-25423029</v>
      </c>
      <c r="F489" s="449">
        <f t="shared" si="57"/>
        <v>-13917680</v>
      </c>
      <c r="G489" s="449">
        <f t="shared" si="57"/>
        <v>-10406315</v>
      </c>
      <c r="H489" s="449">
        <f t="shared" si="57"/>
        <v>-6015527</v>
      </c>
      <c r="I489" s="903">
        <f t="shared" si="57"/>
        <v>-6120625</v>
      </c>
      <c r="J489" s="903">
        <f t="shared" si="57"/>
        <v>-5739623</v>
      </c>
      <c r="K489" s="903">
        <f t="shared" si="57"/>
        <v>-5825252</v>
      </c>
      <c r="L489" s="903">
        <f t="shared" si="57"/>
        <v>-12084549</v>
      </c>
      <c r="M489" s="903">
        <f t="shared" si="57"/>
        <v>-23756932</v>
      </c>
      <c r="N489" s="903">
        <f t="shared" si="57"/>
        <v>-33282704</v>
      </c>
      <c r="O489" s="449">
        <f>SUM(C489:N489)</f>
        <v>-208428881</v>
      </c>
      <c r="P489" s="435"/>
      <c r="Q489" s="436"/>
      <c r="R489" s="81"/>
      <c r="S489" s="81"/>
      <c r="T489" s="80"/>
      <c r="U489" s="80"/>
    </row>
    <row r="490" spans="1:21" ht="12.75" x14ac:dyDescent="0.2">
      <c r="A490" s="436" t="s">
        <v>583</v>
      </c>
      <c r="B490" s="436"/>
      <c r="C490" s="449">
        <f t="shared" ref="C490:N490" si="58">+C118</f>
        <v>162</v>
      </c>
      <c r="D490" s="449">
        <f t="shared" si="58"/>
        <v>85</v>
      </c>
      <c r="E490" s="449">
        <f t="shared" si="58"/>
        <v>39</v>
      </c>
      <c r="F490" s="449">
        <f t="shared" si="58"/>
        <v>76</v>
      </c>
      <c r="G490" s="449">
        <f t="shared" si="58"/>
        <v>0</v>
      </c>
      <c r="H490" s="449">
        <f t="shared" si="58"/>
        <v>97</v>
      </c>
      <c r="I490" s="903">
        <f t="shared" si="58"/>
        <v>0</v>
      </c>
      <c r="J490" s="903">
        <f t="shared" si="58"/>
        <v>93</v>
      </c>
      <c r="K490" s="903">
        <f t="shared" si="58"/>
        <v>44</v>
      </c>
      <c r="L490" s="903">
        <f t="shared" si="58"/>
        <v>0</v>
      </c>
      <c r="M490" s="903">
        <f t="shared" si="58"/>
        <v>66</v>
      </c>
      <c r="N490" s="903">
        <f t="shared" si="58"/>
        <v>44</v>
      </c>
      <c r="O490" s="449">
        <f>SUM(C490:N490)</f>
        <v>706</v>
      </c>
      <c r="P490" s="435"/>
      <c r="Q490" s="436"/>
      <c r="R490" s="81"/>
      <c r="S490" s="81"/>
      <c r="T490" s="80"/>
      <c r="U490" s="80"/>
    </row>
    <row r="491" spans="1:21" ht="12.75" x14ac:dyDescent="0.2">
      <c r="A491" s="436" t="s">
        <v>585</v>
      </c>
      <c r="B491" s="436"/>
      <c r="C491" s="449">
        <f t="shared" ref="C491:I491" si="59">+C123+C128+C134+C139+C144+C161+C166+C171+C176+C181+C186+C192</f>
        <v>28106411</v>
      </c>
      <c r="D491" s="449">
        <f t="shared" si="59"/>
        <v>22902649</v>
      </c>
      <c r="E491" s="449">
        <f t="shared" si="59"/>
        <v>19548159</v>
      </c>
      <c r="F491" s="449">
        <f t="shared" si="59"/>
        <v>9913864</v>
      </c>
      <c r="G491" s="449">
        <f t="shared" si="59"/>
        <v>7355746</v>
      </c>
      <c r="H491" s="449">
        <f t="shared" si="59"/>
        <v>3601822</v>
      </c>
      <c r="I491" s="903">
        <f t="shared" si="59"/>
        <v>3642953</v>
      </c>
      <c r="J491" s="903">
        <f>+J123+J128+J134+J144+J161+J166+J171+J176+J181+J186+J192</f>
        <v>3259465</v>
      </c>
      <c r="K491" s="903">
        <f>+K123+K128+K134+K139+K144+K161+K166+K171+K176+K181+K186+K192</f>
        <v>3329501</v>
      </c>
      <c r="L491" s="903">
        <f>+L123+L128+L134+L139+L144+L161+L166+L171+L176+L181+L186+L192</f>
        <v>8567199</v>
      </c>
      <c r="M491" s="903">
        <f>+M123+M128+M134+M139+M144+M161+M166+M171+M176+M181+M186+M192</f>
        <v>18644022</v>
      </c>
      <c r="N491" s="903">
        <f>+N123+N128+N134+N139+N144+N161+N166+N171+N176+N181+N186+N192</f>
        <v>26222867</v>
      </c>
      <c r="O491" s="449">
        <f>SUM(C491:N491)</f>
        <v>155094658</v>
      </c>
      <c r="P491" s="435"/>
      <c r="Q491" s="436"/>
      <c r="R491" s="81"/>
      <c r="S491" s="81"/>
      <c r="T491" s="80"/>
      <c r="U491" s="80"/>
    </row>
    <row r="492" spans="1:21" ht="12.75" x14ac:dyDescent="0.2">
      <c r="A492" s="436" t="s">
        <v>586</v>
      </c>
      <c r="B492" s="436"/>
      <c r="C492" s="459">
        <f t="shared" ref="C492:N492" si="60">+C209+C214+C219+C224+C229+C234+C240+C257+C262+C267+C272+C277+C282+C287+C304+C309+C314+C319+C324+C329+C334+C350+C355+C360+C365+C370+C375+C380+C385+C402+C407+C412+C417+C422+C427+C432+C449+C454+C459+C464+C469+C474+C479</f>
        <v>2382504</v>
      </c>
      <c r="D492" s="459">
        <f t="shared" si="60"/>
        <v>2248757</v>
      </c>
      <c r="E492" s="459">
        <f t="shared" si="60"/>
        <v>2624759</v>
      </c>
      <c r="F492" s="459">
        <f t="shared" si="60"/>
        <v>2435131</v>
      </c>
      <c r="G492" s="459">
        <f t="shared" si="60"/>
        <v>2155630</v>
      </c>
      <c r="H492" s="459">
        <f t="shared" si="60"/>
        <v>2452908</v>
      </c>
      <c r="I492" s="922">
        <f t="shared" si="60"/>
        <v>2234484</v>
      </c>
      <c r="J492" s="922">
        <f t="shared" si="60"/>
        <v>2648494</v>
      </c>
      <c r="K492" s="922">
        <f t="shared" si="60"/>
        <v>1510497</v>
      </c>
      <c r="L492" s="922">
        <f t="shared" si="60"/>
        <v>2598761</v>
      </c>
      <c r="M492" s="922">
        <f t="shared" si="60"/>
        <v>2113933</v>
      </c>
      <c r="N492" s="922">
        <f t="shared" si="60"/>
        <v>2477143</v>
      </c>
      <c r="O492" s="459">
        <f>SUM(C492:N492)</f>
        <v>27883001</v>
      </c>
      <c r="P492" s="435"/>
      <c r="Q492" s="436"/>
      <c r="R492" s="81"/>
      <c r="S492" s="81"/>
      <c r="T492" s="80"/>
      <c r="U492" s="80"/>
    </row>
    <row r="493" spans="1:21" ht="12.75" x14ac:dyDescent="0.2">
      <c r="A493" s="439" t="s">
        <v>739</v>
      </c>
      <c r="B493" s="436"/>
      <c r="C493" s="449">
        <f t="shared" ref="C493:O493" si="61">SUM(C489:C492)</f>
        <v>-5537175</v>
      </c>
      <c r="D493" s="449">
        <f t="shared" si="61"/>
        <v>-4678902</v>
      </c>
      <c r="E493" s="449">
        <f t="shared" si="61"/>
        <v>-3250072</v>
      </c>
      <c r="F493" s="449">
        <f t="shared" si="61"/>
        <v>-1568609</v>
      </c>
      <c r="G493" s="449">
        <f t="shared" si="61"/>
        <v>-894939</v>
      </c>
      <c r="H493" s="449">
        <f t="shared" si="61"/>
        <v>39300</v>
      </c>
      <c r="I493" s="903">
        <f t="shared" si="61"/>
        <v>-243188</v>
      </c>
      <c r="J493" s="903">
        <f t="shared" si="61"/>
        <v>168429</v>
      </c>
      <c r="K493" s="903">
        <f t="shared" si="61"/>
        <v>-985210</v>
      </c>
      <c r="L493" s="903">
        <f t="shared" si="61"/>
        <v>-918589</v>
      </c>
      <c r="M493" s="903">
        <f t="shared" si="61"/>
        <v>-2998911</v>
      </c>
      <c r="N493" s="903">
        <f t="shared" si="61"/>
        <v>-4582650</v>
      </c>
      <c r="O493" s="449">
        <f t="shared" si="61"/>
        <v>-25450516</v>
      </c>
      <c r="P493" s="435"/>
      <c r="Q493" s="436"/>
      <c r="R493" s="81"/>
      <c r="S493" s="81"/>
      <c r="T493" s="80"/>
      <c r="U493" s="80"/>
    </row>
    <row r="494" spans="1:21" ht="12.75" x14ac:dyDescent="0.2">
      <c r="A494" s="436"/>
      <c r="B494" s="436"/>
      <c r="C494" s="436"/>
      <c r="D494" s="436"/>
      <c r="E494" s="436"/>
      <c r="F494" s="436"/>
      <c r="G494" s="436"/>
      <c r="H494" s="436"/>
      <c r="I494" s="453"/>
      <c r="J494" s="453"/>
      <c r="K494" s="453"/>
      <c r="L494" s="453"/>
      <c r="M494" s="453"/>
      <c r="N494" s="453"/>
      <c r="O494" s="436"/>
      <c r="P494" s="435"/>
      <c r="Q494" s="436"/>
      <c r="R494" s="81"/>
      <c r="S494" s="81"/>
      <c r="T494" s="80"/>
      <c r="U494" s="80"/>
    </row>
    <row r="495" spans="1:21" ht="12.75" x14ac:dyDescent="0.2">
      <c r="A495" s="436" t="s">
        <v>582</v>
      </c>
      <c r="B495" s="436"/>
      <c r="C495" s="449" t="e">
        <f>+#REF!+#REF!+#REF!+#REF!+#REF!+#REF!+#REF!+#REF!+#REF!+C114</f>
        <v>#REF!</v>
      </c>
      <c r="D495" s="449" t="e">
        <f>+#REF!+#REF!+#REF!+#REF!+#REF!+#REF!+#REF!+#REF!+#REF!+D114</f>
        <v>#REF!</v>
      </c>
      <c r="E495" s="449" t="e">
        <f>+#REF!+#REF!+#REF!+#REF!+#REF!+#REF!+#REF!+#REF!+#REF!+E114</f>
        <v>#REF!</v>
      </c>
      <c r="F495" s="449" t="e">
        <f>+#REF!+#REF!+#REF!+#REF!+#REF!+#REF!+#REF!+#REF!+#REF!+F114</f>
        <v>#REF!</v>
      </c>
      <c r="G495" s="449" t="e">
        <f>+#REF!+#REF!+#REF!+#REF!+#REF!+#REF!+#REF!+#REF!+#REF!+G114</f>
        <v>#REF!</v>
      </c>
      <c r="H495" s="449" t="e">
        <f>+#REF!+#REF!+#REF!+#REF!+#REF!+#REF!+#REF!+#REF!+#REF!+H114</f>
        <v>#REF!</v>
      </c>
      <c r="I495" s="903" t="e">
        <f>+#REF!+#REF!+#REF!+#REF!+#REF!+#REF!+#REF!+#REF!+#REF!+I114</f>
        <v>#REF!</v>
      </c>
      <c r="J495" s="903" t="e">
        <f>+#REF!+#REF!+#REF!+#REF!+#REF!+#REF!+#REF!+#REF!+#REF!+J114</f>
        <v>#REF!</v>
      </c>
      <c r="K495" s="903" t="e">
        <f>+#REF!+#REF!+#REF!+#REF!+#REF!+#REF!+#REF!+#REF!+#REF!+K114</f>
        <v>#REF!</v>
      </c>
      <c r="L495" s="903" t="e">
        <f>+#REF!+#REF!+#REF!+#REF!+#REF!+#REF!+#REF!+#REF!+#REF!+L114</f>
        <v>#REF!</v>
      </c>
      <c r="M495" s="903" t="e">
        <f>+#REF!+#REF!+#REF!+#REF!+#REF!+#REF!+#REF!+#REF!+#REF!+M114</f>
        <v>#REF!</v>
      </c>
      <c r="N495" s="903" t="e">
        <f>+#REF!+#REF!+#REF!+#REF!+#REF!+#REF!+#REF!+#REF!+#REF!+N114</f>
        <v>#REF!</v>
      </c>
      <c r="O495" s="449" t="e">
        <f>SUM(C495:N495)</f>
        <v>#REF!</v>
      </c>
      <c r="P495" s="435"/>
      <c r="Q495" s="436"/>
      <c r="R495" s="81"/>
      <c r="S495" s="81"/>
      <c r="T495" s="80"/>
      <c r="U495" s="80"/>
    </row>
    <row r="496" spans="1:21" ht="12.75" x14ac:dyDescent="0.2">
      <c r="A496" s="436" t="s">
        <v>583</v>
      </c>
      <c r="B496" s="436"/>
      <c r="C496" s="449">
        <f>+C119</f>
        <v>0</v>
      </c>
      <c r="D496" s="449">
        <f>+D119</f>
        <v>84</v>
      </c>
      <c r="E496" s="449">
        <f>+E119</f>
        <v>218</v>
      </c>
      <c r="F496" s="449">
        <f>+F119+F140</f>
        <v>93</v>
      </c>
      <c r="G496" s="449">
        <f>+G119</f>
        <v>0</v>
      </c>
      <c r="H496" s="449">
        <f>+H119</f>
        <v>49</v>
      </c>
      <c r="I496" s="903">
        <f>+I119</f>
        <v>56</v>
      </c>
      <c r="J496" s="903">
        <f>+J119+J140</f>
        <v>37</v>
      </c>
      <c r="K496" s="903">
        <f>+K119</f>
        <v>46</v>
      </c>
      <c r="L496" s="903">
        <f>+L119+L140</f>
        <v>47</v>
      </c>
      <c r="M496" s="903">
        <f>+M119</f>
        <v>68</v>
      </c>
      <c r="N496" s="903">
        <f>+N119</f>
        <v>21</v>
      </c>
      <c r="O496" s="449">
        <f>SUM(C496:N496)</f>
        <v>719</v>
      </c>
      <c r="P496" s="435"/>
      <c r="Q496" s="436"/>
      <c r="R496" s="81"/>
      <c r="S496" s="81"/>
      <c r="T496" s="80"/>
      <c r="U496" s="80"/>
    </row>
    <row r="497" spans="1:21" ht="12.75" x14ac:dyDescent="0.2">
      <c r="A497" s="436" t="s">
        <v>585</v>
      </c>
      <c r="B497" s="436"/>
      <c r="C497" s="449">
        <f>+C124+C129+C135+C140+C145+C162+C167+C172+C182+C187+C193+C177</f>
        <v>20707846</v>
      </c>
      <c r="D497" s="449">
        <f>+D124+D129+D135+D140+D145+D162+D167+D172+D182+D187+D193+D177</f>
        <v>21115748</v>
      </c>
      <c r="E497" s="449">
        <f>+E124+E129+E135+E140+E145+E162+E167+E172+E182+E187+E193+E177</f>
        <v>9317358</v>
      </c>
      <c r="F497" s="449">
        <f>+F124+F129+F135+F145+F162+F167+F172+F182+F187+F193+F177</f>
        <v>7252669</v>
      </c>
      <c r="G497" s="449">
        <f>+G124+G129+G135+G140+G145+G162+G167+G172+G182+G187+G193+G177</f>
        <v>6487616</v>
      </c>
      <c r="H497" s="449">
        <f>+H124+H129+H135+H140+H145+H162+H167+H172+H182+H187+H193+H177</f>
        <v>3538023</v>
      </c>
      <c r="I497" s="903">
        <f>+I124+I129+I135+I140+I145+I162+I167+I172+I182+I187+I193+I177</f>
        <v>3289586</v>
      </c>
      <c r="J497" s="903">
        <f>+J124+J129+J135+J145+J162+J167+J172+J182+J187+J193+J177</f>
        <v>2016764</v>
      </c>
      <c r="K497" s="903">
        <f>+K124+K129+K135+K140+K145+K162+K167+K172+K182+K187+K193+K177</f>
        <v>2634293</v>
      </c>
      <c r="L497" s="903">
        <f>+L124+L129+L135+L145+L162+L167+L172+L182+L187+L193+L177</f>
        <v>4337558</v>
      </c>
      <c r="M497" s="903">
        <f>+M124+M129+M135+M140+M145+M162+M167+M172+M182+M187+M193+M177</f>
        <v>11528998</v>
      </c>
      <c r="N497" s="903">
        <f>+N124+N129+N135+N140+N145+N162+N167+N172+N182+N187+N193+N177</f>
        <v>19433474</v>
      </c>
      <c r="O497" s="449">
        <f>SUM(C497:N497)</f>
        <v>111659933</v>
      </c>
      <c r="P497" s="435"/>
      <c r="Q497" s="436"/>
      <c r="R497" s="81"/>
      <c r="S497" s="81"/>
      <c r="T497" s="80"/>
      <c r="U497" s="80"/>
    </row>
    <row r="498" spans="1:21" ht="12.75" x14ac:dyDescent="0.2">
      <c r="A498" s="436" t="s">
        <v>586</v>
      </c>
      <c r="B498" s="436"/>
      <c r="C498" s="459">
        <f t="shared" ref="C498:I498" si="62">+C210+C215+C220+C225+C230+C235+C241+C258+C263+C268+C273+C278+C283+C288+C305+C310+C315+C320+C325+C330+C335+C351+C356+C361+C366+C371+C376+C381+C386+C403+C408+C413+C418+C423+C428+C433+C450+C455+C460+C465+C470+C475+C480</f>
        <v>2688045</v>
      </c>
      <c r="D498" s="459">
        <f t="shared" si="62"/>
        <v>2150299</v>
      </c>
      <c r="E498" s="459">
        <f t="shared" si="62"/>
        <v>2501082</v>
      </c>
      <c r="F498" s="459">
        <f t="shared" si="62"/>
        <v>2611861</v>
      </c>
      <c r="G498" s="459">
        <f t="shared" si="62"/>
        <v>2227746</v>
      </c>
      <c r="H498" s="459">
        <f t="shared" si="62"/>
        <v>2153340</v>
      </c>
      <c r="I498" s="922">
        <f t="shared" si="62"/>
        <v>1732034</v>
      </c>
      <c r="J498" s="922">
        <f>+J210+J215+J220+J225+J230+J235+J241+J258+J263+J268+J273+J278+J283+J288+J305+J310+J315+J320+J325+J330+J335+J351+J356+J361+J366+J371+J376+J381+J386+J403+J408+J413+J418+J423+J428+J433+J450+J455+J460+J465+J470+J475+J480</f>
        <v>-1047360</v>
      </c>
      <c r="K498" s="922">
        <f>+K210+K215+K220+K225+K230+K235+K241+K258+K263+K268+K273+K278+K283+K288+K305+K310+K315+K320+K325+K330+K335+K351+K356+K361+K366+K371+K376+K381+K386+K403+K408+K413+K418+K423+K428+K433+K450+K455+K460+K465+K470+K475+K480</f>
        <v>1920100</v>
      </c>
      <c r="L498" s="922">
        <f>+L210+L215+L220+L225+L230+L235+L241+L258+L263+L268+L273+L278+L283+L288+L305+L310+L315+L320+L325+L330+L335+L351+L356+L361+L366+L371+L376+L381+L386+L403+L408+L413+L418+L423+L428+L433+L450+L455+L460+L465+L470+L475+L480</f>
        <v>2391862</v>
      </c>
      <c r="M498" s="922">
        <f>+M210+M215+M220+M225+M230+M235+M241+M258+M263+M268+M273+M278+M283+M288+M305+M310+M315+M320+M325+M330+M335+M351+M356+M361+M366+M371+M376+M381+M386+M403+M408+M413+M418+M423+M428+M433+M450+M455+M460+M465+M470+M475+M480</f>
        <v>2138915</v>
      </c>
      <c r="N498" s="922">
        <f>+N210+N215+N220+N225+N230+N235+N241+N258+N263+N268+N273+N278+N283+N288+N305+N310+N315+N320+N325+N330+N335+N351+N356+N361+N366+N371+N376+N381+N386+N403+N408+N413+N418+N423+N428+N433+N450+N455+N460+N465+N470+N475+N480</f>
        <v>2560261</v>
      </c>
      <c r="O498" s="459">
        <f>SUM(C498:N498)</f>
        <v>24028185</v>
      </c>
      <c r="P498" s="435"/>
      <c r="Q498" s="436"/>
      <c r="R498" s="81"/>
      <c r="S498" s="81"/>
      <c r="T498" s="80"/>
      <c r="U498" s="80"/>
    </row>
    <row r="499" spans="1:21" ht="12.75" x14ac:dyDescent="0.2">
      <c r="A499" s="439" t="s">
        <v>740</v>
      </c>
      <c r="B499" s="436"/>
      <c r="C499" s="449" t="e">
        <f t="shared" ref="C499:O499" si="63">SUM(C495:C498)</f>
        <v>#REF!</v>
      </c>
      <c r="D499" s="449" t="e">
        <f t="shared" si="63"/>
        <v>#REF!</v>
      </c>
      <c r="E499" s="449" t="e">
        <f t="shared" si="63"/>
        <v>#REF!</v>
      </c>
      <c r="F499" s="449" t="e">
        <f t="shared" si="63"/>
        <v>#REF!</v>
      </c>
      <c r="G499" s="449" t="e">
        <f t="shared" si="63"/>
        <v>#REF!</v>
      </c>
      <c r="H499" s="449" t="e">
        <f t="shared" si="63"/>
        <v>#REF!</v>
      </c>
      <c r="I499" s="903" t="e">
        <f t="shared" si="63"/>
        <v>#REF!</v>
      </c>
      <c r="J499" s="903" t="e">
        <f t="shared" si="63"/>
        <v>#REF!</v>
      </c>
      <c r="K499" s="903" t="e">
        <f t="shared" si="63"/>
        <v>#REF!</v>
      </c>
      <c r="L499" s="903" t="e">
        <f t="shared" si="63"/>
        <v>#REF!</v>
      </c>
      <c r="M499" s="903" t="e">
        <f t="shared" si="63"/>
        <v>#REF!</v>
      </c>
      <c r="N499" s="903" t="e">
        <f t="shared" si="63"/>
        <v>#REF!</v>
      </c>
      <c r="O499" s="449" t="e">
        <f t="shared" si="63"/>
        <v>#REF!</v>
      </c>
      <c r="P499" s="435"/>
      <c r="Q499" s="436"/>
      <c r="R499" s="81"/>
      <c r="S499" s="81"/>
      <c r="T499" s="80"/>
      <c r="U499" s="80"/>
    </row>
    <row r="500" spans="1:21" ht="12.75" x14ac:dyDescent="0.2">
      <c r="A500" s="436"/>
      <c r="B500" s="436"/>
      <c r="C500" s="436"/>
      <c r="D500" s="436"/>
      <c r="E500" s="436"/>
      <c r="F500" s="436"/>
      <c r="G500" s="436"/>
      <c r="H500" s="436"/>
      <c r="I500" s="453"/>
      <c r="J500" s="453"/>
      <c r="K500" s="453"/>
      <c r="L500" s="453"/>
      <c r="M500" s="453"/>
      <c r="N500" s="453"/>
      <c r="O500" s="436"/>
      <c r="P500" s="435"/>
      <c r="Q500" s="436"/>
      <c r="R500" s="81"/>
      <c r="S500" s="81"/>
      <c r="T500" s="80"/>
      <c r="U500" s="80"/>
    </row>
    <row r="501" spans="1:21" s="906" customFormat="1" ht="12.75" x14ac:dyDescent="0.2">
      <c r="A501" s="449"/>
      <c r="B501" s="449"/>
      <c r="C501" s="449"/>
      <c r="D501" s="449"/>
      <c r="E501" s="449"/>
      <c r="F501" s="449"/>
      <c r="G501" s="449"/>
      <c r="H501" s="449"/>
      <c r="I501" s="903"/>
      <c r="J501" s="903"/>
      <c r="K501" s="903"/>
      <c r="L501" s="903"/>
      <c r="M501" s="903"/>
      <c r="N501" s="903"/>
      <c r="O501" s="449"/>
      <c r="P501" s="449"/>
      <c r="Q501" s="449"/>
      <c r="R501" s="904"/>
      <c r="S501" s="904"/>
      <c r="T501" s="905"/>
      <c r="U501" s="905"/>
    </row>
    <row r="502" spans="1:21" s="906" customFormat="1" ht="12.75" x14ac:dyDescent="0.2">
      <c r="A502" s="449"/>
      <c r="B502" s="449"/>
      <c r="C502" s="449"/>
      <c r="D502" s="449"/>
      <c r="E502" s="449"/>
      <c r="F502" s="449"/>
      <c r="G502" s="449"/>
      <c r="H502" s="449"/>
      <c r="I502" s="903"/>
      <c r="J502" s="903"/>
      <c r="K502" s="903"/>
      <c r="L502" s="903"/>
      <c r="M502" s="903"/>
      <c r="N502" s="903"/>
      <c r="O502" s="449"/>
      <c r="P502" s="449"/>
      <c r="Q502" s="449"/>
      <c r="R502" s="904"/>
      <c r="S502" s="904"/>
      <c r="T502" s="905"/>
      <c r="U502" s="905"/>
    </row>
    <row r="503" spans="1:21" s="906" customFormat="1" ht="12.75" x14ac:dyDescent="0.2">
      <c r="A503" s="449"/>
      <c r="B503" s="449"/>
      <c r="C503" s="449"/>
      <c r="D503" s="449"/>
      <c r="E503" s="449"/>
      <c r="F503" s="449"/>
      <c r="G503" s="449"/>
      <c r="H503" s="449"/>
      <c r="I503" s="903"/>
      <c r="J503" s="903"/>
      <c r="K503" s="903"/>
      <c r="L503" s="903"/>
      <c r="M503" s="903"/>
      <c r="N503" s="903"/>
      <c r="O503" s="449"/>
      <c r="P503" s="449"/>
      <c r="Q503" s="449"/>
      <c r="R503" s="904"/>
      <c r="S503" s="904"/>
      <c r="T503" s="905"/>
      <c r="U503" s="905"/>
    </row>
    <row r="504" spans="1:21" s="906" customFormat="1" ht="12.75" x14ac:dyDescent="0.2">
      <c r="A504" s="449"/>
      <c r="B504" s="449"/>
      <c r="C504" s="449"/>
      <c r="D504" s="449"/>
      <c r="E504" s="449"/>
      <c r="F504" s="449"/>
      <c r="G504" s="449"/>
      <c r="H504" s="449"/>
      <c r="I504" s="903"/>
      <c r="J504" s="903"/>
      <c r="K504" s="903"/>
      <c r="L504" s="903"/>
      <c r="M504" s="903"/>
      <c r="N504" s="903"/>
      <c r="O504" s="449"/>
      <c r="P504" s="449"/>
      <c r="Q504" s="449"/>
      <c r="R504" s="904"/>
      <c r="S504" s="904"/>
      <c r="T504" s="905"/>
      <c r="U504" s="905"/>
    </row>
    <row r="505" spans="1:21" s="906" customFormat="1" ht="12.75" x14ac:dyDescent="0.2">
      <c r="A505" s="449"/>
      <c r="B505" s="449"/>
      <c r="C505" s="449"/>
      <c r="D505" s="449"/>
      <c r="E505" s="449"/>
      <c r="F505" s="449"/>
      <c r="G505" s="449"/>
      <c r="H505" s="449"/>
      <c r="I505" s="903"/>
      <c r="J505" s="903"/>
      <c r="K505" s="903"/>
      <c r="L505" s="903"/>
      <c r="M505" s="903"/>
      <c r="N505" s="903"/>
      <c r="O505" s="449"/>
      <c r="P505" s="449"/>
      <c r="Q505" s="449"/>
      <c r="R505" s="904"/>
      <c r="S505" s="904"/>
      <c r="T505" s="905"/>
      <c r="U505" s="905"/>
    </row>
    <row r="506" spans="1:21" s="906" customFormat="1" ht="12.75" x14ac:dyDescent="0.2">
      <c r="A506" s="449"/>
      <c r="B506" s="449"/>
      <c r="C506" s="449"/>
      <c r="D506" s="449"/>
      <c r="E506" s="449"/>
      <c r="F506" s="449"/>
      <c r="G506" s="449"/>
      <c r="H506" s="449"/>
      <c r="I506" s="903"/>
      <c r="J506" s="903"/>
      <c r="K506" s="903"/>
      <c r="L506" s="903"/>
      <c r="M506" s="903"/>
      <c r="N506" s="903"/>
      <c r="O506" s="449"/>
      <c r="P506" s="449"/>
      <c r="Q506" s="449"/>
      <c r="R506" s="904"/>
      <c r="S506" s="904"/>
      <c r="T506" s="905"/>
      <c r="U506" s="905"/>
    </row>
    <row r="507" spans="1:21" s="906" customFormat="1" ht="12.75" x14ac:dyDescent="0.2">
      <c r="A507" s="449"/>
      <c r="B507" s="449"/>
      <c r="C507" s="449"/>
      <c r="D507" s="449"/>
      <c r="E507" s="449"/>
      <c r="F507" s="449"/>
      <c r="G507" s="449"/>
      <c r="H507" s="449"/>
      <c r="I507" s="903"/>
      <c r="J507" s="903"/>
      <c r="K507" s="903"/>
      <c r="L507" s="903"/>
      <c r="M507" s="903"/>
      <c r="N507" s="903"/>
      <c r="O507" s="449"/>
      <c r="P507" s="449"/>
      <c r="Q507" s="449"/>
      <c r="R507" s="904"/>
      <c r="S507" s="904"/>
      <c r="T507" s="905"/>
      <c r="U507" s="905"/>
    </row>
    <row r="508" spans="1:21" s="906" customFormat="1" ht="12.75" x14ac:dyDescent="0.2">
      <c r="A508" s="449"/>
      <c r="B508" s="449"/>
      <c r="C508" s="449"/>
      <c r="D508" s="449"/>
      <c r="E508" s="449"/>
      <c r="F508" s="449"/>
      <c r="G508" s="449"/>
      <c r="H508" s="449"/>
      <c r="I508" s="903"/>
      <c r="J508" s="903"/>
      <c r="K508" s="903"/>
      <c r="L508" s="903"/>
      <c r="M508" s="903"/>
      <c r="N508" s="903"/>
      <c r="O508" s="449"/>
      <c r="P508" s="449"/>
      <c r="Q508" s="449"/>
      <c r="R508" s="904"/>
      <c r="S508" s="904"/>
      <c r="T508" s="905"/>
      <c r="U508" s="905"/>
    </row>
    <row r="509" spans="1:21" s="906" customFormat="1" ht="12.75" x14ac:dyDescent="0.2">
      <c r="A509" s="449"/>
      <c r="B509" s="449"/>
      <c r="C509" s="449"/>
      <c r="D509" s="449"/>
      <c r="E509" s="449"/>
      <c r="F509" s="449"/>
      <c r="G509" s="449"/>
      <c r="H509" s="449"/>
      <c r="I509" s="903"/>
      <c r="J509" s="903"/>
      <c r="K509" s="903"/>
      <c r="L509" s="903"/>
      <c r="M509" s="903"/>
      <c r="N509" s="903"/>
      <c r="O509" s="449"/>
      <c r="P509" s="449"/>
      <c r="Q509" s="449"/>
      <c r="R509" s="904"/>
      <c r="S509" s="904"/>
      <c r="T509" s="905"/>
      <c r="U509" s="905"/>
    </row>
    <row r="510" spans="1:21" s="906" customFormat="1" ht="12.75" x14ac:dyDescent="0.2">
      <c r="A510" s="449"/>
      <c r="B510" s="449"/>
      <c r="C510" s="449"/>
      <c r="D510" s="449"/>
      <c r="E510" s="449"/>
      <c r="F510" s="449"/>
      <c r="G510" s="449"/>
      <c r="H510" s="449"/>
      <c r="I510" s="903"/>
      <c r="J510" s="903"/>
      <c r="K510" s="903"/>
      <c r="L510" s="903"/>
      <c r="M510" s="903"/>
      <c r="N510" s="903"/>
      <c r="O510" s="449"/>
      <c r="P510" s="449"/>
      <c r="Q510" s="449"/>
      <c r="R510" s="904"/>
      <c r="S510" s="904"/>
      <c r="T510" s="905"/>
      <c r="U510" s="905"/>
    </row>
    <row r="511" spans="1:21" s="906" customFormat="1" ht="12.75" x14ac:dyDescent="0.2">
      <c r="A511" s="449"/>
      <c r="B511" s="449"/>
      <c r="C511" s="449"/>
      <c r="D511" s="449"/>
      <c r="E511" s="449"/>
      <c r="F511" s="449"/>
      <c r="G511" s="449"/>
      <c r="H511" s="449"/>
      <c r="I511" s="903"/>
      <c r="J511" s="903"/>
      <c r="K511" s="903"/>
      <c r="L511" s="903"/>
      <c r="M511" s="903"/>
      <c r="N511" s="903"/>
      <c r="O511" s="449"/>
      <c r="P511" s="449"/>
      <c r="Q511" s="449"/>
      <c r="R511" s="904"/>
      <c r="S511" s="904"/>
      <c r="T511" s="905"/>
      <c r="U511" s="905"/>
    </row>
    <row r="512" spans="1:21" s="906" customFormat="1" ht="12.75" x14ac:dyDescent="0.2">
      <c r="A512" s="449"/>
      <c r="B512" s="449"/>
      <c r="C512" s="449"/>
      <c r="D512" s="449"/>
      <c r="E512" s="449"/>
      <c r="F512" s="449"/>
      <c r="G512" s="449"/>
      <c r="H512" s="449"/>
      <c r="I512" s="903"/>
      <c r="J512" s="903"/>
      <c r="K512" s="903"/>
      <c r="L512" s="903"/>
      <c r="M512" s="903"/>
      <c r="N512" s="903"/>
      <c r="O512" s="449"/>
      <c r="P512" s="449"/>
      <c r="Q512" s="449"/>
      <c r="R512" s="904"/>
      <c r="S512" s="904"/>
      <c r="T512" s="905"/>
      <c r="U512" s="905"/>
    </row>
    <row r="513" spans="1:21" s="906" customFormat="1" ht="12.75" x14ac:dyDescent="0.2">
      <c r="A513" s="449"/>
      <c r="B513" s="449"/>
      <c r="C513" s="449"/>
      <c r="D513" s="449"/>
      <c r="E513" s="449"/>
      <c r="F513" s="449"/>
      <c r="G513" s="449"/>
      <c r="H513" s="449"/>
      <c r="I513" s="903"/>
      <c r="J513" s="903"/>
      <c r="K513" s="903"/>
      <c r="L513" s="903"/>
      <c r="M513" s="903"/>
      <c r="N513" s="903"/>
      <c r="O513" s="449"/>
      <c r="P513" s="449"/>
      <c r="Q513" s="449"/>
      <c r="R513" s="904"/>
      <c r="S513" s="904"/>
      <c r="T513" s="905"/>
      <c r="U513" s="905"/>
    </row>
    <row r="514" spans="1:21" ht="12.75" x14ac:dyDescent="0.2">
      <c r="A514" s="90"/>
      <c r="B514" s="90"/>
      <c r="C514" s="90"/>
      <c r="D514" s="90"/>
      <c r="E514" s="90"/>
      <c r="F514" s="90"/>
      <c r="G514" s="90"/>
      <c r="H514" s="90"/>
      <c r="I514" s="131"/>
      <c r="J514" s="131"/>
      <c r="K514" s="131"/>
      <c r="L514" s="131"/>
      <c r="M514" s="131"/>
      <c r="N514" s="131"/>
      <c r="O514" s="90"/>
      <c r="P514" s="460"/>
      <c r="Q514" s="90"/>
      <c r="R514" s="80"/>
      <c r="S514" s="80"/>
      <c r="T514" s="80"/>
      <c r="U514" s="80"/>
    </row>
    <row r="515" spans="1:21" ht="12.75" x14ac:dyDescent="0.2">
      <c r="A515" s="90"/>
      <c r="B515" s="90"/>
      <c r="C515" s="90"/>
      <c r="D515" s="90"/>
      <c r="E515" s="90"/>
      <c r="F515" s="90"/>
      <c r="G515" s="90"/>
      <c r="H515" s="90"/>
      <c r="I515" s="131"/>
      <c r="J515" s="131"/>
      <c r="K515" s="131"/>
      <c r="L515" s="131"/>
      <c r="M515" s="131"/>
      <c r="N515" s="131"/>
      <c r="O515" s="90"/>
      <c r="P515" s="460"/>
      <c r="Q515" s="90"/>
      <c r="R515" s="80"/>
      <c r="S515" s="80"/>
      <c r="T515" s="80"/>
      <c r="U515" s="80"/>
    </row>
    <row r="516" spans="1:21" ht="12.75" x14ac:dyDescent="0.2">
      <c r="A516" s="90"/>
      <c r="B516" s="90"/>
      <c r="C516" s="90"/>
      <c r="D516" s="90"/>
      <c r="E516" s="90"/>
      <c r="F516" s="90"/>
      <c r="G516" s="90"/>
      <c r="H516" s="90"/>
      <c r="I516" s="131"/>
      <c r="J516" s="131"/>
      <c r="K516" s="131"/>
      <c r="L516" s="131"/>
      <c r="M516" s="131"/>
      <c r="N516" s="131"/>
      <c r="O516" s="90"/>
      <c r="P516" s="460"/>
      <c r="Q516" s="90"/>
      <c r="R516" s="80"/>
      <c r="S516" s="80"/>
      <c r="T516" s="80"/>
      <c r="U516" s="80"/>
    </row>
    <row r="517" spans="1:21" ht="12.75" x14ac:dyDescent="0.2">
      <c r="A517" s="90"/>
      <c r="B517" s="90"/>
      <c r="C517" s="90"/>
      <c r="D517" s="90"/>
      <c r="E517" s="90"/>
      <c r="F517" s="90"/>
      <c r="G517" s="90"/>
      <c r="H517" s="90"/>
      <c r="I517" s="131"/>
      <c r="J517" s="131"/>
      <c r="K517" s="131"/>
      <c r="L517" s="131"/>
      <c r="M517" s="131"/>
      <c r="N517" s="131"/>
      <c r="O517" s="90"/>
      <c r="P517" s="460"/>
      <c r="Q517" s="90"/>
      <c r="R517" s="80"/>
      <c r="S517" s="80"/>
      <c r="T517" s="80"/>
      <c r="U517" s="80"/>
    </row>
    <row r="518" spans="1:21" ht="12.75" x14ac:dyDescent="0.2">
      <c r="A518" s="90"/>
      <c r="B518" s="90"/>
      <c r="C518" s="90"/>
      <c r="D518" s="90"/>
      <c r="E518" s="90"/>
      <c r="F518" s="90"/>
      <c r="G518" s="90"/>
      <c r="H518" s="90"/>
      <c r="I518" s="131"/>
      <c r="J518" s="131"/>
      <c r="K518" s="131"/>
      <c r="L518" s="131"/>
      <c r="M518" s="131"/>
      <c r="N518" s="131"/>
      <c r="O518" s="90"/>
      <c r="P518" s="460"/>
      <c r="Q518" s="90"/>
      <c r="R518" s="80"/>
      <c r="S518" s="80"/>
      <c r="T518" s="80"/>
      <c r="U518" s="80"/>
    </row>
    <row r="519" spans="1:21" ht="12.75" x14ac:dyDescent="0.2">
      <c r="A519" s="90"/>
      <c r="B519" s="90"/>
      <c r="C519" s="90"/>
      <c r="D519" s="90"/>
      <c r="E519" s="90"/>
      <c r="F519" s="90"/>
      <c r="G519" s="90"/>
      <c r="H519" s="90"/>
      <c r="I519" s="131"/>
      <c r="J519" s="131"/>
      <c r="K519" s="131"/>
      <c r="L519" s="131"/>
      <c r="M519" s="131"/>
      <c r="N519" s="131"/>
      <c r="O519" s="90"/>
      <c r="P519" s="460"/>
      <c r="Q519" s="90"/>
      <c r="R519" s="80"/>
      <c r="S519" s="80"/>
      <c r="T519" s="80"/>
      <c r="U519" s="80"/>
    </row>
    <row r="520" spans="1:21" ht="12.75" x14ac:dyDescent="0.2">
      <c r="A520" s="90"/>
      <c r="B520" s="90"/>
      <c r="C520" s="90"/>
      <c r="D520" s="90"/>
      <c r="E520" s="90"/>
      <c r="F520" s="90"/>
      <c r="G520" s="90"/>
      <c r="H520" s="90"/>
      <c r="I520" s="131"/>
      <c r="J520" s="131"/>
      <c r="K520" s="131"/>
      <c r="L520" s="131"/>
      <c r="M520" s="131"/>
      <c r="N520" s="131"/>
      <c r="O520" s="90"/>
      <c r="P520" s="460"/>
      <c r="Q520" s="90"/>
      <c r="R520" s="80"/>
      <c r="S520" s="80"/>
      <c r="T520" s="80"/>
      <c r="U520" s="80"/>
    </row>
    <row r="521" spans="1:21" ht="12.75" x14ac:dyDescent="0.2">
      <c r="A521" s="90"/>
      <c r="B521" s="90"/>
      <c r="C521" s="90"/>
      <c r="D521" s="90"/>
      <c r="E521" s="90"/>
      <c r="F521" s="90"/>
      <c r="G521" s="90"/>
      <c r="H521" s="90"/>
      <c r="I521" s="131"/>
      <c r="J521" s="131"/>
      <c r="K521" s="131"/>
      <c r="L521" s="131"/>
      <c r="M521" s="131"/>
      <c r="N521" s="131"/>
      <c r="O521" s="90"/>
      <c r="P521" s="460"/>
      <c r="Q521" s="90"/>
      <c r="R521" s="80"/>
      <c r="S521" s="80"/>
      <c r="T521" s="80"/>
      <c r="U521" s="80"/>
    </row>
    <row r="522" spans="1:21" ht="12.75" x14ac:dyDescent="0.2">
      <c r="A522" s="90"/>
      <c r="B522" s="90"/>
      <c r="C522" s="90"/>
      <c r="D522" s="90"/>
      <c r="E522" s="90"/>
      <c r="F522" s="90"/>
      <c r="G522" s="90"/>
      <c r="H522" s="90"/>
      <c r="I522" s="131"/>
      <c r="J522" s="131"/>
      <c r="K522" s="131"/>
      <c r="L522" s="131"/>
      <c r="M522" s="131"/>
      <c r="N522" s="131"/>
      <c r="O522" s="90"/>
      <c r="P522" s="460"/>
      <c r="Q522" s="90"/>
      <c r="R522" s="80"/>
      <c r="S522" s="80"/>
      <c r="T522" s="80"/>
      <c r="U522" s="80"/>
    </row>
    <row r="523" spans="1:21" ht="11.25" x14ac:dyDescent="0.2">
      <c r="A523" s="91"/>
      <c r="B523" s="91"/>
      <c r="C523" s="91"/>
      <c r="D523" s="91"/>
      <c r="E523" s="91"/>
      <c r="F523" s="91"/>
      <c r="G523" s="91"/>
      <c r="H523" s="91"/>
      <c r="I523" s="921"/>
      <c r="J523" s="921"/>
      <c r="K523" s="921"/>
      <c r="L523" s="921"/>
      <c r="M523" s="921"/>
      <c r="N523" s="921"/>
      <c r="O523" s="91"/>
      <c r="P523" s="461"/>
      <c r="Q523" s="91"/>
    </row>
    <row r="524" spans="1:21" ht="11.25" x14ac:dyDescent="0.2">
      <c r="A524" s="91"/>
      <c r="B524" s="91"/>
      <c r="C524" s="91"/>
      <c r="D524" s="91"/>
      <c r="E524" s="91"/>
      <c r="F524" s="91"/>
      <c r="G524" s="91"/>
      <c r="H524" s="91"/>
      <c r="I524" s="921"/>
      <c r="J524" s="921"/>
      <c r="K524" s="921"/>
      <c r="L524" s="921"/>
      <c r="M524" s="921"/>
      <c r="N524" s="921"/>
      <c r="O524" s="91"/>
      <c r="P524" s="461"/>
      <c r="Q524" s="91"/>
    </row>
    <row r="525" spans="1:21" ht="11.25" x14ac:dyDescent="0.2">
      <c r="A525" s="91"/>
      <c r="B525" s="91"/>
      <c r="C525" s="91"/>
      <c r="D525" s="91"/>
      <c r="E525" s="91"/>
      <c r="F525" s="91"/>
      <c r="G525" s="91"/>
      <c r="H525" s="91"/>
      <c r="I525" s="921"/>
      <c r="J525" s="921"/>
      <c r="K525" s="921"/>
      <c r="L525" s="921"/>
      <c r="M525" s="921"/>
      <c r="N525" s="921"/>
      <c r="O525" s="91"/>
      <c r="P525" s="461"/>
      <c r="Q525" s="91"/>
    </row>
    <row r="526" spans="1:21" ht="11.25" x14ac:dyDescent="0.2">
      <c r="A526" s="91"/>
      <c r="B526" s="91"/>
      <c r="C526" s="91"/>
      <c r="D526" s="91"/>
      <c r="E526" s="91"/>
      <c r="F526" s="91"/>
      <c r="G526" s="91"/>
      <c r="H526" s="91"/>
      <c r="I526" s="921"/>
      <c r="J526" s="921"/>
      <c r="K526" s="921"/>
      <c r="L526" s="921"/>
      <c r="M526" s="921"/>
      <c r="N526" s="921"/>
      <c r="O526" s="91"/>
      <c r="P526" s="461"/>
      <c r="Q526" s="91"/>
    </row>
    <row r="527" spans="1:21" ht="11.25" x14ac:dyDescent="0.2">
      <c r="A527" s="91"/>
      <c r="B527" s="91"/>
      <c r="C527" s="91"/>
      <c r="D527" s="91"/>
      <c r="E527" s="91"/>
      <c r="F527" s="91"/>
      <c r="G527" s="91"/>
      <c r="H527" s="91"/>
      <c r="I527" s="921"/>
      <c r="J527" s="921"/>
      <c r="K527" s="921"/>
      <c r="L527" s="921"/>
      <c r="M527" s="921"/>
      <c r="N527" s="921"/>
      <c r="O527" s="91"/>
      <c r="P527" s="461"/>
      <c r="Q527" s="91"/>
    </row>
    <row r="528" spans="1:21" ht="11.25" x14ac:dyDescent="0.2">
      <c r="A528" s="91"/>
      <c r="B528" s="91"/>
      <c r="C528" s="91"/>
      <c r="D528" s="91"/>
      <c r="E528" s="91"/>
      <c r="F528" s="91"/>
      <c r="G528" s="91"/>
      <c r="H528" s="91"/>
      <c r="I528" s="921"/>
      <c r="J528" s="921"/>
      <c r="K528" s="921"/>
      <c r="L528" s="921"/>
      <c r="M528" s="921"/>
      <c r="N528" s="921"/>
      <c r="O528" s="91"/>
      <c r="P528" s="461"/>
      <c r="Q528" s="91"/>
    </row>
    <row r="529" spans="1:17" ht="11.25" x14ac:dyDescent="0.2">
      <c r="A529" s="91"/>
      <c r="B529" s="91"/>
      <c r="C529" s="91"/>
      <c r="D529" s="91"/>
      <c r="E529" s="91"/>
      <c r="F529" s="91"/>
      <c r="G529" s="91"/>
      <c r="H529" s="91"/>
      <c r="I529" s="921"/>
      <c r="J529" s="921"/>
      <c r="K529" s="921"/>
      <c r="L529" s="921"/>
      <c r="M529" s="921"/>
      <c r="N529" s="921"/>
      <c r="O529" s="91"/>
      <c r="P529" s="461"/>
      <c r="Q529" s="91"/>
    </row>
    <row r="530" spans="1:17" ht="11.25" x14ac:dyDescent="0.2">
      <c r="A530" s="91"/>
      <c r="B530" s="91"/>
      <c r="C530" s="91"/>
      <c r="D530" s="91"/>
      <c r="E530" s="91"/>
      <c r="F530" s="91"/>
      <c r="G530" s="91"/>
      <c r="H530" s="91"/>
      <c r="I530" s="921"/>
      <c r="J530" s="921"/>
      <c r="K530" s="921"/>
      <c r="L530" s="921"/>
      <c r="M530" s="921"/>
      <c r="N530" s="921"/>
      <c r="O530" s="91"/>
      <c r="P530" s="461"/>
      <c r="Q530" s="91"/>
    </row>
    <row r="531" spans="1:17" ht="11.25" x14ac:dyDescent="0.2">
      <c r="A531" s="91"/>
      <c r="B531" s="91"/>
      <c r="C531" s="91"/>
      <c r="D531" s="91"/>
      <c r="E531" s="91"/>
      <c r="F531" s="91"/>
      <c r="G531" s="91"/>
      <c r="H531" s="91"/>
      <c r="I531" s="921"/>
      <c r="J531" s="921"/>
      <c r="K531" s="921"/>
      <c r="L531" s="921"/>
      <c r="M531" s="921"/>
      <c r="N531" s="921"/>
      <c r="O531" s="91"/>
      <c r="P531" s="461"/>
      <c r="Q531" s="91"/>
    </row>
    <row r="532" spans="1:17" ht="11.25" x14ac:dyDescent="0.2">
      <c r="A532" s="91"/>
      <c r="B532" s="91"/>
      <c r="C532" s="91"/>
      <c r="D532" s="91"/>
      <c r="E532" s="91"/>
      <c r="F532" s="91"/>
      <c r="G532" s="91"/>
      <c r="H532" s="91"/>
      <c r="I532" s="921"/>
      <c r="J532" s="921"/>
      <c r="K532" s="921"/>
      <c r="L532" s="921"/>
      <c r="M532" s="921"/>
      <c r="N532" s="921"/>
      <c r="O532" s="91"/>
      <c r="P532" s="461"/>
      <c r="Q532" s="91"/>
    </row>
    <row r="533" spans="1:17" ht="11.25" x14ac:dyDescent="0.2">
      <c r="A533" s="91"/>
      <c r="B533" s="91"/>
      <c r="C533" s="91"/>
      <c r="D533" s="91"/>
      <c r="E533" s="91"/>
      <c r="F533" s="91"/>
      <c r="G533" s="91"/>
      <c r="H533" s="91"/>
      <c r="I533" s="921"/>
      <c r="J533" s="921"/>
      <c r="K533" s="921"/>
      <c r="L533" s="921"/>
      <c r="M533" s="921"/>
      <c r="N533" s="921"/>
      <c r="O533" s="91"/>
      <c r="P533" s="461"/>
      <c r="Q533" s="91"/>
    </row>
    <row r="534" spans="1:17" ht="11.25" x14ac:dyDescent="0.2">
      <c r="A534" s="91"/>
      <c r="B534" s="91"/>
      <c r="C534" s="91"/>
      <c r="D534" s="91"/>
      <c r="E534" s="91"/>
      <c r="F534" s="91"/>
      <c r="G534" s="91"/>
      <c r="H534" s="91"/>
      <c r="I534" s="921"/>
      <c r="J534" s="921"/>
      <c r="K534" s="921"/>
      <c r="L534" s="921"/>
      <c r="M534" s="921"/>
      <c r="N534" s="921"/>
      <c r="O534" s="91"/>
      <c r="P534" s="461"/>
      <c r="Q534" s="91"/>
    </row>
    <row r="535" spans="1:17" ht="11.25" x14ac:dyDescent="0.2">
      <c r="A535" s="91"/>
      <c r="B535" s="91"/>
      <c r="C535" s="91"/>
      <c r="D535" s="91"/>
      <c r="E535" s="91"/>
      <c r="F535" s="91"/>
      <c r="G535" s="91"/>
      <c r="H535" s="91"/>
      <c r="I535" s="921"/>
      <c r="J535" s="921"/>
      <c r="K535" s="921"/>
      <c r="L535" s="921"/>
      <c r="M535" s="921"/>
      <c r="N535" s="921"/>
      <c r="O535" s="91"/>
      <c r="P535" s="461"/>
      <c r="Q535" s="91"/>
    </row>
    <row r="536" spans="1:17" ht="11.25" x14ac:dyDescent="0.2">
      <c r="A536" s="91"/>
      <c r="B536" s="91"/>
      <c r="C536" s="91"/>
      <c r="D536" s="91"/>
      <c r="E536" s="91"/>
      <c r="F536" s="91"/>
      <c r="G536" s="91"/>
      <c r="H536" s="91"/>
      <c r="I536" s="921"/>
      <c r="J536" s="921"/>
      <c r="K536" s="921"/>
      <c r="L536" s="921"/>
      <c r="M536" s="921"/>
      <c r="N536" s="921"/>
      <c r="O536" s="91"/>
      <c r="P536" s="461"/>
      <c r="Q536" s="91"/>
    </row>
    <row r="537" spans="1:17" ht="11.25" x14ac:dyDescent="0.2">
      <c r="A537" s="91"/>
      <c r="B537" s="91"/>
      <c r="C537" s="91"/>
      <c r="D537" s="91"/>
      <c r="E537" s="91"/>
      <c r="F537" s="91"/>
      <c r="G537" s="91"/>
      <c r="H537" s="91"/>
      <c r="I537" s="921"/>
      <c r="J537" s="921"/>
      <c r="K537" s="921"/>
      <c r="L537" s="921"/>
      <c r="M537" s="921"/>
      <c r="N537" s="921"/>
      <c r="O537" s="91"/>
      <c r="P537" s="461"/>
      <c r="Q537" s="91"/>
    </row>
    <row r="538" spans="1:17" ht="11.25" x14ac:dyDescent="0.2">
      <c r="A538" s="91"/>
      <c r="B538" s="91"/>
      <c r="C538" s="91"/>
      <c r="D538" s="91"/>
      <c r="E538" s="91"/>
      <c r="F538" s="91"/>
      <c r="G538" s="91"/>
      <c r="H538" s="91"/>
      <c r="I538" s="921"/>
      <c r="J538" s="921"/>
      <c r="K538" s="921"/>
      <c r="L538" s="921"/>
      <c r="M538" s="921"/>
      <c r="N538" s="921"/>
      <c r="O538" s="91"/>
      <c r="P538" s="461"/>
      <c r="Q538" s="91"/>
    </row>
    <row r="539" spans="1:17" ht="11.25" x14ac:dyDescent="0.2">
      <c r="A539" s="91"/>
      <c r="B539" s="91"/>
      <c r="C539" s="91"/>
      <c r="D539" s="91"/>
      <c r="E539" s="91"/>
      <c r="F539" s="91"/>
      <c r="G539" s="91"/>
      <c r="H539" s="91"/>
      <c r="I539" s="921"/>
      <c r="J539" s="921"/>
      <c r="K539" s="921"/>
      <c r="L539" s="921"/>
      <c r="M539" s="921"/>
      <c r="N539" s="921"/>
      <c r="O539" s="91"/>
      <c r="P539" s="461"/>
      <c r="Q539" s="91"/>
    </row>
    <row r="540" spans="1:17" ht="11.25" x14ac:dyDescent="0.2">
      <c r="A540" s="91"/>
      <c r="B540" s="91"/>
      <c r="C540" s="91"/>
      <c r="D540" s="91"/>
      <c r="E540" s="91"/>
      <c r="F540" s="91"/>
      <c r="G540" s="91"/>
      <c r="H540" s="91"/>
      <c r="I540" s="921"/>
      <c r="J540" s="921"/>
      <c r="K540" s="921"/>
      <c r="L540" s="921"/>
      <c r="M540" s="921"/>
      <c r="N540" s="921"/>
      <c r="O540" s="91"/>
      <c r="P540" s="461"/>
      <c r="Q540" s="91"/>
    </row>
    <row r="541" spans="1:17" ht="11.25" x14ac:dyDescent="0.2">
      <c r="A541" s="91"/>
      <c r="B541" s="91"/>
      <c r="C541" s="91"/>
      <c r="D541" s="91"/>
      <c r="E541" s="91"/>
      <c r="F541" s="91"/>
      <c r="G541" s="91"/>
      <c r="H541" s="91"/>
      <c r="I541" s="921"/>
      <c r="J541" s="921"/>
      <c r="K541" s="921"/>
      <c r="L541" s="921"/>
      <c r="M541" s="921"/>
      <c r="N541" s="921"/>
      <c r="O541" s="91"/>
      <c r="P541" s="461"/>
      <c r="Q541" s="91"/>
    </row>
    <row r="542" spans="1:17" ht="11.25" x14ac:dyDescent="0.2">
      <c r="A542" s="91"/>
      <c r="B542" s="91"/>
      <c r="C542" s="91"/>
      <c r="D542" s="91"/>
      <c r="E542" s="91"/>
      <c r="F542" s="91"/>
      <c r="G542" s="91"/>
      <c r="H542" s="91"/>
      <c r="I542" s="921"/>
      <c r="J542" s="921"/>
      <c r="K542" s="921"/>
      <c r="L542" s="921"/>
      <c r="M542" s="921"/>
      <c r="N542" s="921"/>
      <c r="O542" s="91"/>
      <c r="P542" s="461"/>
      <c r="Q542" s="91"/>
    </row>
    <row r="543" spans="1:17" ht="11.25" x14ac:dyDescent="0.2">
      <c r="A543" s="91"/>
      <c r="B543" s="91"/>
      <c r="C543" s="91"/>
      <c r="D543" s="91"/>
      <c r="E543" s="91"/>
      <c r="F543" s="91"/>
      <c r="G543" s="91"/>
      <c r="H543" s="91"/>
      <c r="I543" s="921"/>
      <c r="J543" s="921"/>
      <c r="K543" s="921"/>
      <c r="L543" s="921"/>
      <c r="M543" s="921"/>
      <c r="N543" s="921"/>
      <c r="O543" s="91"/>
      <c r="P543" s="461"/>
      <c r="Q543" s="91"/>
    </row>
    <row r="544" spans="1:17" ht="11.25" x14ac:dyDescent="0.2">
      <c r="A544" s="91"/>
      <c r="B544" s="91"/>
      <c r="C544" s="91"/>
      <c r="D544" s="91"/>
      <c r="E544" s="91"/>
      <c r="F544" s="91"/>
      <c r="G544" s="91"/>
      <c r="H544" s="91"/>
      <c r="I544" s="921"/>
      <c r="J544" s="921"/>
      <c r="K544" s="921"/>
      <c r="L544" s="921"/>
      <c r="M544" s="921"/>
      <c r="N544" s="921"/>
      <c r="O544" s="91"/>
      <c r="P544" s="461"/>
      <c r="Q544" s="91"/>
    </row>
    <row r="545" spans="1:17" ht="11.25" x14ac:dyDescent="0.2">
      <c r="A545" s="91"/>
      <c r="B545" s="91"/>
      <c r="C545" s="91"/>
      <c r="D545" s="91"/>
      <c r="E545" s="91"/>
      <c r="F545" s="91"/>
      <c r="G545" s="91"/>
      <c r="H545" s="91"/>
      <c r="I545" s="921"/>
      <c r="J545" s="921"/>
      <c r="K545" s="921"/>
      <c r="L545" s="921"/>
      <c r="M545" s="921"/>
      <c r="N545" s="921"/>
      <c r="O545" s="91"/>
      <c r="P545" s="461"/>
      <c r="Q545" s="91"/>
    </row>
    <row r="546" spans="1:17" ht="11.25" x14ac:dyDescent="0.2">
      <c r="A546" s="91"/>
      <c r="B546" s="91"/>
      <c r="C546" s="91"/>
      <c r="D546" s="91"/>
      <c r="E546" s="91"/>
      <c r="F546" s="91"/>
      <c r="G546" s="91"/>
      <c r="H546" s="91"/>
      <c r="I546" s="921"/>
      <c r="J546" s="921"/>
      <c r="K546" s="921"/>
      <c r="L546" s="921"/>
      <c r="M546" s="921"/>
      <c r="N546" s="921"/>
      <c r="O546" s="91"/>
      <c r="P546" s="461"/>
      <c r="Q546" s="91"/>
    </row>
    <row r="547" spans="1:17" ht="11.25" x14ac:dyDescent="0.2">
      <c r="A547" s="91"/>
      <c r="B547" s="91"/>
      <c r="C547" s="91"/>
      <c r="D547" s="91"/>
      <c r="E547" s="91"/>
      <c r="F547" s="91"/>
      <c r="G547" s="91"/>
      <c r="H547" s="91"/>
      <c r="I547" s="921"/>
      <c r="J547" s="921"/>
      <c r="K547" s="921"/>
      <c r="L547" s="921"/>
      <c r="M547" s="921"/>
      <c r="N547" s="921"/>
      <c r="O547" s="91"/>
      <c r="P547" s="461"/>
      <c r="Q547" s="91"/>
    </row>
    <row r="548" spans="1:17" ht="11.25" x14ac:dyDescent="0.2">
      <c r="A548" s="91"/>
      <c r="B548" s="91"/>
      <c r="C548" s="91"/>
      <c r="D548" s="91"/>
      <c r="E548" s="91"/>
      <c r="F548" s="91"/>
      <c r="G548" s="91"/>
      <c r="H548" s="91"/>
      <c r="I548" s="921"/>
      <c r="J548" s="921"/>
      <c r="K548" s="921"/>
      <c r="L548" s="921"/>
      <c r="M548" s="921"/>
      <c r="N548" s="921"/>
      <c r="O548" s="91"/>
      <c r="P548" s="461"/>
      <c r="Q548" s="91"/>
    </row>
    <row r="549" spans="1:17" ht="11.25" x14ac:dyDescent="0.2">
      <c r="A549" s="91"/>
      <c r="B549" s="91"/>
      <c r="C549" s="91"/>
      <c r="D549" s="91"/>
      <c r="E549" s="91"/>
      <c r="F549" s="91"/>
      <c r="G549" s="91"/>
      <c r="H549" s="91"/>
      <c r="I549" s="921"/>
      <c r="J549" s="921"/>
      <c r="K549" s="921"/>
      <c r="L549" s="921"/>
      <c r="M549" s="921"/>
      <c r="N549" s="921"/>
      <c r="O549" s="91"/>
      <c r="P549" s="461"/>
      <c r="Q549" s="91"/>
    </row>
    <row r="550" spans="1:17" ht="11.25" x14ac:dyDescent="0.2">
      <c r="A550" s="91"/>
      <c r="B550" s="91"/>
      <c r="C550" s="91"/>
      <c r="D550" s="91"/>
      <c r="E550" s="91"/>
      <c r="F550" s="91"/>
      <c r="G550" s="91"/>
      <c r="H550" s="91"/>
      <c r="I550" s="921"/>
      <c r="J550" s="921"/>
      <c r="K550" s="921"/>
      <c r="L550" s="921"/>
      <c r="M550" s="921"/>
      <c r="N550" s="921"/>
      <c r="O550" s="91"/>
      <c r="P550" s="461"/>
      <c r="Q550" s="91"/>
    </row>
    <row r="551" spans="1:17" ht="11.25" x14ac:dyDescent="0.2">
      <c r="A551" s="91"/>
      <c r="B551" s="91"/>
      <c r="C551" s="91"/>
      <c r="D551" s="91"/>
      <c r="E551" s="91"/>
      <c r="F551" s="91"/>
      <c r="G551" s="91"/>
      <c r="H551" s="91"/>
      <c r="I551" s="921"/>
      <c r="J551" s="921"/>
      <c r="K551" s="921"/>
      <c r="L551" s="921"/>
      <c r="M551" s="921"/>
      <c r="N551" s="921"/>
      <c r="O551" s="91"/>
      <c r="P551" s="461"/>
      <c r="Q551" s="91"/>
    </row>
    <row r="552" spans="1:17" ht="11.25" x14ac:dyDescent="0.2">
      <c r="A552" s="91"/>
      <c r="B552" s="91"/>
      <c r="C552" s="91"/>
      <c r="D552" s="91"/>
      <c r="E552" s="91"/>
      <c r="F552" s="91"/>
      <c r="G552" s="91"/>
      <c r="H552" s="91"/>
      <c r="I552" s="921"/>
      <c r="J552" s="921"/>
      <c r="K552" s="921"/>
      <c r="L552" s="921"/>
      <c r="M552" s="921"/>
      <c r="N552" s="921"/>
      <c r="O552" s="91"/>
      <c r="P552" s="461"/>
      <c r="Q552" s="91"/>
    </row>
    <row r="553" spans="1:17" ht="11.25" x14ac:dyDescent="0.2">
      <c r="A553" s="91"/>
      <c r="B553" s="91"/>
      <c r="C553" s="91"/>
      <c r="D553" s="91"/>
      <c r="E553" s="91"/>
      <c r="F553" s="91"/>
      <c r="G553" s="91"/>
      <c r="H553" s="91"/>
      <c r="I553" s="921"/>
      <c r="J553" s="921"/>
      <c r="K553" s="921"/>
      <c r="L553" s="921"/>
      <c r="M553" s="921"/>
      <c r="N553" s="921"/>
      <c r="O553" s="91"/>
      <c r="P553" s="461"/>
      <c r="Q553" s="91"/>
    </row>
    <row r="554" spans="1:17" ht="11.25" x14ac:dyDescent="0.2">
      <c r="A554" s="91"/>
      <c r="B554" s="91"/>
      <c r="C554" s="91"/>
      <c r="D554" s="91"/>
      <c r="E554" s="91"/>
      <c r="F554" s="91"/>
      <c r="G554" s="91"/>
      <c r="H554" s="91"/>
      <c r="I554" s="921"/>
      <c r="J554" s="921"/>
      <c r="K554" s="921"/>
      <c r="L554" s="921"/>
      <c r="M554" s="921"/>
      <c r="N554" s="921"/>
      <c r="O554" s="91"/>
      <c r="P554" s="461"/>
      <c r="Q554" s="91"/>
    </row>
    <row r="555" spans="1:17" ht="11.25" x14ac:dyDescent="0.2">
      <c r="A555" s="91"/>
      <c r="B555" s="91"/>
      <c r="C555" s="91"/>
      <c r="D555" s="91"/>
      <c r="E555" s="91"/>
      <c r="F555" s="91"/>
      <c r="G555" s="91"/>
      <c r="H555" s="91"/>
      <c r="I555" s="921"/>
      <c r="J555" s="921"/>
      <c r="K555" s="921"/>
      <c r="L555" s="921"/>
      <c r="M555" s="921"/>
      <c r="N555" s="921"/>
      <c r="O555" s="91"/>
      <c r="P555" s="461"/>
      <c r="Q555" s="91"/>
    </row>
    <row r="556" spans="1:17" ht="11.25" x14ac:dyDescent="0.2">
      <c r="A556" s="91"/>
      <c r="B556" s="91"/>
      <c r="C556" s="91"/>
      <c r="D556" s="91"/>
      <c r="E556" s="91"/>
      <c r="F556" s="91"/>
      <c r="G556" s="91"/>
      <c r="H556" s="91"/>
      <c r="I556" s="921"/>
      <c r="J556" s="921"/>
      <c r="K556" s="921"/>
      <c r="L556" s="921"/>
      <c r="M556" s="921"/>
      <c r="N556" s="921"/>
      <c r="O556" s="91"/>
      <c r="P556" s="461"/>
      <c r="Q556" s="91"/>
    </row>
    <row r="557" spans="1:17" ht="11.25" x14ac:dyDescent="0.2">
      <c r="A557" s="91"/>
      <c r="B557" s="91"/>
      <c r="C557" s="91"/>
      <c r="D557" s="91"/>
      <c r="E557" s="91"/>
      <c r="F557" s="91"/>
      <c r="G557" s="91"/>
      <c r="H557" s="91"/>
      <c r="I557" s="921"/>
      <c r="J557" s="921"/>
      <c r="K557" s="921"/>
      <c r="L557" s="921"/>
      <c r="M557" s="921"/>
      <c r="N557" s="921"/>
      <c r="O557" s="91"/>
      <c r="P557" s="461"/>
      <c r="Q557" s="91"/>
    </row>
    <row r="558" spans="1:17" ht="11.25" x14ac:dyDescent="0.2">
      <c r="A558" s="91"/>
      <c r="B558" s="91"/>
      <c r="C558" s="91"/>
      <c r="D558" s="91"/>
      <c r="E558" s="91"/>
      <c r="F558" s="91"/>
      <c r="G558" s="91"/>
      <c r="H558" s="91"/>
      <c r="I558" s="921"/>
      <c r="J558" s="921"/>
      <c r="K558" s="921"/>
      <c r="L558" s="921"/>
      <c r="M558" s="921"/>
      <c r="N558" s="921"/>
      <c r="O558" s="91"/>
      <c r="P558" s="461"/>
      <c r="Q558" s="91"/>
    </row>
    <row r="559" spans="1:17" ht="11.25" x14ac:dyDescent="0.2">
      <c r="A559" s="91"/>
      <c r="B559" s="91"/>
      <c r="C559" s="91"/>
      <c r="D559" s="91"/>
      <c r="E559" s="91"/>
      <c r="F559" s="91"/>
      <c r="G559" s="91"/>
      <c r="H559" s="91"/>
      <c r="I559" s="921"/>
      <c r="J559" s="921"/>
      <c r="K559" s="921"/>
      <c r="L559" s="921"/>
      <c r="M559" s="921"/>
      <c r="N559" s="921"/>
      <c r="O559" s="91"/>
      <c r="P559" s="461"/>
      <c r="Q559" s="91"/>
    </row>
    <row r="560" spans="1:17" ht="11.25" x14ac:dyDescent="0.2">
      <c r="A560" s="91"/>
      <c r="B560" s="91"/>
      <c r="C560" s="91"/>
      <c r="D560" s="91"/>
      <c r="E560" s="91"/>
      <c r="F560" s="91"/>
      <c r="G560" s="91"/>
      <c r="H560" s="91"/>
      <c r="I560" s="921"/>
      <c r="J560" s="921"/>
      <c r="K560" s="921"/>
      <c r="L560" s="921"/>
      <c r="M560" s="921"/>
      <c r="N560" s="921"/>
      <c r="O560" s="91"/>
      <c r="P560" s="461"/>
      <c r="Q560" s="91"/>
    </row>
    <row r="561" spans="1:17" ht="11.25" x14ac:dyDescent="0.2">
      <c r="A561" s="91"/>
      <c r="B561" s="91"/>
      <c r="C561" s="91"/>
      <c r="D561" s="91"/>
      <c r="E561" s="91"/>
      <c r="F561" s="91"/>
      <c r="G561" s="91"/>
      <c r="H561" s="91"/>
      <c r="I561" s="921"/>
      <c r="J561" s="921"/>
      <c r="K561" s="921"/>
      <c r="L561" s="921"/>
      <c r="M561" s="921"/>
      <c r="N561" s="921"/>
      <c r="O561" s="91"/>
      <c r="P561" s="461"/>
      <c r="Q561" s="91"/>
    </row>
    <row r="562" spans="1:17" ht="11.25" x14ac:dyDescent="0.2">
      <c r="A562" s="91"/>
      <c r="B562" s="91"/>
      <c r="C562" s="91"/>
      <c r="D562" s="91"/>
      <c r="E562" s="91"/>
      <c r="F562" s="91"/>
      <c r="G562" s="91"/>
      <c r="H562" s="91"/>
      <c r="I562" s="921"/>
      <c r="J562" s="921"/>
      <c r="K562" s="921"/>
      <c r="L562" s="921"/>
      <c r="M562" s="921"/>
      <c r="N562" s="921"/>
      <c r="O562" s="91"/>
      <c r="P562" s="461"/>
      <c r="Q562" s="91"/>
    </row>
    <row r="563" spans="1:17" ht="11.25" x14ac:dyDescent="0.2">
      <c r="A563" s="91"/>
      <c r="B563" s="91"/>
      <c r="C563" s="91"/>
      <c r="D563" s="91"/>
      <c r="E563" s="91"/>
      <c r="F563" s="91"/>
      <c r="G563" s="91"/>
      <c r="H563" s="91"/>
      <c r="I563" s="921"/>
      <c r="J563" s="921"/>
      <c r="K563" s="921"/>
      <c r="L563" s="921"/>
      <c r="M563" s="921"/>
      <c r="N563" s="921"/>
      <c r="O563" s="91"/>
      <c r="P563" s="461"/>
      <c r="Q563" s="91"/>
    </row>
    <row r="564" spans="1:17" ht="11.25" x14ac:dyDescent="0.2">
      <c r="A564" s="91"/>
      <c r="B564" s="91"/>
      <c r="C564" s="91"/>
      <c r="D564" s="91"/>
      <c r="E564" s="91"/>
      <c r="F564" s="91"/>
      <c r="G564" s="91"/>
      <c r="H564" s="91"/>
      <c r="I564" s="921"/>
      <c r="J564" s="921"/>
      <c r="K564" s="921"/>
      <c r="L564" s="921"/>
      <c r="M564" s="921"/>
      <c r="N564" s="921"/>
      <c r="O564" s="91"/>
      <c r="P564" s="461"/>
      <c r="Q564" s="91"/>
    </row>
    <row r="565" spans="1:17" ht="11.25" x14ac:dyDescent="0.2">
      <c r="A565" s="91"/>
      <c r="B565" s="91"/>
      <c r="C565" s="91"/>
      <c r="D565" s="91"/>
      <c r="E565" s="91"/>
      <c r="F565" s="91"/>
      <c r="G565" s="91"/>
      <c r="H565" s="91"/>
      <c r="I565" s="921"/>
      <c r="J565" s="921"/>
      <c r="K565" s="921"/>
      <c r="L565" s="921"/>
      <c r="M565" s="921"/>
      <c r="N565" s="921"/>
      <c r="O565" s="91"/>
      <c r="P565" s="461"/>
      <c r="Q565" s="91"/>
    </row>
    <row r="566" spans="1:17" ht="11.25" x14ac:dyDescent="0.2">
      <c r="A566" s="91"/>
      <c r="B566" s="91"/>
      <c r="C566" s="91"/>
      <c r="D566" s="91"/>
      <c r="E566" s="91"/>
      <c r="F566" s="91"/>
      <c r="G566" s="91"/>
      <c r="H566" s="91"/>
      <c r="I566" s="921"/>
      <c r="J566" s="921"/>
      <c r="K566" s="921"/>
      <c r="L566" s="921"/>
      <c r="M566" s="921"/>
      <c r="N566" s="921"/>
      <c r="O566" s="91"/>
      <c r="P566" s="461"/>
      <c r="Q566" s="91"/>
    </row>
    <row r="567" spans="1:17" ht="11.25" x14ac:dyDescent="0.2">
      <c r="A567" s="91"/>
      <c r="B567" s="91"/>
      <c r="C567" s="91"/>
      <c r="D567" s="91"/>
      <c r="E567" s="91"/>
      <c r="F567" s="91"/>
      <c r="G567" s="91"/>
      <c r="H567" s="91"/>
      <c r="I567" s="921"/>
      <c r="J567" s="921"/>
      <c r="K567" s="921"/>
      <c r="L567" s="921"/>
      <c r="M567" s="921"/>
      <c r="N567" s="921"/>
      <c r="O567" s="91"/>
      <c r="P567" s="461"/>
      <c r="Q567" s="91"/>
    </row>
    <row r="568" spans="1:17" ht="11.25" x14ac:dyDescent="0.2">
      <c r="A568" s="91"/>
      <c r="B568" s="91"/>
      <c r="C568" s="91"/>
      <c r="D568" s="91"/>
      <c r="E568" s="91"/>
      <c r="F568" s="91"/>
      <c r="G568" s="91"/>
      <c r="H568" s="91"/>
      <c r="I568" s="921"/>
      <c r="J568" s="921"/>
      <c r="K568" s="921"/>
      <c r="L568" s="921"/>
      <c r="M568" s="921"/>
      <c r="N568" s="921"/>
      <c r="O568" s="91"/>
      <c r="P568" s="461"/>
      <c r="Q568" s="91"/>
    </row>
    <row r="569" spans="1:17" ht="11.25" x14ac:dyDescent="0.2">
      <c r="A569" s="91"/>
      <c r="B569" s="91"/>
      <c r="C569" s="91"/>
      <c r="D569" s="91"/>
      <c r="E569" s="91"/>
      <c r="F569" s="91"/>
      <c r="G569" s="91"/>
      <c r="H569" s="91"/>
      <c r="I569" s="921"/>
      <c r="J569" s="921"/>
      <c r="K569" s="921"/>
      <c r="L569" s="921"/>
      <c r="M569" s="921"/>
      <c r="N569" s="921"/>
      <c r="O569" s="91"/>
      <c r="P569" s="461"/>
      <c r="Q569" s="91"/>
    </row>
    <row r="570" spans="1:17" ht="11.25" x14ac:dyDescent="0.2">
      <c r="A570" s="91"/>
      <c r="B570" s="91"/>
      <c r="C570" s="91"/>
      <c r="D570" s="91"/>
      <c r="E570" s="91"/>
      <c r="F570" s="91"/>
      <c r="G570" s="91"/>
      <c r="H570" s="91"/>
      <c r="I570" s="921"/>
      <c r="J570" s="921"/>
      <c r="K570" s="921"/>
      <c r="L570" s="921"/>
      <c r="M570" s="921"/>
      <c r="N570" s="921"/>
      <c r="O570" s="91"/>
      <c r="P570" s="461"/>
      <c r="Q570" s="91"/>
    </row>
    <row r="571" spans="1:17" ht="11.25" x14ac:dyDescent="0.2">
      <c r="A571" s="91"/>
      <c r="B571" s="91"/>
      <c r="C571" s="91"/>
      <c r="D571" s="91"/>
      <c r="E571" s="91"/>
      <c r="F571" s="91"/>
      <c r="G571" s="91"/>
      <c r="H571" s="91"/>
      <c r="I571" s="921"/>
      <c r="J571" s="921"/>
      <c r="K571" s="921"/>
      <c r="L571" s="921"/>
      <c r="M571" s="921"/>
      <c r="N571" s="921"/>
      <c r="O571" s="91"/>
      <c r="P571" s="461"/>
      <c r="Q571" s="91"/>
    </row>
    <row r="572" spans="1:17" ht="11.25" x14ac:dyDescent="0.2">
      <c r="A572" s="91"/>
      <c r="B572" s="91"/>
      <c r="C572" s="91"/>
      <c r="D572" s="91"/>
      <c r="E572" s="91"/>
      <c r="F572" s="91"/>
      <c r="G572" s="91"/>
      <c r="H572" s="91"/>
      <c r="I572" s="921"/>
      <c r="J572" s="921"/>
      <c r="K572" s="921"/>
      <c r="L572" s="921"/>
      <c r="M572" s="921"/>
      <c r="N572" s="921"/>
      <c r="O572" s="91"/>
      <c r="P572" s="461"/>
      <c r="Q572" s="91"/>
    </row>
    <row r="573" spans="1:17" ht="11.25" x14ac:dyDescent="0.2">
      <c r="A573" s="91"/>
      <c r="B573" s="91"/>
      <c r="C573" s="91"/>
      <c r="D573" s="91"/>
      <c r="E573" s="91"/>
      <c r="F573" s="91"/>
      <c r="G573" s="91"/>
      <c r="H573" s="91"/>
      <c r="I573" s="921"/>
      <c r="J573" s="921"/>
      <c r="K573" s="921"/>
      <c r="L573" s="921"/>
      <c r="M573" s="921"/>
      <c r="N573" s="921"/>
      <c r="O573" s="91"/>
      <c r="P573" s="461"/>
      <c r="Q573" s="91"/>
    </row>
    <row r="574" spans="1:17" ht="11.25" x14ac:dyDescent="0.2">
      <c r="A574" s="91"/>
      <c r="B574" s="91"/>
      <c r="C574" s="91"/>
      <c r="D574" s="91"/>
      <c r="E574" s="91"/>
      <c r="F574" s="91"/>
      <c r="G574" s="91"/>
      <c r="H574" s="91"/>
      <c r="I574" s="921"/>
      <c r="J574" s="921"/>
      <c r="K574" s="921"/>
      <c r="L574" s="921"/>
      <c r="M574" s="921"/>
      <c r="N574" s="921"/>
      <c r="O574" s="91"/>
      <c r="P574" s="461"/>
      <c r="Q574" s="91"/>
    </row>
    <row r="575" spans="1:17" ht="11.25" x14ac:dyDescent="0.2">
      <c r="A575" s="91"/>
      <c r="B575" s="91"/>
      <c r="C575" s="91"/>
      <c r="D575" s="91"/>
      <c r="E575" s="91"/>
      <c r="F575" s="91"/>
      <c r="G575" s="91"/>
      <c r="H575" s="91"/>
      <c r="I575" s="921"/>
      <c r="J575" s="921"/>
      <c r="K575" s="921"/>
      <c r="L575" s="921"/>
      <c r="M575" s="921"/>
      <c r="N575" s="921"/>
      <c r="O575" s="91"/>
      <c r="P575" s="461"/>
      <c r="Q575" s="91"/>
    </row>
    <row r="576" spans="1:17" ht="11.25" x14ac:dyDescent="0.2">
      <c r="A576" s="91"/>
      <c r="B576" s="91"/>
      <c r="C576" s="91"/>
      <c r="D576" s="91"/>
      <c r="E576" s="91"/>
      <c r="F576" s="91"/>
      <c r="G576" s="91"/>
      <c r="H576" s="91"/>
      <c r="I576" s="921"/>
      <c r="J576" s="921"/>
      <c r="K576" s="921"/>
      <c r="L576" s="921"/>
      <c r="M576" s="921"/>
      <c r="N576" s="921"/>
      <c r="O576" s="91"/>
      <c r="P576" s="461"/>
      <c r="Q576" s="91"/>
    </row>
    <row r="577" spans="1:17" ht="11.25" x14ac:dyDescent="0.2">
      <c r="A577" s="91"/>
      <c r="B577" s="91"/>
      <c r="C577" s="91"/>
      <c r="D577" s="91"/>
      <c r="E577" s="91"/>
      <c r="F577" s="91"/>
      <c r="G577" s="91"/>
      <c r="H577" s="91"/>
      <c r="I577" s="921"/>
      <c r="J577" s="921"/>
      <c r="K577" s="921"/>
      <c r="L577" s="921"/>
      <c r="M577" s="921"/>
      <c r="N577" s="921"/>
      <c r="O577" s="91"/>
      <c r="P577" s="461"/>
      <c r="Q577" s="91"/>
    </row>
    <row r="578" spans="1:17" ht="11.25" x14ac:dyDescent="0.2">
      <c r="A578" s="91"/>
      <c r="B578" s="91"/>
      <c r="C578" s="91"/>
      <c r="D578" s="91"/>
      <c r="E578" s="91"/>
      <c r="F578" s="91"/>
      <c r="G578" s="91"/>
      <c r="H578" s="91"/>
      <c r="I578" s="921"/>
      <c r="J578" s="921"/>
      <c r="K578" s="921"/>
      <c r="L578" s="921"/>
      <c r="M578" s="921"/>
      <c r="N578" s="921"/>
      <c r="O578" s="91"/>
      <c r="P578" s="461"/>
      <c r="Q578" s="91"/>
    </row>
    <row r="579" spans="1:17" ht="11.25" x14ac:dyDescent="0.2">
      <c r="A579" s="91"/>
      <c r="B579" s="91"/>
      <c r="C579" s="91"/>
      <c r="D579" s="91"/>
      <c r="E579" s="91"/>
      <c r="F579" s="91"/>
      <c r="G579" s="91"/>
      <c r="H579" s="91"/>
      <c r="I579" s="921"/>
      <c r="J579" s="921"/>
      <c r="K579" s="921"/>
      <c r="L579" s="921"/>
      <c r="M579" s="921"/>
      <c r="N579" s="921"/>
      <c r="O579" s="91"/>
      <c r="P579" s="461"/>
      <c r="Q579" s="91"/>
    </row>
    <row r="580" spans="1:17" ht="11.25" x14ac:dyDescent="0.2">
      <c r="A580" s="91"/>
      <c r="B580" s="91"/>
      <c r="C580" s="91"/>
      <c r="D580" s="91"/>
      <c r="E580" s="91"/>
      <c r="F580" s="91"/>
      <c r="G580" s="91"/>
      <c r="H580" s="91"/>
      <c r="I580" s="921"/>
      <c r="J580" s="921"/>
      <c r="K580" s="921"/>
      <c r="L580" s="921"/>
      <c r="M580" s="921"/>
      <c r="N580" s="921"/>
      <c r="O580" s="91"/>
      <c r="P580" s="461"/>
      <c r="Q580" s="91"/>
    </row>
    <row r="581" spans="1:17" ht="11.25" x14ac:dyDescent="0.2">
      <c r="A581" s="91"/>
      <c r="B581" s="91"/>
      <c r="C581" s="91"/>
      <c r="D581" s="91"/>
      <c r="E581" s="91"/>
      <c r="F581" s="91"/>
      <c r="G581" s="91"/>
      <c r="H581" s="91"/>
      <c r="I581" s="921"/>
      <c r="J581" s="921"/>
      <c r="K581" s="921"/>
      <c r="L581" s="921"/>
      <c r="M581" s="921"/>
      <c r="N581" s="921"/>
      <c r="O581" s="91"/>
      <c r="P581" s="461"/>
      <c r="Q581" s="91"/>
    </row>
    <row r="582" spans="1:17" ht="11.25" x14ac:dyDescent="0.2">
      <c r="A582" s="91"/>
      <c r="B582" s="91"/>
      <c r="C582" s="91"/>
      <c r="D582" s="91"/>
      <c r="E582" s="91"/>
      <c r="F582" s="91"/>
      <c r="G582" s="91"/>
      <c r="H582" s="91"/>
      <c r="I582" s="921"/>
      <c r="J582" s="921"/>
      <c r="K582" s="921"/>
      <c r="L582" s="921"/>
      <c r="M582" s="921"/>
      <c r="N582" s="921"/>
      <c r="O582" s="91"/>
      <c r="P582" s="461"/>
      <c r="Q582" s="91"/>
    </row>
    <row r="583" spans="1:17" ht="11.25" x14ac:dyDescent="0.2">
      <c r="A583" s="91"/>
      <c r="B583" s="91"/>
      <c r="C583" s="91"/>
      <c r="D583" s="91"/>
      <c r="E583" s="91"/>
      <c r="F583" s="91"/>
      <c r="G583" s="91"/>
      <c r="H583" s="91"/>
      <c r="I583" s="921"/>
      <c r="J583" s="921"/>
      <c r="K583" s="921"/>
      <c r="L583" s="921"/>
      <c r="M583" s="921"/>
      <c r="N583" s="921"/>
      <c r="O583" s="91"/>
      <c r="P583" s="461"/>
      <c r="Q583" s="91"/>
    </row>
    <row r="584" spans="1:17" ht="11.25" x14ac:dyDescent="0.2">
      <c r="A584" s="91"/>
      <c r="B584" s="91"/>
      <c r="C584" s="91"/>
      <c r="D584" s="91"/>
      <c r="E584" s="91"/>
      <c r="F584" s="91"/>
      <c r="G584" s="91"/>
      <c r="H584" s="91"/>
      <c r="I584" s="921"/>
      <c r="J584" s="921"/>
      <c r="K584" s="921"/>
      <c r="L584" s="921"/>
      <c r="M584" s="921"/>
      <c r="N584" s="921"/>
      <c r="O584" s="91"/>
      <c r="P584" s="461"/>
      <c r="Q584" s="91"/>
    </row>
    <row r="585" spans="1:17" ht="11.25" x14ac:dyDescent="0.2">
      <c r="A585" s="91"/>
      <c r="B585" s="91"/>
      <c r="C585" s="91"/>
      <c r="D585" s="91"/>
      <c r="E585" s="91"/>
      <c r="F585" s="91"/>
      <c r="G585" s="91"/>
      <c r="H585" s="91"/>
      <c r="I585" s="921"/>
      <c r="J585" s="921"/>
      <c r="K585" s="921"/>
      <c r="L585" s="921"/>
      <c r="M585" s="921"/>
      <c r="N585" s="921"/>
      <c r="O585" s="91"/>
      <c r="P585" s="461"/>
      <c r="Q585" s="91"/>
    </row>
    <row r="586" spans="1:17" ht="11.25" x14ac:dyDescent="0.2">
      <c r="A586" s="91"/>
      <c r="B586" s="91"/>
      <c r="C586" s="91"/>
      <c r="D586" s="91"/>
      <c r="E586" s="91"/>
      <c r="F586" s="91"/>
      <c r="G586" s="91"/>
      <c r="H586" s="91"/>
      <c r="I586" s="921"/>
      <c r="J586" s="921"/>
      <c r="K586" s="921"/>
      <c r="L586" s="921"/>
      <c r="M586" s="921"/>
      <c r="N586" s="921"/>
      <c r="O586" s="91"/>
      <c r="P586" s="461"/>
      <c r="Q586" s="91"/>
    </row>
    <row r="587" spans="1:17" ht="11.25" x14ac:dyDescent="0.2">
      <c r="A587" s="91"/>
      <c r="B587" s="91"/>
      <c r="C587" s="91"/>
      <c r="D587" s="91"/>
      <c r="E587" s="91"/>
      <c r="F587" s="91"/>
      <c r="G587" s="91"/>
      <c r="H587" s="91"/>
      <c r="I587" s="921"/>
      <c r="J587" s="921"/>
      <c r="K587" s="921"/>
      <c r="L587" s="921"/>
      <c r="M587" s="921"/>
      <c r="N587" s="921"/>
      <c r="O587" s="91"/>
      <c r="P587" s="461"/>
      <c r="Q587" s="91"/>
    </row>
    <row r="588" spans="1:17" ht="11.25" x14ac:dyDescent="0.2">
      <c r="A588" s="91"/>
      <c r="B588" s="91"/>
      <c r="C588" s="91"/>
      <c r="D588" s="91"/>
      <c r="E588" s="91"/>
      <c r="F588" s="91"/>
      <c r="G588" s="91"/>
      <c r="H588" s="91"/>
      <c r="I588" s="921"/>
      <c r="J588" s="921"/>
      <c r="K588" s="921"/>
      <c r="L588" s="921"/>
      <c r="M588" s="921"/>
      <c r="N588" s="921"/>
      <c r="O588" s="91"/>
      <c r="P588" s="461"/>
      <c r="Q588" s="91"/>
    </row>
    <row r="589" spans="1:17" ht="11.25" x14ac:dyDescent="0.2">
      <c r="A589" s="91"/>
      <c r="B589" s="91"/>
      <c r="C589" s="91"/>
      <c r="D589" s="91"/>
      <c r="E589" s="91"/>
      <c r="F589" s="91"/>
      <c r="G589" s="91"/>
      <c r="H589" s="91"/>
      <c r="I589" s="921"/>
      <c r="J589" s="921"/>
      <c r="K589" s="921"/>
      <c r="L589" s="921"/>
      <c r="M589" s="921"/>
      <c r="N589" s="921"/>
      <c r="O589" s="91"/>
      <c r="P589" s="461"/>
      <c r="Q589" s="91"/>
    </row>
    <row r="590" spans="1:17" ht="11.25" x14ac:dyDescent="0.2">
      <c r="A590" s="91"/>
      <c r="B590" s="91"/>
      <c r="C590" s="91"/>
      <c r="D590" s="91"/>
      <c r="E590" s="91"/>
      <c r="F590" s="91"/>
      <c r="G590" s="91"/>
      <c r="H590" s="91"/>
      <c r="I590" s="921"/>
      <c r="J590" s="921"/>
      <c r="K590" s="921"/>
      <c r="L590" s="921"/>
      <c r="M590" s="921"/>
      <c r="N590" s="921"/>
      <c r="O590" s="91"/>
      <c r="P590" s="461"/>
      <c r="Q590" s="91"/>
    </row>
    <row r="591" spans="1:17" ht="11.25" x14ac:dyDescent="0.2">
      <c r="A591" s="91"/>
      <c r="B591" s="91"/>
      <c r="C591" s="91"/>
      <c r="D591" s="91"/>
      <c r="E591" s="91"/>
      <c r="F591" s="91"/>
      <c r="G591" s="91"/>
      <c r="H591" s="91"/>
      <c r="I591" s="921"/>
      <c r="J591" s="921"/>
      <c r="K591" s="921"/>
      <c r="L591" s="921"/>
      <c r="M591" s="921"/>
      <c r="N591" s="921"/>
      <c r="O591" s="91"/>
      <c r="P591" s="461"/>
      <c r="Q591" s="91"/>
    </row>
    <row r="592" spans="1:17" ht="11.25" x14ac:dyDescent="0.2">
      <c r="A592" s="91"/>
      <c r="B592" s="91"/>
      <c r="C592" s="91"/>
      <c r="D592" s="91"/>
      <c r="E592" s="91"/>
      <c r="F592" s="91"/>
      <c r="G592" s="91"/>
      <c r="H592" s="91"/>
      <c r="I592" s="921"/>
      <c r="J592" s="921"/>
      <c r="K592" s="921"/>
      <c r="L592" s="921"/>
      <c r="M592" s="921"/>
      <c r="N592" s="921"/>
      <c r="O592" s="91"/>
      <c r="P592" s="461"/>
      <c r="Q592" s="91"/>
    </row>
    <row r="593" spans="1:17" ht="11.25" x14ac:dyDescent="0.2">
      <c r="A593" s="91"/>
      <c r="B593" s="91"/>
      <c r="C593" s="91"/>
      <c r="D593" s="91"/>
      <c r="E593" s="91"/>
      <c r="F593" s="91"/>
      <c r="G593" s="91"/>
      <c r="H593" s="91"/>
      <c r="I593" s="921"/>
      <c r="J593" s="921"/>
      <c r="K593" s="921"/>
      <c r="L593" s="921"/>
      <c r="M593" s="921"/>
      <c r="N593" s="921"/>
      <c r="O593" s="91"/>
      <c r="P593" s="461"/>
      <c r="Q593" s="91"/>
    </row>
    <row r="594" spans="1:17" ht="11.25" x14ac:dyDescent="0.2">
      <c r="A594" s="91"/>
      <c r="B594" s="91"/>
      <c r="C594" s="91"/>
      <c r="D594" s="91"/>
      <c r="E594" s="91"/>
      <c r="F594" s="91"/>
      <c r="G594" s="91"/>
      <c r="H594" s="91"/>
      <c r="I594" s="921"/>
      <c r="J594" s="921"/>
      <c r="K594" s="921"/>
      <c r="L594" s="921"/>
      <c r="M594" s="921"/>
      <c r="N594" s="921"/>
      <c r="O594" s="91"/>
      <c r="P594" s="461"/>
      <c r="Q594" s="91"/>
    </row>
    <row r="595" spans="1:17" ht="11.25" x14ac:dyDescent="0.2">
      <c r="A595" s="91"/>
      <c r="B595" s="91"/>
      <c r="C595" s="91"/>
      <c r="D595" s="91"/>
      <c r="E595" s="91"/>
      <c r="F595" s="91"/>
      <c r="G595" s="91"/>
      <c r="H595" s="91"/>
      <c r="I595" s="921"/>
      <c r="J595" s="921"/>
      <c r="K595" s="921"/>
      <c r="L595" s="921"/>
      <c r="M595" s="921"/>
      <c r="N595" s="921"/>
      <c r="O595" s="91"/>
      <c r="P595" s="461"/>
      <c r="Q595" s="91"/>
    </row>
    <row r="596" spans="1:17" ht="11.25" x14ac:dyDescent="0.2">
      <c r="A596" s="91"/>
      <c r="B596" s="91"/>
      <c r="C596" s="91"/>
      <c r="D596" s="91"/>
      <c r="E596" s="91"/>
      <c r="F596" s="91"/>
      <c r="G596" s="91"/>
      <c r="H596" s="91"/>
      <c r="I596" s="921"/>
      <c r="J596" s="921"/>
      <c r="K596" s="921"/>
      <c r="L596" s="921"/>
      <c r="M596" s="921"/>
      <c r="N596" s="921"/>
      <c r="O596" s="91"/>
      <c r="P596" s="461"/>
      <c r="Q596" s="91"/>
    </row>
    <row r="597" spans="1:17" ht="11.25" x14ac:dyDescent="0.2">
      <c r="A597" s="91"/>
      <c r="B597" s="91"/>
      <c r="C597" s="91"/>
      <c r="D597" s="91"/>
      <c r="E597" s="91"/>
      <c r="F597" s="91"/>
      <c r="G597" s="91"/>
      <c r="H597" s="91"/>
      <c r="I597" s="921"/>
      <c r="J597" s="921"/>
      <c r="K597" s="921"/>
      <c r="L597" s="921"/>
      <c r="M597" s="921"/>
      <c r="N597" s="921"/>
      <c r="O597" s="91"/>
      <c r="P597" s="461"/>
      <c r="Q597" s="91"/>
    </row>
    <row r="598" spans="1:17" ht="11.25" x14ac:dyDescent="0.2">
      <c r="A598" s="91"/>
      <c r="B598" s="91"/>
      <c r="C598" s="91"/>
      <c r="D598" s="91"/>
      <c r="E598" s="91"/>
      <c r="F598" s="91"/>
      <c r="G598" s="91"/>
      <c r="H598" s="91"/>
      <c r="I598" s="921"/>
      <c r="J598" s="921"/>
      <c r="K598" s="921"/>
      <c r="L598" s="921"/>
      <c r="M598" s="921"/>
      <c r="N598" s="921"/>
      <c r="O598" s="91"/>
      <c r="P598" s="461"/>
      <c r="Q598" s="91"/>
    </row>
    <row r="599" spans="1:17" ht="11.25" x14ac:dyDescent="0.2">
      <c r="A599" s="91"/>
      <c r="B599" s="91"/>
      <c r="C599" s="91"/>
      <c r="D599" s="91"/>
      <c r="E599" s="91"/>
      <c r="F599" s="91"/>
      <c r="G599" s="91"/>
      <c r="H599" s="91"/>
      <c r="I599" s="921"/>
      <c r="J599" s="921"/>
      <c r="K599" s="921"/>
      <c r="L599" s="921"/>
      <c r="M599" s="921"/>
      <c r="N599" s="921"/>
      <c r="O599" s="91"/>
      <c r="P599" s="461"/>
      <c r="Q599" s="91"/>
    </row>
    <row r="600" spans="1:17" ht="11.25" x14ac:dyDescent="0.2">
      <c r="A600" s="91"/>
      <c r="B600" s="91"/>
      <c r="C600" s="91"/>
      <c r="D600" s="91"/>
      <c r="E600" s="91"/>
      <c r="F600" s="91"/>
      <c r="G600" s="91"/>
      <c r="H600" s="91"/>
      <c r="I600" s="921"/>
      <c r="J600" s="921"/>
      <c r="K600" s="921"/>
      <c r="L600" s="921"/>
      <c r="M600" s="921"/>
      <c r="N600" s="921"/>
      <c r="O600" s="91"/>
      <c r="P600" s="461"/>
      <c r="Q600" s="91"/>
    </row>
    <row r="601" spans="1:17" ht="11.25" x14ac:dyDescent="0.2">
      <c r="A601" s="91"/>
      <c r="B601" s="91"/>
      <c r="C601" s="91"/>
      <c r="D601" s="91"/>
      <c r="E601" s="91"/>
      <c r="F601" s="91"/>
      <c r="G601" s="91"/>
      <c r="H601" s="91"/>
      <c r="I601" s="921"/>
      <c r="J601" s="921"/>
      <c r="K601" s="921"/>
      <c r="L601" s="921"/>
      <c r="M601" s="921"/>
      <c r="N601" s="921"/>
      <c r="O601" s="91"/>
      <c r="P601" s="461"/>
      <c r="Q601" s="91"/>
    </row>
    <row r="602" spans="1:17" ht="11.25" x14ac:dyDescent="0.2">
      <c r="A602" s="91"/>
      <c r="B602" s="91"/>
      <c r="C602" s="91"/>
      <c r="D602" s="91"/>
      <c r="E602" s="91"/>
      <c r="F602" s="91"/>
      <c r="G602" s="91"/>
      <c r="H602" s="91"/>
      <c r="I602" s="921"/>
      <c r="J602" s="921"/>
      <c r="K602" s="921"/>
      <c r="L602" s="921"/>
      <c r="M602" s="921"/>
      <c r="N602" s="921"/>
      <c r="O602" s="91"/>
      <c r="P602" s="461"/>
      <c r="Q602" s="91"/>
    </row>
    <row r="603" spans="1:17" ht="11.25" x14ac:dyDescent="0.2">
      <c r="A603" s="91"/>
      <c r="B603" s="91"/>
      <c r="C603" s="91"/>
      <c r="D603" s="91"/>
      <c r="E603" s="91"/>
      <c r="F603" s="91"/>
      <c r="G603" s="91"/>
      <c r="H603" s="91"/>
      <c r="I603" s="921"/>
      <c r="J603" s="921"/>
      <c r="K603" s="921"/>
      <c r="L603" s="921"/>
      <c r="M603" s="921"/>
      <c r="N603" s="921"/>
      <c r="O603" s="91"/>
      <c r="P603" s="461"/>
      <c r="Q603" s="91"/>
    </row>
    <row r="604" spans="1:17" ht="11.25" x14ac:dyDescent="0.2">
      <c r="A604" s="91"/>
      <c r="B604" s="91"/>
      <c r="C604" s="91"/>
      <c r="D604" s="91"/>
      <c r="E604" s="91"/>
      <c r="F604" s="91"/>
      <c r="G604" s="91"/>
      <c r="H604" s="91"/>
      <c r="I604" s="921"/>
      <c r="J604" s="921"/>
      <c r="K604" s="921"/>
      <c r="L604" s="921"/>
      <c r="M604" s="921"/>
      <c r="N604" s="921"/>
      <c r="O604" s="91"/>
      <c r="P604" s="461"/>
      <c r="Q604" s="91"/>
    </row>
    <row r="605" spans="1:17" ht="11.25" x14ac:dyDescent="0.2">
      <c r="A605" s="91"/>
      <c r="B605" s="91"/>
      <c r="C605" s="91"/>
      <c r="D605" s="91"/>
      <c r="E605" s="91"/>
      <c r="F605" s="91"/>
      <c r="G605" s="91"/>
      <c r="H605" s="91"/>
      <c r="I605" s="921"/>
      <c r="J605" s="921"/>
      <c r="K605" s="921"/>
      <c r="L605" s="921"/>
      <c r="M605" s="921"/>
      <c r="N605" s="921"/>
      <c r="O605" s="91"/>
      <c r="P605" s="461"/>
      <c r="Q605" s="91"/>
    </row>
    <row r="606" spans="1:17" x14ac:dyDescent="0.15">
      <c r="A606" s="82"/>
      <c r="B606" s="82"/>
      <c r="C606" s="82"/>
      <c r="D606" s="82"/>
      <c r="E606" s="82"/>
      <c r="F606" s="82"/>
      <c r="G606" s="82"/>
      <c r="H606" s="82"/>
      <c r="I606" s="923"/>
      <c r="J606" s="923"/>
      <c r="K606" s="923"/>
      <c r="L606" s="923"/>
      <c r="M606" s="923"/>
      <c r="N606" s="923"/>
      <c r="O606" s="82"/>
      <c r="P606" s="83"/>
    </row>
    <row r="607" spans="1:17" x14ac:dyDescent="0.15">
      <c r="A607" s="82"/>
      <c r="B607" s="82"/>
      <c r="C607" s="82"/>
      <c r="D607" s="82"/>
      <c r="E607" s="82"/>
      <c r="F607" s="82"/>
      <c r="G607" s="82"/>
      <c r="H607" s="82"/>
      <c r="I607" s="923"/>
      <c r="J607" s="923"/>
      <c r="K607" s="923"/>
      <c r="L607" s="923"/>
      <c r="M607" s="923"/>
      <c r="N607" s="923"/>
      <c r="O607" s="82"/>
      <c r="P607" s="83"/>
    </row>
    <row r="608" spans="1:17" x14ac:dyDescent="0.15">
      <c r="A608" s="82"/>
      <c r="B608" s="82"/>
      <c r="C608" s="82"/>
      <c r="D608" s="82"/>
      <c r="E608" s="82"/>
      <c r="F608" s="82"/>
      <c r="G608" s="82"/>
      <c r="H608" s="82"/>
      <c r="I608" s="923"/>
      <c r="J608" s="923"/>
      <c r="K608" s="923"/>
      <c r="L608" s="923"/>
      <c r="M608" s="923"/>
      <c r="N608" s="923"/>
      <c r="O608" s="82"/>
      <c r="P608" s="83"/>
    </row>
    <row r="609" spans="1:16" x14ac:dyDescent="0.15">
      <c r="A609" s="82"/>
      <c r="B609" s="82"/>
      <c r="C609" s="82"/>
      <c r="D609" s="82"/>
      <c r="E609" s="82"/>
      <c r="F609" s="82"/>
      <c r="G609" s="82"/>
      <c r="H609" s="82"/>
      <c r="I609" s="923"/>
      <c r="J609" s="923"/>
      <c r="K609" s="923"/>
      <c r="L609" s="923"/>
      <c r="M609" s="923"/>
      <c r="N609" s="923"/>
      <c r="O609" s="82"/>
      <c r="P609" s="83"/>
    </row>
    <row r="610" spans="1:16" x14ac:dyDescent="0.15">
      <c r="A610" s="82"/>
      <c r="B610" s="82"/>
      <c r="C610" s="82"/>
      <c r="D610" s="82"/>
      <c r="E610" s="82"/>
      <c r="F610" s="82"/>
      <c r="G610" s="82"/>
      <c r="H610" s="82"/>
      <c r="I610" s="923"/>
      <c r="J610" s="923"/>
      <c r="K610" s="923"/>
      <c r="L610" s="923"/>
      <c r="M610" s="923"/>
      <c r="N610" s="923"/>
      <c r="O610" s="82"/>
      <c r="P610" s="83"/>
    </row>
    <row r="611" spans="1:16" x14ac:dyDescent="0.15">
      <c r="A611" s="82"/>
      <c r="B611" s="82"/>
      <c r="C611" s="82"/>
      <c r="D611" s="82"/>
      <c r="E611" s="82"/>
      <c r="F611" s="82"/>
      <c r="G611" s="82"/>
      <c r="H611" s="82"/>
      <c r="I611" s="923"/>
      <c r="J611" s="923"/>
      <c r="K611" s="923"/>
      <c r="L611" s="923"/>
      <c r="M611" s="923"/>
      <c r="N611" s="923"/>
      <c r="O611" s="82"/>
      <c r="P611" s="83"/>
    </row>
    <row r="612" spans="1:16" x14ac:dyDescent="0.15">
      <c r="A612" s="82"/>
      <c r="B612" s="82"/>
      <c r="C612" s="82"/>
      <c r="D612" s="82"/>
      <c r="E612" s="82"/>
      <c r="F612" s="82"/>
      <c r="G612" s="82"/>
      <c r="H612" s="82"/>
      <c r="I612" s="923"/>
      <c r="J612" s="923"/>
      <c r="K612" s="923"/>
      <c r="L612" s="923"/>
      <c r="M612" s="923"/>
      <c r="N612" s="923"/>
      <c r="O612" s="82"/>
      <c r="P612" s="83"/>
    </row>
    <row r="613" spans="1:16" x14ac:dyDescent="0.15">
      <c r="A613" s="82"/>
      <c r="B613" s="82"/>
      <c r="C613" s="82"/>
      <c r="D613" s="82"/>
      <c r="E613" s="82"/>
      <c r="F613" s="82"/>
      <c r="G613" s="82"/>
      <c r="H613" s="82"/>
      <c r="I613" s="923"/>
      <c r="J613" s="923"/>
      <c r="K613" s="923"/>
      <c r="L613" s="923"/>
      <c r="M613" s="923"/>
      <c r="N613" s="923"/>
      <c r="O613" s="82"/>
      <c r="P613" s="83"/>
    </row>
    <row r="614" spans="1:16" x14ac:dyDescent="0.15">
      <c r="A614" s="82"/>
      <c r="B614" s="82"/>
      <c r="C614" s="82"/>
      <c r="D614" s="82"/>
      <c r="E614" s="82"/>
      <c r="F614" s="82"/>
      <c r="G614" s="82"/>
      <c r="H614" s="82"/>
      <c r="I614" s="923"/>
      <c r="J614" s="923"/>
      <c r="K614" s="923"/>
      <c r="L614" s="923"/>
      <c r="M614" s="923"/>
      <c r="N614" s="923"/>
      <c r="O614" s="82"/>
      <c r="P614" s="83"/>
    </row>
    <row r="615" spans="1:16" x14ac:dyDescent="0.15">
      <c r="A615" s="82"/>
      <c r="B615" s="82"/>
      <c r="C615" s="82"/>
      <c r="D615" s="82"/>
      <c r="E615" s="82"/>
      <c r="F615" s="82"/>
      <c r="G615" s="82"/>
      <c r="H615" s="82"/>
      <c r="I615" s="923"/>
      <c r="J615" s="923"/>
      <c r="K615" s="923"/>
      <c r="L615" s="923"/>
      <c r="M615" s="923"/>
      <c r="N615" s="923"/>
      <c r="O615" s="82"/>
      <c r="P615" s="83"/>
    </row>
    <row r="616" spans="1:16" x14ac:dyDescent="0.15">
      <c r="A616" s="82"/>
      <c r="B616" s="82"/>
      <c r="C616" s="82"/>
      <c r="D616" s="82"/>
      <c r="E616" s="82"/>
      <c r="F616" s="82"/>
      <c r="G616" s="82"/>
      <c r="H616" s="82"/>
      <c r="I616" s="923"/>
      <c r="J616" s="923"/>
      <c r="K616" s="923"/>
      <c r="L616" s="923"/>
      <c r="M616" s="923"/>
      <c r="N616" s="923"/>
      <c r="O616" s="82"/>
      <c r="P616" s="83"/>
    </row>
    <row r="617" spans="1:16" x14ac:dyDescent="0.15">
      <c r="A617" s="82"/>
      <c r="B617" s="82"/>
      <c r="C617" s="82"/>
      <c r="D617" s="82"/>
      <c r="E617" s="82"/>
      <c r="F617" s="82"/>
      <c r="G617" s="82"/>
      <c r="H617" s="82"/>
      <c r="I617" s="923"/>
      <c r="J617" s="923"/>
      <c r="K617" s="923"/>
      <c r="L617" s="923"/>
      <c r="M617" s="923"/>
      <c r="N617" s="923"/>
      <c r="O617" s="82"/>
      <c r="P617" s="83"/>
    </row>
    <row r="618" spans="1:16" x14ac:dyDescent="0.15">
      <c r="A618" s="82"/>
      <c r="B618" s="82"/>
      <c r="C618" s="82"/>
      <c r="D618" s="82"/>
      <c r="E618" s="82"/>
      <c r="F618" s="82"/>
      <c r="G618" s="82"/>
      <c r="H618" s="82"/>
      <c r="I618" s="923"/>
      <c r="J618" s="923"/>
      <c r="K618" s="923"/>
      <c r="L618" s="923"/>
      <c r="M618" s="923"/>
      <c r="N618" s="923"/>
      <c r="O618" s="82"/>
      <c r="P618" s="83"/>
    </row>
    <row r="619" spans="1:16" x14ac:dyDescent="0.15">
      <c r="A619" s="82"/>
      <c r="B619" s="82"/>
      <c r="C619" s="82"/>
      <c r="D619" s="82"/>
      <c r="E619" s="82"/>
      <c r="F619" s="82"/>
      <c r="G619" s="82"/>
      <c r="H619" s="82"/>
      <c r="I619" s="923"/>
      <c r="J619" s="923"/>
      <c r="K619" s="923"/>
      <c r="L619" s="923"/>
      <c r="M619" s="923"/>
      <c r="N619" s="923"/>
      <c r="O619" s="82"/>
      <c r="P619" s="83"/>
    </row>
    <row r="620" spans="1:16" x14ac:dyDescent="0.15">
      <c r="A620" s="82"/>
      <c r="B620" s="82"/>
      <c r="C620" s="82"/>
      <c r="D620" s="82"/>
      <c r="E620" s="82"/>
      <c r="F620" s="82"/>
      <c r="G620" s="82"/>
      <c r="H620" s="82"/>
      <c r="I620" s="923"/>
      <c r="J620" s="923"/>
      <c r="K620" s="923"/>
      <c r="L620" s="923"/>
      <c r="M620" s="923"/>
      <c r="N620" s="923"/>
      <c r="O620" s="82"/>
      <c r="P620" s="83"/>
    </row>
    <row r="621" spans="1:16" x14ac:dyDescent="0.15">
      <c r="A621" s="82"/>
      <c r="B621" s="82"/>
      <c r="C621" s="82"/>
      <c r="D621" s="82"/>
      <c r="E621" s="82"/>
      <c r="F621" s="82"/>
      <c r="G621" s="82"/>
      <c r="H621" s="82"/>
      <c r="I621" s="923"/>
      <c r="J621" s="923"/>
      <c r="K621" s="923"/>
      <c r="L621" s="923"/>
      <c r="M621" s="923"/>
      <c r="N621" s="923"/>
      <c r="O621" s="82"/>
      <c r="P621" s="83"/>
    </row>
    <row r="622" spans="1:16" x14ac:dyDescent="0.15">
      <c r="A622" s="82"/>
      <c r="B622" s="82"/>
      <c r="C622" s="82"/>
      <c r="D622" s="82"/>
      <c r="E622" s="82"/>
      <c r="F622" s="82"/>
      <c r="G622" s="82"/>
      <c r="H622" s="82"/>
      <c r="I622" s="923"/>
      <c r="J622" s="923"/>
      <c r="K622" s="923"/>
      <c r="L622" s="923"/>
      <c r="M622" s="923"/>
      <c r="N622" s="923"/>
      <c r="O622" s="82"/>
      <c r="P622" s="83"/>
    </row>
    <row r="623" spans="1:16" x14ac:dyDescent="0.15">
      <c r="A623" s="82"/>
      <c r="B623" s="82"/>
      <c r="C623" s="82"/>
      <c r="D623" s="82"/>
      <c r="E623" s="82"/>
      <c r="F623" s="82"/>
      <c r="G623" s="82"/>
      <c r="H623" s="82"/>
      <c r="I623" s="923"/>
      <c r="J623" s="923"/>
      <c r="K623" s="923"/>
      <c r="L623" s="923"/>
      <c r="M623" s="923"/>
      <c r="N623" s="923"/>
      <c r="O623" s="82"/>
      <c r="P623" s="83"/>
    </row>
    <row r="624" spans="1:16" x14ac:dyDescent="0.15">
      <c r="A624" s="82"/>
      <c r="B624" s="82"/>
      <c r="C624" s="82"/>
      <c r="D624" s="82"/>
      <c r="E624" s="82"/>
      <c r="F624" s="82"/>
      <c r="G624" s="82"/>
      <c r="H624" s="82"/>
      <c r="I624" s="923"/>
      <c r="J624" s="923"/>
      <c r="K624" s="923"/>
      <c r="L624" s="923"/>
      <c r="M624" s="923"/>
      <c r="N624" s="923"/>
      <c r="O624" s="82"/>
      <c r="P624" s="83"/>
    </row>
    <row r="625" spans="1:16" x14ac:dyDescent="0.15">
      <c r="A625" s="82"/>
      <c r="B625" s="82"/>
      <c r="C625" s="82"/>
      <c r="D625" s="82"/>
      <c r="E625" s="82"/>
      <c r="F625" s="82"/>
      <c r="G625" s="82"/>
      <c r="H625" s="82"/>
      <c r="I625" s="923"/>
      <c r="J625" s="923"/>
      <c r="K625" s="923"/>
      <c r="L625" s="923"/>
      <c r="M625" s="923"/>
      <c r="N625" s="923"/>
      <c r="O625" s="82"/>
      <c r="P625" s="83"/>
    </row>
    <row r="626" spans="1:16" x14ac:dyDescent="0.15">
      <c r="A626" s="82"/>
      <c r="B626" s="82"/>
      <c r="C626" s="82"/>
      <c r="D626" s="82"/>
      <c r="E626" s="82"/>
      <c r="F626" s="82"/>
      <c r="G626" s="82"/>
      <c r="H626" s="82"/>
      <c r="I626" s="923"/>
      <c r="J626" s="923"/>
      <c r="K626" s="923"/>
      <c r="L626" s="923"/>
      <c r="M626" s="923"/>
      <c r="N626" s="923"/>
      <c r="O626" s="82"/>
      <c r="P626" s="83"/>
    </row>
    <row r="627" spans="1:16" x14ac:dyDescent="0.15">
      <c r="A627" s="82"/>
      <c r="B627" s="82"/>
      <c r="C627" s="82"/>
      <c r="D627" s="82"/>
      <c r="E627" s="82"/>
      <c r="F627" s="82"/>
      <c r="G627" s="82"/>
      <c r="H627" s="82"/>
      <c r="I627" s="923"/>
      <c r="J627" s="923"/>
      <c r="K627" s="923"/>
      <c r="L627" s="923"/>
      <c r="M627" s="923"/>
      <c r="N627" s="923"/>
      <c r="O627" s="82"/>
      <c r="P627" s="83"/>
    </row>
    <row r="628" spans="1:16" x14ac:dyDescent="0.15">
      <c r="A628" s="82"/>
      <c r="B628" s="82"/>
      <c r="C628" s="82"/>
      <c r="D628" s="82"/>
      <c r="E628" s="82"/>
      <c r="F628" s="82"/>
      <c r="G628" s="82"/>
      <c r="H628" s="82"/>
      <c r="I628" s="923"/>
      <c r="J628" s="923"/>
      <c r="K628" s="923"/>
      <c r="L628" s="923"/>
      <c r="M628" s="923"/>
      <c r="N628" s="923"/>
      <c r="O628" s="82"/>
      <c r="P628" s="83"/>
    </row>
    <row r="629" spans="1:16" x14ac:dyDescent="0.15">
      <c r="A629" s="82"/>
      <c r="B629" s="82"/>
      <c r="C629" s="82"/>
      <c r="D629" s="82"/>
      <c r="E629" s="82"/>
      <c r="F629" s="82"/>
      <c r="G629" s="82"/>
      <c r="H629" s="82"/>
      <c r="I629" s="923"/>
      <c r="J629" s="923"/>
      <c r="K629" s="923"/>
      <c r="L629" s="923"/>
      <c r="M629" s="923"/>
      <c r="N629" s="923"/>
      <c r="O629" s="82"/>
      <c r="P629" s="83"/>
    </row>
    <row r="630" spans="1:16" x14ac:dyDescent="0.15">
      <c r="A630" s="82"/>
      <c r="B630" s="82"/>
      <c r="C630" s="82"/>
      <c r="D630" s="82"/>
      <c r="E630" s="82"/>
      <c r="F630" s="82"/>
      <c r="G630" s="82"/>
      <c r="H630" s="82"/>
      <c r="I630" s="923"/>
      <c r="J630" s="923"/>
      <c r="K630" s="923"/>
      <c r="L630" s="923"/>
      <c r="M630" s="923"/>
      <c r="N630" s="923"/>
      <c r="O630" s="82"/>
      <c r="P630" s="83"/>
    </row>
    <row r="631" spans="1:16" x14ac:dyDescent="0.15">
      <c r="A631" s="82"/>
      <c r="B631" s="82"/>
      <c r="C631" s="82"/>
      <c r="D631" s="82"/>
      <c r="E631" s="82"/>
      <c r="F631" s="82"/>
      <c r="G631" s="82"/>
      <c r="H631" s="82"/>
      <c r="I631" s="923"/>
      <c r="J631" s="923"/>
      <c r="K631" s="923"/>
      <c r="L631" s="923"/>
      <c r="M631" s="923"/>
      <c r="N631" s="923"/>
      <c r="O631" s="82"/>
      <c r="P631" s="83"/>
    </row>
    <row r="632" spans="1:16" x14ac:dyDescent="0.15">
      <c r="A632" s="82"/>
      <c r="B632" s="82"/>
      <c r="C632" s="82"/>
      <c r="D632" s="82"/>
      <c r="E632" s="82"/>
      <c r="F632" s="82"/>
      <c r="G632" s="82"/>
      <c r="H632" s="82"/>
      <c r="I632" s="923"/>
      <c r="J632" s="923"/>
      <c r="K632" s="923"/>
      <c r="L632" s="923"/>
      <c r="M632" s="923"/>
      <c r="N632" s="923"/>
      <c r="O632" s="82"/>
      <c r="P632" s="83"/>
    </row>
    <row r="633" spans="1:16" x14ac:dyDescent="0.15">
      <c r="A633" s="82"/>
      <c r="B633" s="82"/>
      <c r="C633" s="82"/>
      <c r="D633" s="82"/>
      <c r="E633" s="82"/>
      <c r="F633" s="82"/>
      <c r="G633" s="82"/>
      <c r="H633" s="82"/>
      <c r="I633" s="923"/>
      <c r="J633" s="923"/>
      <c r="K633" s="923"/>
      <c r="L633" s="923"/>
      <c r="M633" s="923"/>
      <c r="N633" s="923"/>
      <c r="O633" s="82"/>
      <c r="P633" s="83"/>
    </row>
    <row r="634" spans="1:16" x14ac:dyDescent="0.15">
      <c r="A634" s="82"/>
      <c r="B634" s="82"/>
      <c r="C634" s="82"/>
      <c r="D634" s="82"/>
      <c r="E634" s="82"/>
      <c r="F634" s="82"/>
      <c r="G634" s="82"/>
      <c r="H634" s="82"/>
      <c r="I634" s="923"/>
      <c r="J634" s="923"/>
      <c r="K634" s="923"/>
      <c r="L634" s="923"/>
      <c r="M634" s="923"/>
      <c r="N634" s="923"/>
      <c r="O634" s="82"/>
      <c r="P634" s="83"/>
    </row>
    <row r="635" spans="1:16" x14ac:dyDescent="0.15">
      <c r="A635" s="82"/>
      <c r="B635" s="82"/>
      <c r="C635" s="82"/>
      <c r="D635" s="82"/>
      <c r="E635" s="82"/>
      <c r="F635" s="82"/>
      <c r="G635" s="82"/>
      <c r="H635" s="82"/>
      <c r="I635" s="923"/>
      <c r="J635" s="923"/>
      <c r="K635" s="923"/>
      <c r="L635" s="923"/>
      <c r="M635" s="923"/>
      <c r="N635" s="923"/>
      <c r="O635" s="82"/>
      <c r="P635" s="83"/>
    </row>
    <row r="636" spans="1:16" x14ac:dyDescent="0.15">
      <c r="A636" s="82"/>
      <c r="B636" s="82"/>
      <c r="C636" s="82"/>
      <c r="D636" s="82"/>
      <c r="E636" s="82"/>
      <c r="F636" s="82"/>
      <c r="G636" s="82"/>
      <c r="H636" s="82"/>
      <c r="I636" s="923"/>
      <c r="J636" s="923"/>
      <c r="K636" s="923"/>
      <c r="L636" s="923"/>
      <c r="M636" s="923"/>
      <c r="N636" s="923"/>
      <c r="O636" s="82"/>
      <c r="P636" s="83"/>
    </row>
    <row r="637" spans="1:16" x14ac:dyDescent="0.15">
      <c r="A637" s="82"/>
      <c r="B637" s="82"/>
      <c r="C637" s="82"/>
      <c r="D637" s="82"/>
      <c r="E637" s="82"/>
      <c r="F637" s="82"/>
      <c r="G637" s="82"/>
      <c r="H637" s="82"/>
      <c r="I637" s="923"/>
      <c r="J637" s="923"/>
      <c r="K637" s="923"/>
      <c r="L637" s="923"/>
      <c r="M637" s="923"/>
      <c r="N637" s="923"/>
      <c r="O637" s="82"/>
      <c r="P637" s="83"/>
    </row>
    <row r="638" spans="1:16" x14ac:dyDescent="0.15">
      <c r="A638" s="82"/>
      <c r="B638" s="82"/>
      <c r="C638" s="82"/>
      <c r="D638" s="82"/>
      <c r="E638" s="82"/>
      <c r="F638" s="82"/>
      <c r="G638" s="82"/>
      <c r="H638" s="82"/>
      <c r="I638" s="923"/>
      <c r="J638" s="923"/>
      <c r="K638" s="923"/>
      <c r="L638" s="923"/>
      <c r="M638" s="923"/>
      <c r="N638" s="923"/>
      <c r="O638" s="82"/>
      <c r="P638" s="83"/>
    </row>
    <row r="639" spans="1:16" x14ac:dyDescent="0.15">
      <c r="A639" s="82"/>
      <c r="B639" s="82"/>
      <c r="C639" s="82"/>
      <c r="D639" s="82"/>
      <c r="E639" s="82"/>
      <c r="F639" s="82"/>
      <c r="G639" s="82"/>
      <c r="H639" s="82"/>
      <c r="I639" s="923"/>
      <c r="J639" s="923"/>
      <c r="K639" s="923"/>
      <c r="L639" s="923"/>
      <c r="M639" s="923"/>
      <c r="N639" s="923"/>
      <c r="O639" s="82"/>
      <c r="P639" s="83"/>
    </row>
    <row r="640" spans="1:16" x14ac:dyDescent="0.15">
      <c r="A640" s="82"/>
      <c r="B640" s="82"/>
      <c r="C640" s="82"/>
      <c r="D640" s="82"/>
      <c r="E640" s="82"/>
      <c r="F640" s="82"/>
      <c r="G640" s="82"/>
      <c r="H640" s="82"/>
      <c r="I640" s="923"/>
      <c r="J640" s="923"/>
      <c r="K640" s="923"/>
      <c r="L640" s="923"/>
      <c r="M640" s="923"/>
      <c r="N640" s="923"/>
      <c r="O640" s="82"/>
      <c r="P640" s="83"/>
    </row>
    <row r="641" spans="1:16" x14ac:dyDescent="0.15">
      <c r="A641" s="82"/>
      <c r="B641" s="82"/>
      <c r="C641" s="82"/>
      <c r="D641" s="82"/>
      <c r="E641" s="82"/>
      <c r="F641" s="82"/>
      <c r="G641" s="82"/>
      <c r="H641" s="82"/>
      <c r="I641" s="923"/>
      <c r="J641" s="923"/>
      <c r="K641" s="923"/>
      <c r="L641" s="923"/>
      <c r="M641" s="923"/>
      <c r="N641" s="923"/>
      <c r="O641" s="82"/>
      <c r="P641" s="83"/>
    </row>
    <row r="642" spans="1:16" x14ac:dyDescent="0.15">
      <c r="A642" s="82"/>
      <c r="B642" s="82"/>
      <c r="C642" s="82"/>
      <c r="D642" s="82"/>
      <c r="E642" s="82"/>
      <c r="F642" s="82"/>
      <c r="G642" s="82"/>
      <c r="H642" s="82"/>
      <c r="I642" s="923"/>
      <c r="J642" s="923"/>
      <c r="K642" s="923"/>
      <c r="L642" s="923"/>
      <c r="M642" s="923"/>
      <c r="N642" s="923"/>
      <c r="O642" s="82"/>
      <c r="P642" s="83"/>
    </row>
    <row r="643" spans="1:16" x14ac:dyDescent="0.15">
      <c r="A643" s="82"/>
      <c r="B643" s="82"/>
      <c r="C643" s="82"/>
      <c r="D643" s="82"/>
      <c r="E643" s="82"/>
      <c r="F643" s="82"/>
      <c r="G643" s="82"/>
      <c r="H643" s="82"/>
      <c r="I643" s="923"/>
      <c r="J643" s="923"/>
      <c r="K643" s="923"/>
      <c r="L643" s="923"/>
      <c r="M643" s="923"/>
      <c r="N643" s="923"/>
      <c r="O643" s="82"/>
      <c r="P643" s="83"/>
    </row>
    <row r="644" spans="1:16" x14ac:dyDescent="0.15">
      <c r="A644" s="82"/>
      <c r="B644" s="82"/>
      <c r="C644" s="82"/>
      <c r="D644" s="82"/>
      <c r="E644" s="82"/>
      <c r="F644" s="82"/>
      <c r="G644" s="82"/>
      <c r="H644" s="82"/>
      <c r="I644" s="923"/>
      <c r="J644" s="923"/>
      <c r="K644" s="923"/>
      <c r="L644" s="923"/>
      <c r="M644" s="923"/>
      <c r="N644" s="923"/>
      <c r="O644" s="82"/>
      <c r="P644" s="83"/>
    </row>
    <row r="645" spans="1:16" x14ac:dyDescent="0.15">
      <c r="A645" s="82"/>
      <c r="B645" s="82"/>
      <c r="C645" s="82"/>
      <c r="D645" s="82"/>
      <c r="E645" s="82"/>
      <c r="F645" s="82"/>
      <c r="G645" s="82"/>
      <c r="H645" s="82"/>
      <c r="I645" s="923"/>
      <c r="J645" s="923"/>
      <c r="K645" s="923"/>
      <c r="L645" s="923"/>
      <c r="M645" s="923"/>
      <c r="N645" s="923"/>
      <c r="O645" s="82"/>
      <c r="P645" s="83"/>
    </row>
    <row r="646" spans="1:16" x14ac:dyDescent="0.15">
      <c r="A646" s="82"/>
      <c r="B646" s="82"/>
      <c r="C646" s="82"/>
      <c r="D646" s="82"/>
      <c r="E646" s="82"/>
      <c r="F646" s="82"/>
      <c r="G646" s="82"/>
      <c r="H646" s="82"/>
      <c r="I646" s="923"/>
      <c r="J646" s="923"/>
      <c r="K646" s="923"/>
      <c r="L646" s="923"/>
      <c r="M646" s="923"/>
      <c r="N646" s="923"/>
      <c r="O646" s="82"/>
      <c r="P646" s="83"/>
    </row>
    <row r="647" spans="1:16" x14ac:dyDescent="0.15">
      <c r="A647" s="82"/>
      <c r="B647" s="82"/>
      <c r="C647" s="82"/>
      <c r="D647" s="82"/>
      <c r="E647" s="82"/>
      <c r="F647" s="82"/>
      <c r="G647" s="82"/>
      <c r="H647" s="82"/>
      <c r="I647" s="923"/>
      <c r="J647" s="923"/>
      <c r="K647" s="923"/>
      <c r="L647" s="923"/>
      <c r="M647" s="923"/>
      <c r="N647" s="923"/>
      <c r="O647" s="82"/>
      <c r="P647" s="83"/>
    </row>
    <row r="648" spans="1:16" x14ac:dyDescent="0.15">
      <c r="A648" s="82"/>
      <c r="B648" s="82"/>
      <c r="C648" s="82"/>
      <c r="D648" s="82"/>
      <c r="E648" s="82"/>
      <c r="F648" s="82"/>
      <c r="G648" s="82"/>
      <c r="H648" s="82"/>
      <c r="I648" s="923"/>
      <c r="J648" s="923"/>
      <c r="K648" s="923"/>
      <c r="L648" s="923"/>
      <c r="M648" s="923"/>
      <c r="N648" s="923"/>
      <c r="O648" s="82"/>
      <c r="P648" s="83"/>
    </row>
    <row r="649" spans="1:16" x14ac:dyDescent="0.15">
      <c r="A649" s="82"/>
      <c r="B649" s="82"/>
      <c r="C649" s="82"/>
      <c r="D649" s="82"/>
      <c r="E649" s="82"/>
      <c r="F649" s="82"/>
      <c r="G649" s="82"/>
      <c r="H649" s="82"/>
      <c r="I649" s="923"/>
      <c r="J649" s="923"/>
      <c r="K649" s="923"/>
      <c r="L649" s="923"/>
      <c r="M649" s="923"/>
      <c r="N649" s="923"/>
      <c r="O649" s="82"/>
      <c r="P649" s="83"/>
    </row>
    <row r="650" spans="1:16" x14ac:dyDescent="0.15">
      <c r="A650" s="82"/>
      <c r="B650" s="82"/>
      <c r="C650" s="82"/>
      <c r="D650" s="82"/>
      <c r="E650" s="82"/>
      <c r="F650" s="82"/>
      <c r="G650" s="82"/>
      <c r="H650" s="82"/>
      <c r="I650" s="923"/>
      <c r="J650" s="923"/>
      <c r="K650" s="923"/>
      <c r="L650" s="923"/>
      <c r="M650" s="923"/>
      <c r="N650" s="923"/>
      <c r="O650" s="82"/>
      <c r="P650" s="83"/>
    </row>
    <row r="651" spans="1:16" x14ac:dyDescent="0.15">
      <c r="A651" s="82"/>
      <c r="B651" s="82"/>
      <c r="C651" s="82"/>
      <c r="D651" s="82"/>
      <c r="E651" s="82"/>
      <c r="F651" s="82"/>
      <c r="G651" s="82"/>
      <c r="H651" s="82"/>
      <c r="I651" s="923"/>
      <c r="J651" s="923"/>
      <c r="K651" s="923"/>
      <c r="L651" s="923"/>
      <c r="M651" s="923"/>
      <c r="N651" s="923"/>
      <c r="O651" s="82"/>
      <c r="P651" s="83"/>
    </row>
    <row r="652" spans="1:16" x14ac:dyDescent="0.15">
      <c r="A652" s="82"/>
      <c r="B652" s="82"/>
      <c r="C652" s="82"/>
      <c r="D652" s="82"/>
      <c r="E652" s="82"/>
      <c r="F652" s="82"/>
      <c r="G652" s="82"/>
      <c r="H652" s="82"/>
      <c r="I652" s="923"/>
      <c r="J652" s="923"/>
      <c r="K652" s="923"/>
      <c r="L652" s="923"/>
      <c r="M652" s="923"/>
      <c r="N652" s="923"/>
      <c r="O652" s="82"/>
      <c r="P652" s="83"/>
    </row>
    <row r="653" spans="1:16" x14ac:dyDescent="0.15">
      <c r="A653" s="82"/>
      <c r="B653" s="82"/>
      <c r="C653" s="82"/>
      <c r="D653" s="82"/>
      <c r="E653" s="82"/>
      <c r="F653" s="82"/>
      <c r="G653" s="82"/>
      <c r="H653" s="82"/>
      <c r="I653" s="923"/>
      <c r="J653" s="923"/>
      <c r="K653" s="923"/>
      <c r="L653" s="923"/>
      <c r="M653" s="923"/>
      <c r="N653" s="923"/>
      <c r="O653" s="82"/>
      <c r="P653" s="83"/>
    </row>
    <row r="654" spans="1:16" x14ac:dyDescent="0.15">
      <c r="A654" s="82"/>
      <c r="B654" s="82"/>
      <c r="C654" s="82"/>
      <c r="D654" s="82"/>
      <c r="E654" s="82"/>
      <c r="F654" s="82"/>
      <c r="G654" s="82"/>
      <c r="H654" s="82"/>
      <c r="I654" s="923"/>
      <c r="J654" s="923"/>
      <c r="K654" s="923"/>
      <c r="L654" s="923"/>
      <c r="M654" s="923"/>
      <c r="N654" s="923"/>
      <c r="O654" s="82"/>
      <c r="P654" s="83"/>
    </row>
    <row r="655" spans="1:16" x14ac:dyDescent="0.15">
      <c r="A655" s="82"/>
      <c r="B655" s="82"/>
      <c r="C655" s="82"/>
      <c r="D655" s="82"/>
      <c r="E655" s="82"/>
      <c r="F655" s="82"/>
      <c r="G655" s="82"/>
      <c r="H655" s="82"/>
      <c r="I655" s="923"/>
      <c r="J655" s="923"/>
      <c r="K655" s="923"/>
      <c r="L655" s="923"/>
      <c r="M655" s="923"/>
      <c r="N655" s="923"/>
      <c r="O655" s="82"/>
      <c r="P655" s="83"/>
    </row>
    <row r="656" spans="1:16" x14ac:dyDescent="0.15">
      <c r="A656" s="82"/>
      <c r="B656" s="82"/>
      <c r="C656" s="82"/>
      <c r="D656" s="82"/>
      <c r="E656" s="82"/>
      <c r="F656" s="82"/>
      <c r="G656" s="82"/>
      <c r="H656" s="82"/>
      <c r="I656" s="923"/>
      <c r="J656" s="923"/>
      <c r="K656" s="923"/>
      <c r="L656" s="923"/>
      <c r="M656" s="923"/>
      <c r="N656" s="923"/>
      <c r="O656" s="82"/>
      <c r="P656" s="83"/>
    </row>
    <row r="657" spans="1:16" x14ac:dyDescent="0.15">
      <c r="A657" s="82"/>
      <c r="B657" s="82"/>
      <c r="C657" s="82"/>
      <c r="D657" s="82"/>
      <c r="E657" s="82"/>
      <c r="F657" s="82"/>
      <c r="G657" s="82"/>
      <c r="H657" s="82"/>
      <c r="I657" s="923"/>
      <c r="J657" s="923"/>
      <c r="K657" s="923"/>
      <c r="L657" s="923"/>
      <c r="M657" s="923"/>
      <c r="N657" s="923"/>
      <c r="O657" s="82"/>
      <c r="P657" s="83"/>
    </row>
    <row r="658" spans="1:16" x14ac:dyDescent="0.15">
      <c r="A658" s="82"/>
      <c r="B658" s="82"/>
      <c r="C658" s="82"/>
      <c r="D658" s="82"/>
      <c r="E658" s="82"/>
      <c r="F658" s="82"/>
      <c r="G658" s="82"/>
      <c r="H658" s="82"/>
      <c r="I658" s="923"/>
      <c r="J658" s="923"/>
      <c r="K658" s="923"/>
      <c r="L658" s="923"/>
      <c r="M658" s="923"/>
      <c r="N658" s="923"/>
      <c r="O658" s="82"/>
      <c r="P658" s="83"/>
    </row>
    <row r="659" spans="1:16" x14ac:dyDescent="0.15">
      <c r="A659" s="82"/>
      <c r="B659" s="82"/>
      <c r="C659" s="82"/>
      <c r="D659" s="82"/>
      <c r="E659" s="82"/>
      <c r="F659" s="82"/>
      <c r="G659" s="82"/>
      <c r="H659" s="82"/>
      <c r="I659" s="923"/>
      <c r="J659" s="923"/>
      <c r="K659" s="923"/>
      <c r="L659" s="923"/>
      <c r="M659" s="923"/>
      <c r="N659" s="923"/>
      <c r="O659" s="82"/>
      <c r="P659" s="83"/>
    </row>
    <row r="660" spans="1:16" x14ac:dyDescent="0.15">
      <c r="A660" s="82"/>
      <c r="B660" s="82"/>
      <c r="C660" s="82"/>
      <c r="D660" s="82"/>
      <c r="E660" s="82"/>
      <c r="F660" s="82"/>
      <c r="G660" s="82"/>
      <c r="H660" s="82"/>
      <c r="I660" s="923"/>
      <c r="J660" s="923"/>
      <c r="K660" s="923"/>
      <c r="L660" s="923"/>
      <c r="M660" s="923"/>
      <c r="N660" s="923"/>
      <c r="O660" s="82"/>
      <c r="P660" s="83"/>
    </row>
    <row r="661" spans="1:16" x14ac:dyDescent="0.15">
      <c r="A661" s="82"/>
      <c r="B661" s="82"/>
      <c r="C661" s="82"/>
      <c r="D661" s="82"/>
      <c r="E661" s="82"/>
      <c r="F661" s="82"/>
      <c r="G661" s="82"/>
      <c r="H661" s="82"/>
      <c r="I661" s="923"/>
      <c r="J661" s="923"/>
      <c r="K661" s="923"/>
      <c r="L661" s="923"/>
      <c r="M661" s="923"/>
      <c r="N661" s="923"/>
      <c r="O661" s="82"/>
      <c r="P661" s="83"/>
    </row>
    <row r="662" spans="1:16" x14ac:dyDescent="0.15">
      <c r="A662" s="82"/>
      <c r="B662" s="82"/>
      <c r="C662" s="82"/>
      <c r="D662" s="82"/>
      <c r="E662" s="82"/>
      <c r="F662" s="82"/>
      <c r="G662" s="82"/>
      <c r="H662" s="82"/>
      <c r="I662" s="923"/>
      <c r="J662" s="923"/>
      <c r="K662" s="923"/>
      <c r="L662" s="923"/>
      <c r="M662" s="923"/>
      <c r="N662" s="923"/>
      <c r="O662" s="82"/>
      <c r="P662" s="83"/>
    </row>
    <row r="663" spans="1:16" x14ac:dyDescent="0.15">
      <c r="A663" s="82"/>
      <c r="B663" s="82"/>
      <c r="C663" s="82"/>
      <c r="D663" s="82"/>
      <c r="E663" s="82"/>
      <c r="F663" s="82"/>
      <c r="G663" s="82"/>
      <c r="H663" s="82"/>
      <c r="I663" s="923"/>
      <c r="J663" s="923"/>
      <c r="K663" s="923"/>
      <c r="L663" s="923"/>
      <c r="M663" s="923"/>
      <c r="N663" s="923"/>
      <c r="O663" s="82"/>
      <c r="P663" s="83"/>
    </row>
    <row r="664" spans="1:16" x14ac:dyDescent="0.15">
      <c r="A664" s="82"/>
      <c r="B664" s="82"/>
      <c r="C664" s="82"/>
      <c r="D664" s="82"/>
      <c r="E664" s="82"/>
      <c r="F664" s="82"/>
      <c r="G664" s="82"/>
      <c r="H664" s="82"/>
      <c r="I664" s="923"/>
      <c r="J664" s="923"/>
      <c r="K664" s="923"/>
      <c r="L664" s="923"/>
      <c r="M664" s="923"/>
      <c r="N664" s="923"/>
      <c r="O664" s="82"/>
      <c r="P664" s="83"/>
    </row>
    <row r="665" spans="1:16" x14ac:dyDescent="0.15">
      <c r="A665" s="82"/>
      <c r="B665" s="82"/>
      <c r="C665" s="82"/>
      <c r="D665" s="82"/>
      <c r="E665" s="82"/>
      <c r="F665" s="82"/>
      <c r="G665" s="82"/>
      <c r="H665" s="82"/>
      <c r="I665" s="923"/>
      <c r="J665" s="923"/>
      <c r="K665" s="923"/>
      <c r="L665" s="923"/>
      <c r="M665" s="923"/>
      <c r="N665" s="923"/>
      <c r="O665" s="82"/>
      <c r="P665" s="83"/>
    </row>
    <row r="666" spans="1:16" x14ac:dyDescent="0.15">
      <c r="A666" s="82"/>
      <c r="B666" s="82"/>
      <c r="C666" s="82"/>
      <c r="D666" s="82"/>
      <c r="E666" s="82"/>
      <c r="F666" s="82"/>
      <c r="G666" s="82"/>
      <c r="H666" s="82"/>
      <c r="I666" s="923"/>
      <c r="J666" s="923"/>
      <c r="K666" s="923"/>
      <c r="L666" s="923"/>
      <c r="M666" s="923"/>
      <c r="N666" s="923"/>
      <c r="O666" s="82"/>
      <c r="P666" s="83"/>
    </row>
    <row r="667" spans="1:16" x14ac:dyDescent="0.15">
      <c r="A667" s="82"/>
      <c r="B667" s="82"/>
      <c r="C667" s="82"/>
      <c r="D667" s="82"/>
      <c r="E667" s="82"/>
      <c r="F667" s="82"/>
      <c r="G667" s="82"/>
      <c r="H667" s="82"/>
      <c r="I667" s="923"/>
      <c r="J667" s="923"/>
      <c r="K667" s="923"/>
      <c r="L667" s="923"/>
      <c r="M667" s="923"/>
      <c r="N667" s="923"/>
      <c r="O667" s="82"/>
      <c r="P667" s="83"/>
    </row>
    <row r="668" spans="1:16" x14ac:dyDescent="0.15">
      <c r="A668" s="82"/>
      <c r="B668" s="82"/>
      <c r="C668" s="82"/>
      <c r="D668" s="82"/>
      <c r="E668" s="82"/>
      <c r="F668" s="82"/>
      <c r="G668" s="82"/>
      <c r="H668" s="82"/>
      <c r="I668" s="923"/>
      <c r="J668" s="923"/>
      <c r="K668" s="923"/>
      <c r="L668" s="923"/>
      <c r="M668" s="923"/>
      <c r="N668" s="923"/>
      <c r="O668" s="82"/>
      <c r="P668" s="83"/>
    </row>
    <row r="669" spans="1:16" x14ac:dyDescent="0.15">
      <c r="A669" s="82"/>
      <c r="B669" s="82"/>
      <c r="C669" s="82"/>
      <c r="D669" s="82"/>
      <c r="E669" s="82"/>
      <c r="F669" s="82"/>
      <c r="G669" s="82"/>
      <c r="H669" s="82"/>
      <c r="I669" s="923"/>
      <c r="J669" s="923"/>
      <c r="K669" s="923"/>
      <c r="L669" s="923"/>
      <c r="M669" s="923"/>
      <c r="N669" s="923"/>
      <c r="O669" s="82"/>
      <c r="P669" s="83"/>
    </row>
    <row r="670" spans="1:16" x14ac:dyDescent="0.15">
      <c r="A670" s="82"/>
      <c r="B670" s="82"/>
      <c r="C670" s="82"/>
      <c r="D670" s="82"/>
      <c r="E670" s="82"/>
      <c r="F670" s="82"/>
      <c r="G670" s="82"/>
      <c r="H670" s="82"/>
      <c r="I670" s="923"/>
      <c r="J670" s="923"/>
      <c r="K670" s="923"/>
      <c r="L670" s="923"/>
      <c r="M670" s="923"/>
      <c r="N670" s="923"/>
      <c r="O670" s="82"/>
      <c r="P670" s="83"/>
    </row>
    <row r="671" spans="1:16" x14ac:dyDescent="0.15">
      <c r="A671" s="82"/>
      <c r="B671" s="82"/>
      <c r="C671" s="82"/>
      <c r="D671" s="82"/>
      <c r="E671" s="82"/>
      <c r="F671" s="82"/>
      <c r="G671" s="82"/>
      <c r="H671" s="82"/>
      <c r="I671" s="923"/>
      <c r="J671" s="923"/>
      <c r="K671" s="923"/>
      <c r="L671" s="923"/>
      <c r="M671" s="923"/>
      <c r="N671" s="923"/>
      <c r="O671" s="82"/>
      <c r="P671" s="83"/>
    </row>
    <row r="672" spans="1:16" x14ac:dyDescent="0.15">
      <c r="A672" s="82"/>
      <c r="B672" s="82"/>
      <c r="C672" s="82"/>
      <c r="D672" s="82"/>
      <c r="E672" s="82"/>
      <c r="F672" s="82"/>
      <c r="G672" s="82"/>
      <c r="H672" s="82"/>
      <c r="I672" s="923"/>
      <c r="J672" s="923"/>
      <c r="K672" s="923"/>
      <c r="L672" s="923"/>
      <c r="M672" s="923"/>
      <c r="N672" s="923"/>
      <c r="O672" s="82"/>
      <c r="P672" s="83"/>
    </row>
    <row r="673" spans="1:16" x14ac:dyDescent="0.15">
      <c r="A673" s="82"/>
      <c r="B673" s="82"/>
      <c r="C673" s="82"/>
      <c r="D673" s="82"/>
      <c r="E673" s="82"/>
      <c r="F673" s="82"/>
      <c r="G673" s="82"/>
      <c r="H673" s="82"/>
      <c r="I673" s="923"/>
      <c r="J673" s="923"/>
      <c r="K673" s="923"/>
      <c r="L673" s="923"/>
      <c r="M673" s="923"/>
      <c r="N673" s="923"/>
      <c r="O673" s="82"/>
      <c r="P673" s="83"/>
    </row>
    <row r="674" spans="1:16" x14ac:dyDescent="0.15">
      <c r="A674" s="82"/>
      <c r="B674" s="82"/>
      <c r="C674" s="82"/>
      <c r="D674" s="82"/>
      <c r="E674" s="82"/>
      <c r="F674" s="82"/>
      <c r="G674" s="82"/>
      <c r="H674" s="82"/>
      <c r="I674" s="923"/>
      <c r="J674" s="923"/>
      <c r="K674" s="923"/>
      <c r="L674" s="923"/>
      <c r="M674" s="923"/>
      <c r="N674" s="923"/>
      <c r="O674" s="82"/>
      <c r="P674" s="83"/>
    </row>
    <row r="675" spans="1:16" x14ac:dyDescent="0.15">
      <c r="A675" s="82"/>
      <c r="B675" s="82"/>
      <c r="C675" s="82"/>
      <c r="D675" s="82"/>
      <c r="E675" s="82"/>
      <c r="F675" s="82"/>
      <c r="G675" s="82"/>
      <c r="H675" s="82"/>
      <c r="I675" s="923"/>
      <c r="J675" s="923"/>
      <c r="K675" s="923"/>
      <c r="L675" s="923"/>
      <c r="M675" s="923"/>
      <c r="N675" s="923"/>
      <c r="O675" s="82"/>
      <c r="P675" s="83"/>
    </row>
    <row r="676" spans="1:16" x14ac:dyDescent="0.15">
      <c r="A676" s="82"/>
      <c r="B676" s="82"/>
      <c r="C676" s="82"/>
      <c r="D676" s="82"/>
      <c r="E676" s="82"/>
      <c r="F676" s="82"/>
      <c r="G676" s="82"/>
      <c r="H676" s="82"/>
      <c r="I676" s="923"/>
      <c r="J676" s="923"/>
      <c r="K676" s="923"/>
      <c r="L676" s="923"/>
      <c r="M676" s="923"/>
      <c r="N676" s="923"/>
      <c r="O676" s="82"/>
      <c r="P676" s="83"/>
    </row>
    <row r="677" spans="1:16" x14ac:dyDescent="0.15">
      <c r="A677" s="82"/>
      <c r="B677" s="82"/>
      <c r="C677" s="82"/>
      <c r="D677" s="82"/>
      <c r="E677" s="82"/>
      <c r="F677" s="82"/>
      <c r="G677" s="82"/>
      <c r="H677" s="82"/>
      <c r="I677" s="923"/>
      <c r="J677" s="923"/>
      <c r="K677" s="923"/>
      <c r="L677" s="923"/>
      <c r="M677" s="923"/>
      <c r="N677" s="923"/>
      <c r="O677" s="82"/>
      <c r="P677" s="83"/>
    </row>
    <row r="678" spans="1:16" x14ac:dyDescent="0.15">
      <c r="A678" s="82"/>
      <c r="B678" s="82"/>
      <c r="C678" s="82"/>
      <c r="D678" s="82"/>
      <c r="E678" s="82"/>
      <c r="F678" s="82"/>
      <c r="G678" s="82"/>
      <c r="H678" s="82"/>
      <c r="I678" s="923"/>
      <c r="J678" s="923"/>
      <c r="K678" s="923"/>
      <c r="L678" s="923"/>
      <c r="M678" s="923"/>
      <c r="N678" s="923"/>
      <c r="O678" s="82"/>
      <c r="P678" s="83"/>
    </row>
    <row r="679" spans="1:16" x14ac:dyDescent="0.15">
      <c r="A679" s="82"/>
      <c r="B679" s="82"/>
      <c r="C679" s="82"/>
      <c r="D679" s="82"/>
      <c r="E679" s="82"/>
      <c r="F679" s="82"/>
      <c r="G679" s="82"/>
      <c r="H679" s="82"/>
      <c r="I679" s="923"/>
      <c r="J679" s="923"/>
      <c r="K679" s="923"/>
      <c r="L679" s="923"/>
      <c r="M679" s="923"/>
      <c r="N679" s="923"/>
      <c r="O679" s="82"/>
      <c r="P679" s="83"/>
    </row>
    <row r="680" spans="1:16" x14ac:dyDescent="0.15">
      <c r="A680" s="82"/>
      <c r="B680" s="82"/>
      <c r="C680" s="82"/>
      <c r="D680" s="82"/>
      <c r="E680" s="82"/>
      <c r="F680" s="82"/>
      <c r="G680" s="82"/>
      <c r="H680" s="82"/>
      <c r="I680" s="923"/>
      <c r="J680" s="923"/>
      <c r="K680" s="923"/>
      <c r="L680" s="923"/>
      <c r="M680" s="923"/>
      <c r="N680" s="923"/>
      <c r="O680" s="82"/>
      <c r="P680" s="83"/>
    </row>
    <row r="681" spans="1:16" x14ac:dyDescent="0.15">
      <c r="A681" s="82"/>
      <c r="B681" s="82"/>
      <c r="C681" s="82"/>
      <c r="D681" s="82"/>
      <c r="E681" s="82"/>
      <c r="F681" s="82"/>
      <c r="G681" s="82"/>
      <c r="H681" s="82"/>
      <c r="I681" s="923"/>
      <c r="J681" s="923"/>
      <c r="K681" s="923"/>
      <c r="L681" s="923"/>
      <c r="M681" s="923"/>
      <c r="N681" s="923"/>
      <c r="O681" s="82"/>
      <c r="P681" s="83"/>
    </row>
    <row r="682" spans="1:16" x14ac:dyDescent="0.15">
      <c r="A682" s="82"/>
      <c r="B682" s="82"/>
      <c r="C682" s="82"/>
      <c r="D682" s="82"/>
      <c r="E682" s="82"/>
      <c r="F682" s="82"/>
      <c r="G682" s="82"/>
      <c r="H682" s="82"/>
      <c r="I682" s="923"/>
      <c r="J682" s="923"/>
      <c r="K682" s="923"/>
      <c r="L682" s="923"/>
      <c r="M682" s="923"/>
      <c r="N682" s="923"/>
      <c r="O682" s="82"/>
      <c r="P682" s="83"/>
    </row>
    <row r="683" spans="1:16" x14ac:dyDescent="0.15">
      <c r="A683" s="82"/>
      <c r="B683" s="82"/>
      <c r="C683" s="82"/>
      <c r="D683" s="82"/>
      <c r="E683" s="82"/>
      <c r="F683" s="82"/>
      <c r="G683" s="82"/>
      <c r="H683" s="82"/>
      <c r="I683" s="923"/>
      <c r="J683" s="923"/>
      <c r="K683" s="923"/>
      <c r="L683" s="923"/>
      <c r="M683" s="923"/>
      <c r="N683" s="923"/>
      <c r="O683" s="82"/>
      <c r="P683" s="83"/>
    </row>
    <row r="684" spans="1:16" x14ac:dyDescent="0.15">
      <c r="A684" s="82"/>
      <c r="B684" s="82"/>
      <c r="C684" s="82"/>
      <c r="D684" s="82"/>
      <c r="E684" s="82"/>
      <c r="F684" s="82"/>
      <c r="G684" s="82"/>
      <c r="H684" s="82"/>
      <c r="I684" s="923"/>
      <c r="J684" s="923"/>
      <c r="K684" s="923"/>
      <c r="L684" s="923"/>
      <c r="M684" s="923"/>
      <c r="N684" s="923"/>
      <c r="O684" s="82"/>
      <c r="P684" s="83"/>
    </row>
    <row r="685" spans="1:16" x14ac:dyDescent="0.15">
      <c r="A685" s="82"/>
      <c r="B685" s="82"/>
      <c r="C685" s="82"/>
      <c r="D685" s="82"/>
      <c r="E685" s="82"/>
      <c r="F685" s="82"/>
      <c r="G685" s="82"/>
      <c r="H685" s="82"/>
      <c r="I685" s="923"/>
      <c r="J685" s="923"/>
      <c r="K685" s="923"/>
      <c r="L685" s="923"/>
      <c r="M685" s="923"/>
      <c r="N685" s="923"/>
      <c r="O685" s="82"/>
      <c r="P685" s="83"/>
    </row>
    <row r="686" spans="1:16" x14ac:dyDescent="0.15">
      <c r="A686" s="82"/>
      <c r="B686" s="82"/>
      <c r="C686" s="82"/>
      <c r="D686" s="82"/>
      <c r="E686" s="82"/>
      <c r="F686" s="82"/>
      <c r="G686" s="82"/>
      <c r="H686" s="82"/>
      <c r="I686" s="923"/>
      <c r="J686" s="923"/>
      <c r="K686" s="923"/>
      <c r="L686" s="923"/>
      <c r="M686" s="923"/>
      <c r="N686" s="923"/>
      <c r="O686" s="82"/>
      <c r="P686" s="83"/>
    </row>
    <row r="687" spans="1:16" x14ac:dyDescent="0.15">
      <c r="A687" s="82"/>
      <c r="B687" s="82"/>
      <c r="C687" s="82"/>
      <c r="D687" s="82"/>
      <c r="E687" s="82"/>
      <c r="F687" s="82"/>
      <c r="G687" s="82"/>
      <c r="H687" s="82"/>
      <c r="I687" s="923"/>
      <c r="J687" s="923"/>
      <c r="K687" s="923"/>
      <c r="L687" s="923"/>
      <c r="M687" s="923"/>
      <c r="N687" s="923"/>
      <c r="O687" s="82"/>
      <c r="P687" s="83"/>
    </row>
    <row r="688" spans="1:16" x14ac:dyDescent="0.15">
      <c r="A688" s="82"/>
      <c r="B688" s="82"/>
      <c r="C688" s="82"/>
      <c r="D688" s="82"/>
      <c r="E688" s="82"/>
      <c r="F688" s="82"/>
      <c r="G688" s="82"/>
      <c r="H688" s="82"/>
      <c r="I688" s="923"/>
      <c r="J688" s="923"/>
      <c r="K688" s="923"/>
      <c r="L688" s="923"/>
      <c r="M688" s="923"/>
      <c r="N688" s="923"/>
      <c r="O688" s="82"/>
      <c r="P688" s="83"/>
    </row>
    <row r="689" spans="1:16" x14ac:dyDescent="0.15">
      <c r="A689" s="82"/>
      <c r="B689" s="82"/>
      <c r="C689" s="82"/>
      <c r="D689" s="82"/>
      <c r="E689" s="82"/>
      <c r="F689" s="82"/>
      <c r="G689" s="82"/>
      <c r="H689" s="82"/>
      <c r="I689" s="923"/>
      <c r="J689" s="923"/>
      <c r="K689" s="923"/>
      <c r="L689" s="923"/>
      <c r="M689" s="923"/>
      <c r="N689" s="923"/>
      <c r="O689" s="82"/>
      <c r="P689" s="83"/>
    </row>
    <row r="690" spans="1:16" x14ac:dyDescent="0.15">
      <c r="A690" s="82"/>
      <c r="B690" s="82"/>
      <c r="C690" s="82"/>
      <c r="D690" s="82"/>
      <c r="E690" s="82"/>
      <c r="F690" s="82"/>
      <c r="G690" s="82"/>
      <c r="H690" s="82"/>
      <c r="I690" s="923"/>
      <c r="J690" s="923"/>
      <c r="K690" s="923"/>
      <c r="L690" s="923"/>
      <c r="M690" s="923"/>
      <c r="N690" s="923"/>
      <c r="O690" s="82"/>
      <c r="P690" s="83"/>
    </row>
    <row r="691" spans="1:16" x14ac:dyDescent="0.15">
      <c r="A691" s="82"/>
      <c r="B691" s="82"/>
      <c r="C691" s="82"/>
      <c r="D691" s="82"/>
      <c r="E691" s="82"/>
      <c r="F691" s="82"/>
      <c r="G691" s="82"/>
      <c r="H691" s="82"/>
      <c r="I691" s="923"/>
      <c r="J691" s="923"/>
      <c r="K691" s="923"/>
      <c r="L691" s="923"/>
      <c r="M691" s="923"/>
      <c r="N691" s="923"/>
      <c r="O691" s="82"/>
      <c r="P691" s="83"/>
    </row>
    <row r="692" spans="1:16" x14ac:dyDescent="0.15">
      <c r="A692" s="82"/>
      <c r="B692" s="82"/>
      <c r="C692" s="82"/>
      <c r="D692" s="82"/>
      <c r="E692" s="82"/>
      <c r="F692" s="82"/>
      <c r="G692" s="82"/>
      <c r="H692" s="82"/>
      <c r="I692" s="923"/>
      <c r="J692" s="923"/>
      <c r="K692" s="923"/>
      <c r="L692" s="923"/>
      <c r="M692" s="923"/>
      <c r="N692" s="923"/>
      <c r="O692" s="82"/>
      <c r="P692" s="83"/>
    </row>
    <row r="693" spans="1:16" x14ac:dyDescent="0.15">
      <c r="A693" s="82"/>
      <c r="B693" s="82"/>
      <c r="C693" s="82"/>
      <c r="D693" s="82"/>
      <c r="E693" s="82"/>
      <c r="F693" s="82"/>
      <c r="G693" s="82"/>
      <c r="H693" s="82"/>
      <c r="I693" s="923"/>
      <c r="J693" s="923"/>
      <c r="K693" s="923"/>
      <c r="L693" s="923"/>
      <c r="M693" s="923"/>
      <c r="N693" s="923"/>
      <c r="O693" s="82"/>
      <c r="P693" s="83"/>
    </row>
    <row r="694" spans="1:16" x14ac:dyDescent="0.15">
      <c r="A694" s="82"/>
      <c r="B694" s="82"/>
      <c r="C694" s="82"/>
      <c r="D694" s="82"/>
      <c r="E694" s="82"/>
      <c r="F694" s="82"/>
      <c r="G694" s="82"/>
      <c r="H694" s="82"/>
      <c r="I694" s="923"/>
      <c r="J694" s="923"/>
      <c r="K694" s="923"/>
      <c r="L694" s="923"/>
      <c r="M694" s="923"/>
      <c r="N694" s="923"/>
      <c r="O694" s="82"/>
      <c r="P694" s="83"/>
    </row>
    <row r="695" spans="1:16" x14ac:dyDescent="0.15">
      <c r="A695" s="82"/>
      <c r="B695" s="82"/>
      <c r="C695" s="82"/>
      <c r="D695" s="82"/>
      <c r="E695" s="82"/>
      <c r="F695" s="82"/>
      <c r="G695" s="82"/>
      <c r="H695" s="82"/>
      <c r="I695" s="923"/>
      <c r="J695" s="923"/>
      <c r="K695" s="923"/>
      <c r="L695" s="923"/>
      <c r="M695" s="923"/>
      <c r="N695" s="923"/>
      <c r="O695" s="82"/>
      <c r="P695" s="83"/>
    </row>
    <row r="696" spans="1:16" x14ac:dyDescent="0.15">
      <c r="A696" s="82"/>
      <c r="B696" s="82"/>
      <c r="C696" s="82"/>
      <c r="D696" s="82"/>
      <c r="E696" s="82"/>
      <c r="F696" s="82"/>
      <c r="G696" s="82"/>
      <c r="H696" s="82"/>
      <c r="I696" s="923"/>
      <c r="J696" s="923"/>
      <c r="K696" s="923"/>
      <c r="L696" s="923"/>
      <c r="M696" s="923"/>
      <c r="N696" s="923"/>
      <c r="O696" s="82"/>
      <c r="P696" s="83"/>
    </row>
    <row r="697" spans="1:16" x14ac:dyDescent="0.15">
      <c r="A697" s="82"/>
      <c r="B697" s="82"/>
      <c r="C697" s="82"/>
      <c r="D697" s="82"/>
      <c r="E697" s="82"/>
      <c r="F697" s="82"/>
      <c r="G697" s="82"/>
      <c r="H697" s="82"/>
      <c r="I697" s="923"/>
      <c r="J697" s="923"/>
      <c r="K697" s="923"/>
      <c r="L697" s="923"/>
      <c r="M697" s="923"/>
      <c r="N697" s="923"/>
      <c r="O697" s="82"/>
      <c r="P697" s="83"/>
    </row>
    <row r="698" spans="1:16" x14ac:dyDescent="0.15">
      <c r="A698" s="82"/>
      <c r="B698" s="82"/>
      <c r="C698" s="82"/>
      <c r="D698" s="82"/>
      <c r="E698" s="82"/>
      <c r="F698" s="82"/>
      <c r="G698" s="82"/>
      <c r="H698" s="82"/>
      <c r="I698" s="923"/>
      <c r="J698" s="923"/>
      <c r="K698" s="923"/>
      <c r="L698" s="923"/>
      <c r="M698" s="923"/>
      <c r="N698" s="923"/>
      <c r="O698" s="82"/>
      <c r="P698" s="83"/>
    </row>
    <row r="699" spans="1:16" x14ac:dyDescent="0.15">
      <c r="A699" s="82"/>
      <c r="B699" s="82"/>
      <c r="C699" s="82"/>
      <c r="D699" s="82"/>
      <c r="E699" s="82"/>
      <c r="F699" s="82"/>
      <c r="G699" s="82"/>
      <c r="H699" s="82"/>
      <c r="I699" s="923"/>
      <c r="J699" s="923"/>
      <c r="K699" s="923"/>
      <c r="L699" s="923"/>
      <c r="M699" s="923"/>
      <c r="N699" s="923"/>
      <c r="O699" s="82"/>
      <c r="P699" s="83"/>
    </row>
    <row r="700" spans="1:16" x14ac:dyDescent="0.15">
      <c r="A700" s="82"/>
      <c r="B700" s="82"/>
      <c r="C700" s="82"/>
      <c r="D700" s="82"/>
      <c r="E700" s="82"/>
      <c r="F700" s="82"/>
      <c r="G700" s="82"/>
      <c r="H700" s="82"/>
      <c r="I700" s="923"/>
      <c r="J700" s="923"/>
      <c r="K700" s="923"/>
      <c r="L700" s="923"/>
      <c r="M700" s="923"/>
      <c r="N700" s="923"/>
      <c r="O700" s="82"/>
      <c r="P700" s="83"/>
    </row>
    <row r="701" spans="1:16" x14ac:dyDescent="0.15">
      <c r="A701" s="82"/>
      <c r="B701" s="82"/>
      <c r="C701" s="82"/>
      <c r="D701" s="82"/>
      <c r="E701" s="82"/>
      <c r="F701" s="82"/>
      <c r="G701" s="82"/>
      <c r="H701" s="82"/>
      <c r="I701" s="923"/>
      <c r="J701" s="923"/>
      <c r="K701" s="923"/>
      <c r="L701" s="923"/>
      <c r="M701" s="923"/>
      <c r="N701" s="923"/>
      <c r="O701" s="82"/>
      <c r="P701" s="83"/>
    </row>
    <row r="702" spans="1:16" x14ac:dyDescent="0.15">
      <c r="A702" s="82"/>
      <c r="B702" s="82"/>
      <c r="C702" s="82"/>
      <c r="D702" s="82"/>
      <c r="E702" s="82"/>
      <c r="F702" s="82"/>
      <c r="G702" s="82"/>
      <c r="H702" s="82"/>
      <c r="I702" s="923"/>
      <c r="J702" s="923"/>
      <c r="K702" s="923"/>
      <c r="L702" s="923"/>
      <c r="M702" s="923"/>
      <c r="N702" s="923"/>
      <c r="O702" s="82"/>
      <c r="P702" s="83"/>
    </row>
    <row r="703" spans="1:16" x14ac:dyDescent="0.15">
      <c r="A703" s="82"/>
      <c r="B703" s="82"/>
      <c r="C703" s="82"/>
      <c r="D703" s="82"/>
      <c r="E703" s="82"/>
      <c r="F703" s="82"/>
      <c r="G703" s="82"/>
      <c r="H703" s="82"/>
      <c r="I703" s="923"/>
      <c r="J703" s="923"/>
      <c r="K703" s="923"/>
      <c r="L703" s="923"/>
      <c r="M703" s="923"/>
      <c r="N703" s="923"/>
      <c r="O703" s="82"/>
      <c r="P703" s="83"/>
    </row>
    <row r="704" spans="1:16" x14ac:dyDescent="0.15">
      <c r="A704" s="82"/>
      <c r="B704" s="82"/>
      <c r="C704" s="82"/>
      <c r="D704" s="82"/>
      <c r="E704" s="82"/>
      <c r="F704" s="82"/>
      <c r="G704" s="82"/>
      <c r="H704" s="82"/>
      <c r="I704" s="923"/>
      <c r="J704" s="923"/>
      <c r="K704" s="923"/>
      <c r="L704" s="923"/>
      <c r="M704" s="923"/>
      <c r="N704" s="923"/>
      <c r="O704" s="82"/>
      <c r="P704" s="83"/>
    </row>
    <row r="705" spans="1:16" x14ac:dyDescent="0.15">
      <c r="A705" s="82"/>
      <c r="B705" s="82"/>
      <c r="C705" s="82"/>
      <c r="D705" s="82"/>
      <c r="E705" s="82"/>
      <c r="F705" s="82"/>
      <c r="G705" s="82"/>
      <c r="H705" s="82"/>
      <c r="I705" s="923"/>
      <c r="J705" s="923"/>
      <c r="K705" s="923"/>
      <c r="L705" s="923"/>
      <c r="M705" s="923"/>
      <c r="N705" s="923"/>
      <c r="O705" s="82"/>
      <c r="P705" s="83"/>
    </row>
    <row r="706" spans="1:16" x14ac:dyDescent="0.15">
      <c r="A706" s="82"/>
      <c r="B706" s="82"/>
      <c r="C706" s="82"/>
      <c r="D706" s="82"/>
      <c r="E706" s="82"/>
      <c r="F706" s="82"/>
      <c r="G706" s="82"/>
      <c r="H706" s="82"/>
      <c r="I706" s="923"/>
      <c r="J706" s="923"/>
      <c r="K706" s="923"/>
      <c r="L706" s="923"/>
      <c r="M706" s="923"/>
      <c r="N706" s="923"/>
      <c r="O706" s="82"/>
      <c r="P706" s="83"/>
    </row>
    <row r="707" spans="1:16" x14ac:dyDescent="0.15">
      <c r="A707" s="82"/>
      <c r="B707" s="82"/>
      <c r="C707" s="82"/>
      <c r="D707" s="82"/>
      <c r="E707" s="82"/>
      <c r="F707" s="82"/>
      <c r="G707" s="82"/>
      <c r="H707" s="82"/>
      <c r="I707" s="923"/>
      <c r="J707" s="923"/>
      <c r="K707" s="923"/>
      <c r="L707" s="923"/>
      <c r="M707" s="923"/>
      <c r="N707" s="923"/>
      <c r="O707" s="82"/>
      <c r="P707" s="83"/>
    </row>
    <row r="708" spans="1:16" x14ac:dyDescent="0.15">
      <c r="A708" s="82"/>
      <c r="B708" s="82"/>
      <c r="C708" s="82"/>
      <c r="D708" s="82"/>
      <c r="E708" s="82"/>
      <c r="F708" s="82"/>
      <c r="G708" s="82"/>
      <c r="H708" s="82"/>
      <c r="I708" s="923"/>
      <c r="J708" s="923"/>
      <c r="K708" s="923"/>
      <c r="L708" s="923"/>
      <c r="M708" s="923"/>
      <c r="N708" s="923"/>
      <c r="O708" s="82"/>
      <c r="P708" s="83"/>
    </row>
    <row r="709" spans="1:16" x14ac:dyDescent="0.15">
      <c r="A709" s="82"/>
      <c r="B709" s="82"/>
      <c r="C709" s="82"/>
      <c r="D709" s="82"/>
      <c r="E709" s="82"/>
      <c r="F709" s="82"/>
      <c r="G709" s="82"/>
      <c r="H709" s="82"/>
      <c r="I709" s="923"/>
      <c r="J709" s="923"/>
      <c r="K709" s="923"/>
      <c r="L709" s="923"/>
      <c r="M709" s="923"/>
      <c r="N709" s="923"/>
      <c r="O709" s="82"/>
      <c r="P709" s="83"/>
    </row>
    <row r="710" spans="1:16" x14ac:dyDescent="0.15">
      <c r="A710" s="82"/>
      <c r="B710" s="82"/>
      <c r="C710" s="82"/>
      <c r="D710" s="82"/>
      <c r="E710" s="82"/>
      <c r="F710" s="82"/>
      <c r="G710" s="82"/>
      <c r="H710" s="82"/>
      <c r="I710" s="923"/>
      <c r="J710" s="923"/>
      <c r="K710" s="923"/>
      <c r="L710" s="923"/>
      <c r="M710" s="923"/>
      <c r="N710" s="923"/>
      <c r="O710" s="82"/>
      <c r="P710" s="83"/>
    </row>
    <row r="711" spans="1:16" x14ac:dyDescent="0.15">
      <c r="A711" s="82"/>
      <c r="B711" s="82"/>
      <c r="C711" s="82"/>
      <c r="D711" s="82"/>
      <c r="E711" s="82"/>
      <c r="F711" s="82"/>
      <c r="G711" s="82"/>
      <c r="H711" s="82"/>
      <c r="I711" s="923"/>
      <c r="J711" s="923"/>
      <c r="K711" s="923"/>
      <c r="L711" s="923"/>
      <c r="M711" s="923"/>
      <c r="N711" s="923"/>
      <c r="O711" s="82"/>
      <c r="P711" s="83"/>
    </row>
    <row r="712" spans="1:16" x14ac:dyDescent="0.15">
      <c r="A712" s="82"/>
      <c r="B712" s="82"/>
      <c r="C712" s="82"/>
      <c r="D712" s="82"/>
      <c r="E712" s="82"/>
      <c r="F712" s="82"/>
      <c r="G712" s="82"/>
      <c r="H712" s="82"/>
      <c r="I712" s="923"/>
      <c r="J712" s="923"/>
      <c r="K712" s="923"/>
      <c r="L712" s="923"/>
      <c r="M712" s="923"/>
      <c r="N712" s="923"/>
      <c r="O712" s="82"/>
      <c r="P712" s="83"/>
    </row>
    <row r="713" spans="1:16" x14ac:dyDescent="0.15">
      <c r="A713" s="82"/>
      <c r="B713" s="82"/>
      <c r="C713" s="82"/>
      <c r="D713" s="82"/>
      <c r="E713" s="82"/>
      <c r="F713" s="82"/>
      <c r="G713" s="82"/>
      <c r="H713" s="82"/>
      <c r="I713" s="923"/>
      <c r="J713" s="923"/>
      <c r="K713" s="923"/>
      <c r="L713" s="923"/>
      <c r="M713" s="923"/>
      <c r="N713" s="923"/>
      <c r="O713" s="82"/>
      <c r="P713" s="83"/>
    </row>
    <row r="714" spans="1:16" x14ac:dyDescent="0.15">
      <c r="A714" s="82"/>
      <c r="B714" s="82"/>
      <c r="C714" s="82"/>
      <c r="D714" s="82"/>
      <c r="E714" s="82"/>
      <c r="F714" s="82"/>
      <c r="G714" s="82"/>
      <c r="H714" s="82"/>
      <c r="I714" s="923"/>
      <c r="J714" s="923"/>
      <c r="K714" s="923"/>
      <c r="L714" s="923"/>
      <c r="M714" s="923"/>
      <c r="N714" s="923"/>
      <c r="O714" s="82"/>
      <c r="P714" s="83"/>
    </row>
    <row r="715" spans="1:16" x14ac:dyDescent="0.15">
      <c r="A715" s="82"/>
      <c r="B715" s="82"/>
      <c r="C715" s="82"/>
      <c r="D715" s="82"/>
      <c r="E715" s="82"/>
      <c r="F715" s="82"/>
      <c r="G715" s="82"/>
      <c r="H715" s="82"/>
      <c r="I715" s="923"/>
      <c r="J715" s="923"/>
      <c r="K715" s="923"/>
      <c r="L715" s="923"/>
      <c r="M715" s="923"/>
      <c r="N715" s="923"/>
      <c r="O715" s="82"/>
      <c r="P715" s="83"/>
    </row>
    <row r="716" spans="1:16" x14ac:dyDescent="0.15">
      <c r="A716" s="82"/>
      <c r="B716" s="82"/>
      <c r="C716" s="82"/>
      <c r="D716" s="82"/>
      <c r="E716" s="82"/>
      <c r="F716" s="82"/>
      <c r="G716" s="82"/>
      <c r="H716" s="82"/>
      <c r="I716" s="923"/>
      <c r="J716" s="923"/>
      <c r="K716" s="923"/>
      <c r="L716" s="923"/>
      <c r="M716" s="923"/>
      <c r="N716" s="923"/>
      <c r="O716" s="82"/>
      <c r="P716" s="83"/>
    </row>
    <row r="717" spans="1:16" x14ac:dyDescent="0.15">
      <c r="A717" s="82"/>
      <c r="B717" s="82"/>
      <c r="C717" s="82"/>
      <c r="D717" s="82"/>
      <c r="E717" s="82"/>
      <c r="F717" s="82"/>
      <c r="G717" s="82"/>
      <c r="H717" s="82"/>
      <c r="I717" s="923"/>
      <c r="J717" s="923"/>
      <c r="K717" s="923"/>
      <c r="L717" s="923"/>
      <c r="M717" s="923"/>
      <c r="N717" s="923"/>
      <c r="O717" s="82"/>
      <c r="P717" s="83"/>
    </row>
    <row r="718" spans="1:16" x14ac:dyDescent="0.15">
      <c r="A718" s="82"/>
      <c r="B718" s="82"/>
      <c r="C718" s="82"/>
      <c r="D718" s="82"/>
      <c r="E718" s="82"/>
      <c r="F718" s="82"/>
      <c r="G718" s="82"/>
      <c r="H718" s="82"/>
      <c r="I718" s="923"/>
      <c r="J718" s="923"/>
      <c r="K718" s="923"/>
      <c r="L718" s="923"/>
      <c r="M718" s="923"/>
      <c r="N718" s="923"/>
      <c r="O718" s="82"/>
      <c r="P718" s="83"/>
    </row>
    <row r="719" spans="1:16" x14ac:dyDescent="0.15">
      <c r="A719" s="82"/>
      <c r="B719" s="82"/>
      <c r="C719" s="82"/>
      <c r="D719" s="82"/>
      <c r="E719" s="82"/>
      <c r="F719" s="82"/>
      <c r="G719" s="82"/>
      <c r="H719" s="82"/>
      <c r="I719" s="923"/>
      <c r="J719" s="923"/>
      <c r="K719" s="923"/>
      <c r="L719" s="923"/>
      <c r="M719" s="923"/>
      <c r="N719" s="923"/>
      <c r="O719" s="82"/>
      <c r="P719" s="83"/>
    </row>
    <row r="720" spans="1:16" x14ac:dyDescent="0.15">
      <c r="A720" s="82"/>
      <c r="B720" s="82"/>
      <c r="C720" s="82"/>
      <c r="D720" s="82"/>
      <c r="E720" s="82"/>
      <c r="F720" s="82"/>
      <c r="G720" s="82"/>
      <c r="H720" s="82"/>
      <c r="I720" s="923"/>
      <c r="J720" s="923"/>
      <c r="K720" s="923"/>
      <c r="L720" s="923"/>
      <c r="M720" s="923"/>
      <c r="N720" s="923"/>
      <c r="O720" s="82"/>
      <c r="P720" s="83"/>
    </row>
    <row r="721" spans="1:16" x14ac:dyDescent="0.15">
      <c r="A721" s="82"/>
      <c r="B721" s="82"/>
      <c r="C721" s="82"/>
      <c r="D721" s="82"/>
      <c r="E721" s="82"/>
      <c r="F721" s="82"/>
      <c r="G721" s="82"/>
      <c r="H721" s="82"/>
      <c r="I721" s="923"/>
      <c r="J721" s="923"/>
      <c r="K721" s="923"/>
      <c r="L721" s="923"/>
      <c r="M721" s="923"/>
      <c r="N721" s="923"/>
      <c r="O721" s="82"/>
      <c r="P721" s="83"/>
    </row>
    <row r="722" spans="1:16" x14ac:dyDescent="0.15">
      <c r="A722" s="82"/>
      <c r="B722" s="82"/>
      <c r="C722" s="82"/>
      <c r="D722" s="82"/>
      <c r="E722" s="82"/>
      <c r="F722" s="82"/>
      <c r="G722" s="82"/>
      <c r="H722" s="82"/>
      <c r="I722" s="923"/>
      <c r="J722" s="923"/>
      <c r="K722" s="923"/>
      <c r="L722" s="923"/>
      <c r="M722" s="923"/>
      <c r="N722" s="923"/>
      <c r="O722" s="82"/>
      <c r="P722" s="83"/>
    </row>
    <row r="723" spans="1:16" x14ac:dyDescent="0.15">
      <c r="A723" s="82"/>
      <c r="B723" s="82"/>
      <c r="C723" s="82"/>
      <c r="D723" s="82"/>
      <c r="E723" s="82"/>
      <c r="F723" s="82"/>
      <c r="G723" s="82"/>
      <c r="H723" s="82"/>
      <c r="I723" s="923"/>
      <c r="J723" s="923"/>
      <c r="K723" s="923"/>
      <c r="L723" s="923"/>
      <c r="M723" s="923"/>
      <c r="N723" s="923"/>
      <c r="O723" s="82"/>
      <c r="P723" s="83"/>
    </row>
    <row r="724" spans="1:16" x14ac:dyDescent="0.15">
      <c r="A724" s="82"/>
      <c r="B724" s="82"/>
      <c r="C724" s="82"/>
      <c r="D724" s="82"/>
      <c r="E724" s="82"/>
      <c r="F724" s="82"/>
      <c r="G724" s="82"/>
      <c r="H724" s="82"/>
      <c r="I724" s="923"/>
      <c r="J724" s="923"/>
      <c r="K724" s="923"/>
      <c r="L724" s="923"/>
      <c r="M724" s="923"/>
      <c r="N724" s="923"/>
      <c r="O724" s="82"/>
      <c r="P724" s="83"/>
    </row>
    <row r="725" spans="1:16" x14ac:dyDescent="0.15">
      <c r="A725" s="82"/>
      <c r="B725" s="82"/>
      <c r="C725" s="82"/>
      <c r="D725" s="82"/>
      <c r="E725" s="82"/>
      <c r="F725" s="82"/>
      <c r="G725" s="82"/>
      <c r="H725" s="82"/>
      <c r="I725" s="923"/>
      <c r="J725" s="923"/>
      <c r="K725" s="923"/>
      <c r="L725" s="923"/>
      <c r="M725" s="923"/>
      <c r="N725" s="923"/>
      <c r="O725" s="82"/>
      <c r="P725" s="83"/>
    </row>
    <row r="726" spans="1:16" x14ac:dyDescent="0.15">
      <c r="A726" s="82"/>
      <c r="B726" s="82"/>
      <c r="C726" s="82"/>
      <c r="D726" s="82"/>
      <c r="E726" s="82"/>
      <c r="F726" s="82"/>
      <c r="G726" s="82"/>
      <c r="H726" s="82"/>
      <c r="I726" s="923"/>
      <c r="J726" s="923"/>
      <c r="K726" s="923"/>
      <c r="L726" s="923"/>
      <c r="M726" s="923"/>
      <c r="N726" s="923"/>
      <c r="O726" s="82"/>
      <c r="P726" s="83"/>
    </row>
    <row r="727" spans="1:16" x14ac:dyDescent="0.15">
      <c r="A727" s="82"/>
      <c r="B727" s="82"/>
      <c r="C727" s="82"/>
      <c r="D727" s="82"/>
      <c r="E727" s="82"/>
      <c r="F727" s="82"/>
      <c r="G727" s="82"/>
      <c r="H727" s="82"/>
      <c r="I727" s="923"/>
      <c r="J727" s="923"/>
      <c r="K727" s="923"/>
      <c r="L727" s="923"/>
      <c r="M727" s="923"/>
      <c r="N727" s="923"/>
      <c r="O727" s="82"/>
      <c r="P727" s="83"/>
    </row>
    <row r="728" spans="1:16" x14ac:dyDescent="0.15">
      <c r="A728" s="82"/>
      <c r="B728" s="82"/>
      <c r="C728" s="82"/>
      <c r="D728" s="82"/>
      <c r="E728" s="82"/>
      <c r="F728" s="82"/>
      <c r="G728" s="82"/>
      <c r="H728" s="82"/>
      <c r="I728" s="923"/>
      <c r="J728" s="923"/>
      <c r="K728" s="923"/>
      <c r="L728" s="923"/>
      <c r="M728" s="923"/>
      <c r="N728" s="923"/>
      <c r="O728" s="82"/>
      <c r="P728" s="83"/>
    </row>
    <row r="729" spans="1:16" x14ac:dyDescent="0.15">
      <c r="A729" s="82"/>
      <c r="B729" s="82"/>
      <c r="C729" s="82"/>
      <c r="D729" s="82"/>
      <c r="E729" s="82"/>
      <c r="F729" s="82"/>
      <c r="G729" s="82"/>
      <c r="H729" s="82"/>
      <c r="I729" s="923"/>
      <c r="J729" s="923"/>
      <c r="K729" s="923"/>
      <c r="L729" s="923"/>
      <c r="M729" s="923"/>
      <c r="N729" s="923"/>
      <c r="O729" s="82"/>
      <c r="P729" s="83"/>
    </row>
    <row r="730" spans="1:16" x14ac:dyDescent="0.15">
      <c r="A730" s="82"/>
      <c r="B730" s="82"/>
      <c r="C730" s="82"/>
      <c r="D730" s="82"/>
      <c r="E730" s="82"/>
      <c r="F730" s="82"/>
      <c r="G730" s="82"/>
      <c r="H730" s="82"/>
      <c r="I730" s="923"/>
      <c r="J730" s="923"/>
      <c r="K730" s="923"/>
      <c r="L730" s="923"/>
      <c r="M730" s="923"/>
      <c r="N730" s="923"/>
      <c r="O730" s="82"/>
      <c r="P730" s="83"/>
    </row>
    <row r="731" spans="1:16" x14ac:dyDescent="0.15">
      <c r="A731" s="82"/>
      <c r="B731" s="82"/>
      <c r="C731" s="82"/>
      <c r="D731" s="82"/>
      <c r="E731" s="82"/>
      <c r="F731" s="82"/>
      <c r="G731" s="82"/>
      <c r="H731" s="82"/>
      <c r="I731" s="923"/>
      <c r="J731" s="923"/>
      <c r="K731" s="923"/>
      <c r="L731" s="923"/>
      <c r="M731" s="923"/>
      <c r="N731" s="923"/>
      <c r="O731" s="82"/>
      <c r="P731" s="83"/>
    </row>
    <row r="732" spans="1:16" x14ac:dyDescent="0.15">
      <c r="A732" s="82"/>
      <c r="B732" s="82"/>
      <c r="C732" s="82"/>
      <c r="D732" s="82"/>
      <c r="E732" s="82"/>
      <c r="F732" s="82"/>
      <c r="G732" s="82"/>
      <c r="H732" s="82"/>
      <c r="I732" s="923"/>
      <c r="J732" s="923"/>
      <c r="K732" s="923"/>
      <c r="L732" s="923"/>
      <c r="M732" s="923"/>
      <c r="N732" s="923"/>
      <c r="O732" s="82"/>
      <c r="P732" s="83"/>
    </row>
    <row r="733" spans="1:16" x14ac:dyDescent="0.15">
      <c r="A733" s="82"/>
      <c r="B733" s="82"/>
      <c r="C733" s="82"/>
      <c r="D733" s="82"/>
      <c r="E733" s="82"/>
      <c r="F733" s="82"/>
      <c r="G733" s="82"/>
      <c r="H733" s="82"/>
      <c r="I733" s="923"/>
      <c r="J733" s="923"/>
      <c r="K733" s="923"/>
      <c r="L733" s="923"/>
      <c r="M733" s="923"/>
      <c r="N733" s="923"/>
      <c r="O733" s="82"/>
      <c r="P733" s="83"/>
    </row>
    <row r="734" spans="1:16" x14ac:dyDescent="0.15">
      <c r="A734" s="82"/>
      <c r="B734" s="82"/>
      <c r="C734" s="82"/>
      <c r="D734" s="82"/>
      <c r="E734" s="82"/>
      <c r="F734" s="82"/>
      <c r="G734" s="82"/>
      <c r="H734" s="82"/>
      <c r="I734" s="923"/>
      <c r="J734" s="923"/>
      <c r="K734" s="923"/>
      <c r="L734" s="923"/>
      <c r="M734" s="923"/>
      <c r="N734" s="923"/>
      <c r="O734" s="82"/>
      <c r="P734" s="83"/>
    </row>
    <row r="735" spans="1:16" x14ac:dyDescent="0.15">
      <c r="A735" s="82"/>
      <c r="B735" s="82"/>
      <c r="C735" s="82"/>
      <c r="D735" s="82"/>
      <c r="E735" s="82"/>
      <c r="F735" s="82"/>
      <c r="G735" s="82"/>
      <c r="H735" s="82"/>
      <c r="I735" s="923"/>
      <c r="J735" s="923"/>
      <c r="K735" s="923"/>
      <c r="L735" s="923"/>
      <c r="M735" s="923"/>
      <c r="N735" s="923"/>
      <c r="O735" s="82"/>
      <c r="P735" s="83"/>
    </row>
    <row r="736" spans="1:16" x14ac:dyDescent="0.15">
      <c r="A736" s="82"/>
      <c r="B736" s="82"/>
      <c r="C736" s="82"/>
      <c r="D736" s="82"/>
      <c r="E736" s="82"/>
      <c r="F736" s="82"/>
      <c r="G736" s="82"/>
      <c r="H736" s="82"/>
      <c r="I736" s="923"/>
      <c r="J736" s="923"/>
      <c r="K736" s="923"/>
      <c r="L736" s="923"/>
      <c r="M736" s="923"/>
      <c r="N736" s="923"/>
      <c r="O736" s="82"/>
      <c r="P736" s="83"/>
    </row>
    <row r="737" spans="1:16" x14ac:dyDescent="0.15">
      <c r="A737" s="82"/>
      <c r="B737" s="82"/>
      <c r="C737" s="82"/>
      <c r="D737" s="82"/>
      <c r="E737" s="82"/>
      <c r="F737" s="82"/>
      <c r="G737" s="82"/>
      <c r="H737" s="82"/>
      <c r="I737" s="923"/>
      <c r="J737" s="923"/>
      <c r="K737" s="923"/>
      <c r="L737" s="923"/>
      <c r="M737" s="923"/>
      <c r="N737" s="923"/>
      <c r="O737" s="82"/>
      <c r="P737" s="83"/>
    </row>
    <row r="738" spans="1:16" x14ac:dyDescent="0.15">
      <c r="A738" s="82"/>
      <c r="B738" s="82"/>
      <c r="C738" s="82"/>
      <c r="D738" s="82"/>
      <c r="E738" s="82"/>
      <c r="F738" s="82"/>
      <c r="G738" s="82"/>
      <c r="H738" s="82"/>
      <c r="I738" s="923"/>
      <c r="J738" s="923"/>
      <c r="K738" s="923"/>
      <c r="L738" s="923"/>
      <c r="M738" s="923"/>
      <c r="N738" s="923"/>
      <c r="O738" s="82"/>
      <c r="P738" s="83"/>
    </row>
    <row r="739" spans="1:16" x14ac:dyDescent="0.15">
      <c r="A739" s="82"/>
      <c r="B739" s="82"/>
      <c r="C739" s="82"/>
      <c r="D739" s="82"/>
      <c r="E739" s="82"/>
      <c r="F739" s="82"/>
      <c r="G739" s="82"/>
      <c r="H739" s="82"/>
      <c r="I739" s="923"/>
      <c r="J739" s="923"/>
      <c r="K739" s="923"/>
      <c r="L739" s="923"/>
      <c r="M739" s="923"/>
      <c r="N739" s="923"/>
      <c r="O739" s="82"/>
      <c r="P739" s="83"/>
    </row>
    <row r="740" spans="1:16" x14ac:dyDescent="0.15">
      <c r="A740" s="82"/>
      <c r="B740" s="82"/>
      <c r="C740" s="82"/>
      <c r="D740" s="82"/>
      <c r="E740" s="82"/>
      <c r="F740" s="82"/>
      <c r="G740" s="82"/>
      <c r="H740" s="82"/>
      <c r="I740" s="923"/>
      <c r="J740" s="923"/>
      <c r="K740" s="923"/>
      <c r="L740" s="923"/>
      <c r="M740" s="923"/>
      <c r="N740" s="923"/>
      <c r="O740" s="82"/>
      <c r="P740" s="83"/>
    </row>
    <row r="741" spans="1:16" x14ac:dyDescent="0.15">
      <c r="A741" s="82"/>
      <c r="B741" s="82"/>
      <c r="C741" s="82"/>
      <c r="D741" s="82"/>
      <c r="E741" s="82"/>
      <c r="F741" s="82"/>
      <c r="G741" s="82"/>
      <c r="H741" s="82"/>
      <c r="I741" s="923"/>
      <c r="J741" s="923"/>
      <c r="K741" s="923"/>
      <c r="L741" s="923"/>
      <c r="M741" s="923"/>
      <c r="N741" s="923"/>
      <c r="O741" s="82"/>
      <c r="P741" s="83"/>
    </row>
    <row r="742" spans="1:16" x14ac:dyDescent="0.15">
      <c r="A742" s="82"/>
      <c r="B742" s="82"/>
      <c r="C742" s="82"/>
      <c r="D742" s="82"/>
      <c r="E742" s="82"/>
      <c r="F742" s="82"/>
      <c r="G742" s="82"/>
      <c r="H742" s="82"/>
      <c r="I742" s="923"/>
      <c r="J742" s="923"/>
      <c r="K742" s="923"/>
      <c r="L742" s="923"/>
      <c r="M742" s="923"/>
      <c r="N742" s="923"/>
      <c r="O742" s="82"/>
      <c r="P742" s="83"/>
    </row>
    <row r="743" spans="1:16" x14ac:dyDescent="0.15">
      <c r="A743" s="82"/>
      <c r="B743" s="82"/>
      <c r="C743" s="82"/>
      <c r="D743" s="82"/>
      <c r="E743" s="82"/>
      <c r="F743" s="82"/>
      <c r="G743" s="82"/>
      <c r="H743" s="82"/>
      <c r="I743" s="923"/>
      <c r="J743" s="923"/>
      <c r="K743" s="923"/>
      <c r="L743" s="923"/>
      <c r="M743" s="923"/>
      <c r="N743" s="923"/>
      <c r="O743" s="82"/>
      <c r="P743" s="83"/>
    </row>
    <row r="744" spans="1:16" x14ac:dyDescent="0.15">
      <c r="A744" s="82"/>
      <c r="B744" s="82"/>
      <c r="C744" s="82"/>
      <c r="D744" s="82"/>
      <c r="E744" s="82"/>
      <c r="F744" s="82"/>
      <c r="G744" s="82"/>
      <c r="H744" s="82"/>
      <c r="I744" s="923"/>
      <c r="J744" s="923"/>
      <c r="K744" s="923"/>
      <c r="L744" s="923"/>
      <c r="M744" s="923"/>
      <c r="N744" s="923"/>
      <c r="O744" s="82"/>
      <c r="P744" s="83"/>
    </row>
    <row r="745" spans="1:16" x14ac:dyDescent="0.15">
      <c r="A745" s="82"/>
      <c r="B745" s="82"/>
      <c r="C745" s="82"/>
      <c r="D745" s="82"/>
      <c r="E745" s="82"/>
      <c r="F745" s="82"/>
      <c r="G745" s="82"/>
      <c r="H745" s="82"/>
      <c r="I745" s="923"/>
      <c r="J745" s="923"/>
      <c r="K745" s="923"/>
      <c r="L745" s="923"/>
      <c r="M745" s="923"/>
      <c r="N745" s="923"/>
      <c r="O745" s="82"/>
      <c r="P745" s="83"/>
    </row>
    <row r="746" spans="1:16" x14ac:dyDescent="0.15">
      <c r="A746" s="82"/>
      <c r="B746" s="82"/>
      <c r="C746" s="82"/>
      <c r="D746" s="82"/>
      <c r="E746" s="82"/>
      <c r="F746" s="82"/>
      <c r="G746" s="82"/>
      <c r="H746" s="82"/>
      <c r="I746" s="923"/>
      <c r="J746" s="923"/>
      <c r="K746" s="923"/>
      <c r="L746" s="923"/>
      <c r="M746" s="923"/>
      <c r="N746" s="923"/>
      <c r="O746" s="82"/>
      <c r="P746" s="83"/>
    </row>
    <row r="747" spans="1:16" x14ac:dyDescent="0.15">
      <c r="A747" s="82"/>
      <c r="B747" s="82"/>
      <c r="C747" s="82"/>
      <c r="D747" s="82"/>
      <c r="E747" s="82"/>
      <c r="F747" s="82"/>
      <c r="G747" s="82"/>
      <c r="H747" s="82"/>
      <c r="I747" s="923"/>
      <c r="J747" s="923"/>
      <c r="K747" s="923"/>
      <c r="L747" s="923"/>
      <c r="M747" s="923"/>
      <c r="N747" s="923"/>
      <c r="O747" s="82"/>
      <c r="P747" s="83"/>
    </row>
    <row r="748" spans="1:16" x14ac:dyDescent="0.15">
      <c r="A748" s="82"/>
      <c r="B748" s="82"/>
      <c r="C748" s="82"/>
      <c r="D748" s="82"/>
      <c r="E748" s="82"/>
      <c r="F748" s="82"/>
      <c r="G748" s="82"/>
      <c r="H748" s="82"/>
      <c r="I748" s="923"/>
      <c r="J748" s="923"/>
      <c r="K748" s="923"/>
      <c r="L748" s="923"/>
      <c r="M748" s="923"/>
      <c r="N748" s="923"/>
      <c r="O748" s="82"/>
      <c r="P748" s="83"/>
    </row>
    <row r="749" spans="1:16" x14ac:dyDescent="0.15">
      <c r="A749" s="82"/>
      <c r="B749" s="82"/>
      <c r="C749" s="82"/>
      <c r="D749" s="82"/>
      <c r="E749" s="82"/>
      <c r="F749" s="82"/>
      <c r="G749" s="82"/>
      <c r="H749" s="82"/>
      <c r="I749" s="923"/>
      <c r="J749" s="923"/>
      <c r="K749" s="923"/>
      <c r="L749" s="923"/>
      <c r="M749" s="923"/>
      <c r="N749" s="923"/>
      <c r="O749" s="82"/>
      <c r="P749" s="83"/>
    </row>
    <row r="750" spans="1:16" x14ac:dyDescent="0.15">
      <c r="A750" s="82"/>
      <c r="B750" s="82"/>
      <c r="C750" s="82"/>
      <c r="D750" s="82"/>
      <c r="E750" s="82"/>
      <c r="F750" s="82"/>
      <c r="G750" s="82"/>
      <c r="H750" s="82"/>
      <c r="I750" s="923"/>
      <c r="J750" s="923"/>
      <c r="K750" s="923"/>
      <c r="L750" s="923"/>
      <c r="M750" s="923"/>
      <c r="N750" s="923"/>
      <c r="O750" s="82"/>
      <c r="P750" s="83"/>
    </row>
    <row r="751" spans="1:16" x14ac:dyDescent="0.15">
      <c r="A751" s="82"/>
      <c r="B751" s="82"/>
      <c r="C751" s="82"/>
      <c r="D751" s="82"/>
      <c r="E751" s="82"/>
      <c r="F751" s="82"/>
      <c r="G751" s="82"/>
      <c r="H751" s="82"/>
      <c r="I751" s="923"/>
      <c r="J751" s="923"/>
      <c r="K751" s="923"/>
      <c r="L751" s="923"/>
      <c r="M751" s="923"/>
      <c r="N751" s="923"/>
      <c r="O751" s="82"/>
      <c r="P751" s="83"/>
    </row>
    <row r="752" spans="1:16" x14ac:dyDescent="0.15">
      <c r="A752" s="82"/>
      <c r="B752" s="82"/>
      <c r="C752" s="82"/>
      <c r="D752" s="82"/>
      <c r="E752" s="82"/>
      <c r="F752" s="82"/>
      <c r="G752" s="82"/>
      <c r="H752" s="82"/>
      <c r="I752" s="923"/>
      <c r="J752" s="923"/>
      <c r="K752" s="923"/>
      <c r="L752" s="923"/>
      <c r="M752" s="923"/>
      <c r="N752" s="923"/>
      <c r="O752" s="82"/>
      <c r="P752" s="83"/>
    </row>
    <row r="753" spans="1:16" x14ac:dyDescent="0.15">
      <c r="A753" s="82"/>
      <c r="B753" s="82"/>
      <c r="C753" s="82"/>
      <c r="D753" s="82"/>
      <c r="E753" s="82"/>
      <c r="F753" s="82"/>
      <c r="G753" s="82"/>
      <c r="H753" s="82"/>
      <c r="I753" s="923"/>
      <c r="J753" s="923"/>
      <c r="K753" s="923"/>
      <c r="L753" s="923"/>
      <c r="M753" s="923"/>
      <c r="N753" s="923"/>
      <c r="O753" s="82"/>
      <c r="P753" s="83"/>
    </row>
    <row r="754" spans="1:16" x14ac:dyDescent="0.15">
      <c r="A754" s="82"/>
      <c r="B754" s="82"/>
      <c r="C754" s="82"/>
      <c r="D754" s="82"/>
      <c r="E754" s="82"/>
      <c r="F754" s="82"/>
      <c r="G754" s="82"/>
      <c r="H754" s="82"/>
      <c r="I754" s="923"/>
      <c r="J754" s="923"/>
      <c r="K754" s="923"/>
      <c r="L754" s="923"/>
      <c r="M754" s="923"/>
      <c r="N754" s="923"/>
      <c r="O754" s="82"/>
      <c r="P754" s="83"/>
    </row>
    <row r="755" spans="1:16" x14ac:dyDescent="0.15">
      <c r="A755" s="82"/>
      <c r="B755" s="82"/>
      <c r="C755" s="82"/>
      <c r="D755" s="82"/>
      <c r="E755" s="82"/>
      <c r="F755" s="82"/>
      <c r="G755" s="82"/>
      <c r="H755" s="82"/>
      <c r="I755" s="923"/>
      <c r="J755" s="923"/>
      <c r="K755" s="923"/>
      <c r="L755" s="923"/>
      <c r="M755" s="923"/>
      <c r="N755" s="923"/>
      <c r="O755" s="82"/>
      <c r="P755" s="83"/>
    </row>
    <row r="756" spans="1:16" x14ac:dyDescent="0.15">
      <c r="A756" s="82"/>
      <c r="B756" s="82"/>
      <c r="C756" s="82"/>
      <c r="D756" s="82"/>
      <c r="E756" s="82"/>
      <c r="F756" s="82"/>
      <c r="G756" s="82"/>
      <c r="H756" s="82"/>
      <c r="I756" s="923"/>
      <c r="J756" s="923"/>
      <c r="K756" s="923"/>
      <c r="L756" s="923"/>
      <c r="M756" s="923"/>
      <c r="N756" s="923"/>
      <c r="O756" s="82"/>
      <c r="P756" s="83"/>
    </row>
    <row r="757" spans="1:16" x14ac:dyDescent="0.15">
      <c r="A757" s="82"/>
      <c r="B757" s="82"/>
      <c r="C757" s="82"/>
      <c r="D757" s="82"/>
      <c r="E757" s="82"/>
      <c r="F757" s="82"/>
      <c r="G757" s="82"/>
      <c r="H757" s="82"/>
      <c r="I757" s="923"/>
      <c r="J757" s="923"/>
      <c r="K757" s="923"/>
      <c r="L757" s="923"/>
      <c r="M757" s="923"/>
      <c r="N757" s="923"/>
      <c r="O757" s="82"/>
      <c r="P757" s="83"/>
    </row>
    <row r="758" spans="1:16" x14ac:dyDescent="0.15">
      <c r="A758" s="82"/>
      <c r="B758" s="82"/>
      <c r="C758" s="82"/>
      <c r="D758" s="82"/>
      <c r="E758" s="82"/>
      <c r="F758" s="82"/>
      <c r="G758" s="82"/>
      <c r="H758" s="82"/>
      <c r="I758" s="923"/>
      <c r="J758" s="923"/>
      <c r="K758" s="923"/>
      <c r="L758" s="923"/>
      <c r="M758" s="923"/>
      <c r="N758" s="923"/>
      <c r="O758" s="82"/>
      <c r="P758" s="83"/>
    </row>
    <row r="759" spans="1:16" x14ac:dyDescent="0.15">
      <c r="A759" s="82"/>
      <c r="B759" s="82"/>
      <c r="C759" s="82"/>
      <c r="D759" s="82"/>
      <c r="E759" s="82"/>
      <c r="F759" s="82"/>
      <c r="G759" s="82"/>
      <c r="H759" s="82"/>
      <c r="I759" s="923"/>
      <c r="J759" s="923"/>
      <c r="K759" s="923"/>
      <c r="L759" s="923"/>
      <c r="M759" s="923"/>
      <c r="N759" s="923"/>
      <c r="O759" s="82"/>
      <c r="P759" s="83"/>
    </row>
    <row r="760" spans="1:16" x14ac:dyDescent="0.15">
      <c r="A760" s="82"/>
      <c r="B760" s="82"/>
      <c r="C760" s="82"/>
      <c r="D760" s="82"/>
      <c r="E760" s="82"/>
      <c r="F760" s="82"/>
      <c r="G760" s="82"/>
      <c r="H760" s="82"/>
      <c r="I760" s="923"/>
      <c r="J760" s="923"/>
      <c r="K760" s="923"/>
      <c r="L760" s="923"/>
      <c r="M760" s="923"/>
      <c r="N760" s="923"/>
      <c r="O760" s="82"/>
      <c r="P760" s="83"/>
    </row>
    <row r="761" spans="1:16" x14ac:dyDescent="0.15">
      <c r="A761" s="82"/>
      <c r="B761" s="82"/>
      <c r="C761" s="82"/>
      <c r="D761" s="82"/>
      <c r="E761" s="82"/>
      <c r="F761" s="82"/>
      <c r="G761" s="82"/>
      <c r="H761" s="82"/>
      <c r="I761" s="923"/>
      <c r="J761" s="923"/>
      <c r="K761" s="923"/>
      <c r="L761" s="923"/>
      <c r="M761" s="923"/>
      <c r="N761" s="923"/>
      <c r="O761" s="82"/>
      <c r="P761" s="83"/>
    </row>
    <row r="762" spans="1:16" x14ac:dyDescent="0.15">
      <c r="A762" s="82"/>
      <c r="B762" s="82"/>
      <c r="C762" s="82"/>
      <c r="D762" s="82"/>
      <c r="E762" s="82"/>
      <c r="F762" s="82"/>
      <c r="G762" s="82"/>
      <c r="H762" s="82"/>
      <c r="I762" s="923"/>
      <c r="J762" s="923"/>
      <c r="K762" s="923"/>
      <c r="L762" s="923"/>
      <c r="M762" s="923"/>
      <c r="N762" s="923"/>
      <c r="O762" s="82"/>
      <c r="P762" s="83"/>
    </row>
    <row r="763" spans="1:16" x14ac:dyDescent="0.15">
      <c r="A763" s="82"/>
      <c r="B763" s="82"/>
      <c r="C763" s="82"/>
      <c r="D763" s="82"/>
      <c r="E763" s="82"/>
      <c r="F763" s="82"/>
      <c r="G763" s="82"/>
      <c r="H763" s="82"/>
      <c r="I763" s="923"/>
      <c r="J763" s="923"/>
      <c r="K763" s="923"/>
      <c r="L763" s="923"/>
      <c r="M763" s="923"/>
      <c r="N763" s="923"/>
      <c r="O763" s="82"/>
      <c r="P763" s="83"/>
    </row>
    <row r="764" spans="1:16" x14ac:dyDescent="0.15">
      <c r="A764" s="82"/>
      <c r="B764" s="82"/>
      <c r="C764" s="82"/>
      <c r="D764" s="82"/>
      <c r="E764" s="82"/>
      <c r="F764" s="82"/>
      <c r="G764" s="82"/>
      <c r="H764" s="82"/>
      <c r="I764" s="923"/>
      <c r="J764" s="923"/>
      <c r="K764" s="923"/>
      <c r="L764" s="923"/>
      <c r="M764" s="923"/>
      <c r="N764" s="923"/>
      <c r="O764" s="82"/>
      <c r="P764" s="83"/>
    </row>
    <row r="765" spans="1:16" x14ac:dyDescent="0.15">
      <c r="A765" s="82"/>
      <c r="B765" s="82"/>
      <c r="C765" s="82"/>
      <c r="D765" s="82"/>
      <c r="E765" s="82"/>
      <c r="F765" s="82"/>
      <c r="G765" s="82"/>
      <c r="H765" s="82"/>
      <c r="I765" s="923"/>
      <c r="J765" s="923"/>
      <c r="K765" s="923"/>
      <c r="L765" s="923"/>
      <c r="M765" s="923"/>
      <c r="N765" s="923"/>
      <c r="O765" s="82"/>
      <c r="P765" s="83"/>
    </row>
    <row r="766" spans="1:16" x14ac:dyDescent="0.15">
      <c r="A766" s="82"/>
      <c r="B766" s="82"/>
      <c r="C766" s="82"/>
      <c r="D766" s="82"/>
      <c r="E766" s="82"/>
      <c r="F766" s="82"/>
      <c r="G766" s="82"/>
      <c r="H766" s="82"/>
      <c r="I766" s="923"/>
      <c r="J766" s="923"/>
      <c r="K766" s="923"/>
      <c r="L766" s="923"/>
      <c r="M766" s="923"/>
      <c r="N766" s="923"/>
      <c r="O766" s="82"/>
      <c r="P766" s="83"/>
    </row>
    <row r="767" spans="1:16" x14ac:dyDescent="0.15">
      <c r="A767" s="82"/>
      <c r="B767" s="82"/>
      <c r="C767" s="82"/>
      <c r="D767" s="82"/>
      <c r="E767" s="82"/>
      <c r="F767" s="82"/>
      <c r="G767" s="82"/>
      <c r="H767" s="82"/>
      <c r="I767" s="923"/>
      <c r="J767" s="923"/>
      <c r="K767" s="923"/>
      <c r="L767" s="923"/>
      <c r="M767" s="923"/>
      <c r="N767" s="923"/>
      <c r="O767" s="82"/>
      <c r="P767" s="83"/>
    </row>
    <row r="768" spans="1:16" x14ac:dyDescent="0.15">
      <c r="A768" s="82"/>
      <c r="B768" s="82"/>
      <c r="C768" s="82"/>
      <c r="D768" s="82"/>
      <c r="E768" s="82"/>
      <c r="F768" s="82"/>
      <c r="G768" s="82"/>
      <c r="H768" s="82"/>
      <c r="I768" s="923"/>
      <c r="J768" s="923"/>
      <c r="K768" s="923"/>
      <c r="L768" s="923"/>
      <c r="M768" s="923"/>
      <c r="N768" s="923"/>
      <c r="O768" s="82"/>
      <c r="P768" s="83"/>
    </row>
    <row r="769" spans="1:16" x14ac:dyDescent="0.15">
      <c r="A769" s="82"/>
      <c r="B769" s="82"/>
      <c r="C769" s="82"/>
      <c r="D769" s="82"/>
      <c r="E769" s="82"/>
      <c r="F769" s="82"/>
      <c r="G769" s="82"/>
      <c r="H769" s="82"/>
      <c r="I769" s="923"/>
      <c r="J769" s="923"/>
      <c r="K769" s="923"/>
      <c r="L769" s="923"/>
      <c r="M769" s="923"/>
      <c r="N769" s="923"/>
      <c r="O769" s="82"/>
      <c r="P769" s="83"/>
    </row>
    <row r="770" spans="1:16" x14ac:dyDescent="0.15">
      <c r="A770" s="82"/>
      <c r="B770" s="82"/>
      <c r="C770" s="82"/>
      <c r="D770" s="82"/>
      <c r="E770" s="82"/>
      <c r="F770" s="82"/>
      <c r="G770" s="82"/>
      <c r="H770" s="82"/>
      <c r="I770" s="923"/>
      <c r="J770" s="923"/>
      <c r="K770" s="923"/>
      <c r="L770" s="923"/>
      <c r="M770" s="923"/>
      <c r="N770" s="923"/>
      <c r="O770" s="82"/>
      <c r="P770" s="83"/>
    </row>
    <row r="771" spans="1:16" x14ac:dyDescent="0.15">
      <c r="A771" s="82"/>
      <c r="B771" s="82"/>
      <c r="C771" s="82"/>
      <c r="D771" s="82"/>
      <c r="E771" s="82"/>
      <c r="F771" s="82"/>
      <c r="G771" s="82"/>
      <c r="H771" s="82"/>
      <c r="I771" s="923"/>
      <c r="J771" s="923"/>
      <c r="K771" s="923"/>
      <c r="L771" s="923"/>
      <c r="M771" s="923"/>
      <c r="N771" s="923"/>
      <c r="O771" s="82"/>
      <c r="P771" s="83"/>
    </row>
    <row r="772" spans="1:16" x14ac:dyDescent="0.15">
      <c r="A772" s="82"/>
      <c r="B772" s="82"/>
      <c r="C772" s="82"/>
      <c r="D772" s="82"/>
      <c r="E772" s="82"/>
      <c r="F772" s="82"/>
      <c r="G772" s="82"/>
      <c r="H772" s="82"/>
      <c r="I772" s="923"/>
      <c r="J772" s="923"/>
      <c r="K772" s="923"/>
      <c r="L772" s="923"/>
      <c r="M772" s="923"/>
      <c r="N772" s="923"/>
      <c r="O772" s="82"/>
      <c r="P772" s="83"/>
    </row>
    <row r="773" spans="1:16" x14ac:dyDescent="0.15">
      <c r="A773" s="82"/>
      <c r="B773" s="82"/>
      <c r="C773" s="82"/>
      <c r="D773" s="82"/>
      <c r="E773" s="82"/>
      <c r="F773" s="82"/>
      <c r="G773" s="82"/>
      <c r="H773" s="82"/>
      <c r="I773" s="923"/>
      <c r="J773" s="923"/>
      <c r="K773" s="923"/>
      <c r="L773" s="923"/>
      <c r="M773" s="923"/>
      <c r="N773" s="923"/>
      <c r="O773" s="82"/>
      <c r="P773" s="83"/>
    </row>
    <row r="774" spans="1:16" x14ac:dyDescent="0.15">
      <c r="A774" s="82"/>
      <c r="B774" s="82"/>
      <c r="C774" s="82"/>
      <c r="D774" s="82"/>
      <c r="E774" s="82"/>
      <c r="F774" s="82"/>
      <c r="G774" s="82"/>
      <c r="H774" s="82"/>
      <c r="I774" s="923"/>
      <c r="J774" s="923"/>
      <c r="K774" s="923"/>
      <c r="L774" s="923"/>
      <c r="M774" s="923"/>
      <c r="N774" s="923"/>
      <c r="O774" s="82"/>
      <c r="P774" s="83"/>
    </row>
    <row r="775" spans="1:16" x14ac:dyDescent="0.15">
      <c r="A775" s="82"/>
      <c r="B775" s="82"/>
      <c r="C775" s="82"/>
      <c r="D775" s="82"/>
      <c r="E775" s="82"/>
      <c r="F775" s="82"/>
      <c r="G775" s="82"/>
      <c r="H775" s="82"/>
      <c r="I775" s="923"/>
      <c r="J775" s="923"/>
      <c r="K775" s="923"/>
      <c r="L775" s="923"/>
      <c r="M775" s="923"/>
      <c r="N775" s="923"/>
      <c r="O775" s="82"/>
      <c r="P775" s="83"/>
    </row>
    <row r="776" spans="1:16" x14ac:dyDescent="0.15">
      <c r="A776" s="82"/>
      <c r="B776" s="82"/>
      <c r="C776" s="82"/>
      <c r="D776" s="82"/>
      <c r="E776" s="82"/>
      <c r="F776" s="82"/>
      <c r="G776" s="82"/>
      <c r="H776" s="82"/>
      <c r="I776" s="923"/>
      <c r="J776" s="923"/>
      <c r="K776" s="923"/>
      <c r="L776" s="923"/>
      <c r="M776" s="923"/>
      <c r="N776" s="923"/>
      <c r="O776" s="82"/>
      <c r="P776" s="83"/>
    </row>
    <row r="777" spans="1:16" x14ac:dyDescent="0.15">
      <c r="A777" s="82"/>
      <c r="B777" s="82"/>
      <c r="C777" s="82"/>
      <c r="D777" s="82"/>
      <c r="E777" s="82"/>
      <c r="F777" s="82"/>
      <c r="G777" s="82"/>
      <c r="H777" s="82"/>
      <c r="I777" s="923"/>
      <c r="J777" s="923"/>
      <c r="K777" s="923"/>
      <c r="L777" s="923"/>
      <c r="M777" s="923"/>
      <c r="N777" s="923"/>
      <c r="O777" s="82"/>
      <c r="P777" s="83"/>
    </row>
    <row r="778" spans="1:16" x14ac:dyDescent="0.15">
      <c r="A778" s="82"/>
      <c r="B778" s="82"/>
      <c r="C778" s="82"/>
      <c r="D778" s="82"/>
      <c r="E778" s="82"/>
      <c r="F778" s="82"/>
      <c r="G778" s="82"/>
      <c r="H778" s="82"/>
      <c r="I778" s="923"/>
      <c r="J778" s="923"/>
      <c r="K778" s="923"/>
      <c r="L778" s="923"/>
      <c r="M778" s="923"/>
      <c r="N778" s="923"/>
      <c r="O778" s="82"/>
      <c r="P778" s="83"/>
    </row>
    <row r="779" spans="1:16" x14ac:dyDescent="0.15">
      <c r="A779" s="82"/>
      <c r="B779" s="82"/>
      <c r="C779" s="82"/>
      <c r="D779" s="82"/>
      <c r="E779" s="82"/>
      <c r="F779" s="82"/>
      <c r="G779" s="82"/>
      <c r="H779" s="82"/>
      <c r="I779" s="923"/>
      <c r="J779" s="923"/>
      <c r="K779" s="923"/>
      <c r="L779" s="923"/>
      <c r="M779" s="923"/>
      <c r="N779" s="923"/>
      <c r="O779" s="82"/>
      <c r="P779" s="83"/>
    </row>
  </sheetData>
  <mergeCells count="66">
    <mergeCell ref="A444:B444"/>
    <mergeCell ref="A445:B445"/>
    <mergeCell ref="A436:O436"/>
    <mergeCell ref="A437:O437"/>
    <mergeCell ref="A438:O438"/>
    <mergeCell ref="A439:O439"/>
    <mergeCell ref="A390:O390"/>
    <mergeCell ref="A389:O389"/>
    <mergeCell ref="A397:B397"/>
    <mergeCell ref="A398:B398"/>
    <mergeCell ref="A392:O392"/>
    <mergeCell ref="A391:O391"/>
    <mergeCell ref="A339:O339"/>
    <mergeCell ref="A338:O338"/>
    <mergeCell ref="A346:B346"/>
    <mergeCell ref="A347:B347"/>
    <mergeCell ref="A341:O341"/>
    <mergeCell ref="A340:O340"/>
    <mergeCell ref="A292:O292"/>
    <mergeCell ref="A291:O291"/>
    <mergeCell ref="A299:B299"/>
    <mergeCell ref="A300:B300"/>
    <mergeCell ref="A294:O294"/>
    <mergeCell ref="A293:O293"/>
    <mergeCell ref="A245:O245"/>
    <mergeCell ref="A244:O244"/>
    <mergeCell ref="A252:B252"/>
    <mergeCell ref="A253:B253"/>
    <mergeCell ref="A247:O247"/>
    <mergeCell ref="A246:O246"/>
    <mergeCell ref="A197:O197"/>
    <mergeCell ref="A196:O196"/>
    <mergeCell ref="A205:B205"/>
    <mergeCell ref="A204:B204"/>
    <mergeCell ref="A199:O199"/>
    <mergeCell ref="A198:O198"/>
    <mergeCell ref="A149:O149"/>
    <mergeCell ref="A148:O148"/>
    <mergeCell ref="A156:B156"/>
    <mergeCell ref="A157:B157"/>
    <mergeCell ref="A151:O151"/>
    <mergeCell ref="A150:O150"/>
    <mergeCell ref="A101:O101"/>
    <mergeCell ref="A100:O100"/>
    <mergeCell ref="A108:B108"/>
    <mergeCell ref="A109:B109"/>
    <mergeCell ref="A103:O103"/>
    <mergeCell ref="A102:O102"/>
    <mergeCell ref="A75:B75"/>
    <mergeCell ref="A76:B76"/>
    <mergeCell ref="A67:O67"/>
    <mergeCell ref="A68:O68"/>
    <mergeCell ref="A69:O69"/>
    <mergeCell ref="A70:O70"/>
    <mergeCell ref="A35:O35"/>
    <mergeCell ref="A34:O34"/>
    <mergeCell ref="A42:B42"/>
    <mergeCell ref="A43:B43"/>
    <mergeCell ref="A37:O37"/>
    <mergeCell ref="A36:O36"/>
    <mergeCell ref="A2:O2"/>
    <mergeCell ref="A1:O1"/>
    <mergeCell ref="A9:B9"/>
    <mergeCell ref="A10:B10"/>
    <mergeCell ref="A4:O4"/>
    <mergeCell ref="A3:O3"/>
  </mergeCells>
  <phoneticPr fontId="3" type="noConversion"/>
  <printOptions horizontalCentered="1"/>
  <pageMargins left="0" right="0" top="0.7" bottom="0.25" header="0.5" footer="0.5"/>
  <pageSetup scale="85" orientation="landscape" horizontalDpi="300" verticalDpi="300" r:id="rId1"/>
  <headerFooter alignWithMargins="0"/>
  <rowBreaks count="10" manualBreakCount="10">
    <brk id="33" max="26" man="1"/>
    <brk id="66" max="26" man="1"/>
    <brk id="99" max="26" man="1"/>
    <brk id="147" max="26" man="1"/>
    <brk id="195" max="26" man="1"/>
    <brk id="243" max="26" man="1"/>
    <brk id="290" max="26" man="1"/>
    <brk id="337" max="26" man="1"/>
    <brk id="388" max="26" man="1"/>
    <brk id="435" max="26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50" sqref="C50"/>
    </sheetView>
  </sheetViews>
  <sheetFormatPr defaultColWidth="10.6640625" defaultRowHeight="12.75" x14ac:dyDescent="0.2"/>
  <cols>
    <col min="1" max="1" width="20.6640625" style="39" customWidth="1"/>
    <col min="2" max="2" width="4.83203125" style="39" customWidth="1"/>
    <col min="3" max="3" width="75.83203125" style="39" bestFit="1" customWidth="1"/>
    <col min="4" max="11" width="9.83203125" style="39" customWidth="1"/>
    <col min="12" max="12" width="1.83203125" style="39" customWidth="1"/>
    <col min="13" max="16384" width="10.6640625" style="39"/>
  </cols>
  <sheetData>
    <row r="1" spans="1:6" x14ac:dyDescent="0.2">
      <c r="A1" s="462" t="s">
        <v>1421</v>
      </c>
      <c r="B1" s="463"/>
      <c r="C1" s="463"/>
      <c r="D1" s="463"/>
      <c r="E1" s="38"/>
    </row>
    <row r="2" spans="1:6" x14ac:dyDescent="0.2">
      <c r="A2" s="464"/>
      <c r="B2" s="464"/>
      <c r="C2" s="464"/>
      <c r="D2" s="464"/>
    </row>
    <row r="3" spans="1:6" x14ac:dyDescent="0.2">
      <c r="A3" s="464"/>
      <c r="B3" s="464"/>
      <c r="C3" s="465" t="s">
        <v>1422</v>
      </c>
      <c r="D3" s="464"/>
    </row>
    <row r="4" spans="1:6" x14ac:dyDescent="0.2">
      <c r="A4" s="464"/>
      <c r="B4" s="464"/>
      <c r="C4" s="464"/>
      <c r="D4" s="464"/>
    </row>
    <row r="5" spans="1:6" x14ac:dyDescent="0.2">
      <c r="A5" s="464"/>
      <c r="B5" s="464"/>
      <c r="C5" s="465" t="s">
        <v>1424</v>
      </c>
      <c r="D5" s="464"/>
    </row>
    <row r="6" spans="1:6" x14ac:dyDescent="0.2">
      <c r="A6" s="464"/>
      <c r="B6" s="464"/>
      <c r="C6" s="464"/>
      <c r="D6" s="464"/>
    </row>
    <row r="7" spans="1:6" x14ac:dyDescent="0.2">
      <c r="A7" s="466" t="s">
        <v>476</v>
      </c>
      <c r="B7" s="464"/>
      <c r="C7" s="465" t="s">
        <v>477</v>
      </c>
      <c r="D7" s="464"/>
    </row>
    <row r="8" spans="1:6" x14ac:dyDescent="0.2">
      <c r="A8" s="464"/>
      <c r="B8" s="464"/>
      <c r="C8" s="464"/>
      <c r="D8" s="464"/>
    </row>
    <row r="9" spans="1:6" x14ac:dyDescent="0.2">
      <c r="A9" s="466" t="s">
        <v>937</v>
      </c>
      <c r="B9" s="464"/>
      <c r="C9" s="465" t="str">
        <f>+Input!C4</f>
        <v>CASE NO. 2017-xxxxx</v>
      </c>
      <c r="D9" s="464"/>
    </row>
    <row r="10" spans="1:6" x14ac:dyDescent="0.2">
      <c r="A10" s="464"/>
      <c r="B10" s="464"/>
      <c r="C10" s="464"/>
      <c r="D10" s="464"/>
    </row>
    <row r="11" spans="1:6" x14ac:dyDescent="0.2">
      <c r="A11" s="464"/>
      <c r="B11" s="464"/>
      <c r="C11" s="464"/>
      <c r="D11" s="464"/>
    </row>
    <row r="12" spans="1:6" x14ac:dyDescent="0.2">
      <c r="A12" s="466" t="s">
        <v>1425</v>
      </c>
      <c r="B12" s="464"/>
      <c r="C12" s="467" t="str">
        <f>+Input!C6</f>
        <v>TWELVE MONTHS ENDED DECEMBER 31, 2017</v>
      </c>
      <c r="D12" s="464"/>
    </row>
    <row r="13" spans="1:6" x14ac:dyDescent="0.2">
      <c r="A13" s="464"/>
      <c r="B13" s="464"/>
      <c r="C13" s="464"/>
      <c r="D13" s="464"/>
    </row>
    <row r="14" spans="1:6" x14ac:dyDescent="0.2">
      <c r="A14" s="464"/>
      <c r="B14" s="464"/>
      <c r="C14" s="464"/>
      <c r="D14" s="464"/>
    </row>
    <row r="15" spans="1:6" x14ac:dyDescent="0.2">
      <c r="A15" s="468" t="s">
        <v>479</v>
      </c>
      <c r="B15" s="464"/>
      <c r="C15" s="469" t="s">
        <v>480</v>
      </c>
      <c r="D15" s="470"/>
      <c r="E15" s="88"/>
      <c r="F15" s="88"/>
    </row>
    <row r="16" spans="1:6" x14ac:dyDescent="0.2">
      <c r="A16" s="464"/>
      <c r="B16" s="464"/>
      <c r="C16" s="464"/>
      <c r="D16" s="470"/>
      <c r="E16" s="88"/>
      <c r="F16" s="88"/>
    </row>
    <row r="17" spans="1:4" x14ac:dyDescent="0.2">
      <c r="A17" s="464"/>
      <c r="B17" s="464"/>
      <c r="C17" s="464"/>
      <c r="D17" s="464"/>
    </row>
    <row r="18" spans="1:4" x14ac:dyDescent="0.2">
      <c r="A18" s="466" t="s">
        <v>1426</v>
      </c>
      <c r="B18" s="464"/>
      <c r="C18" s="466" t="s">
        <v>1427</v>
      </c>
      <c r="D18" s="464"/>
    </row>
    <row r="19" spans="1:4" x14ac:dyDescent="0.2">
      <c r="A19" s="466" t="s">
        <v>1428</v>
      </c>
      <c r="B19" s="464"/>
      <c r="C19" s="466" t="s">
        <v>1429</v>
      </c>
      <c r="D19" s="464"/>
    </row>
    <row r="20" spans="1:4" x14ac:dyDescent="0.2">
      <c r="A20" s="466" t="s">
        <v>1430</v>
      </c>
      <c r="B20" s="464"/>
      <c r="C20" s="466" t="s">
        <v>1431</v>
      </c>
      <c r="D20" s="464"/>
    </row>
    <row r="21" spans="1:4" x14ac:dyDescent="0.2">
      <c r="A21" s="466" t="s">
        <v>1432</v>
      </c>
      <c r="B21" s="464"/>
      <c r="C21" s="466" t="s">
        <v>1433</v>
      </c>
      <c r="D21" s="464"/>
    </row>
    <row r="22" spans="1:4" x14ac:dyDescent="0.2">
      <c r="A22" s="466" t="s">
        <v>1434</v>
      </c>
      <c r="B22" s="464"/>
      <c r="C22" s="466" t="s">
        <v>1435</v>
      </c>
      <c r="D22" s="464"/>
    </row>
    <row r="23" spans="1:4" x14ac:dyDescent="0.2">
      <c r="A23" s="464"/>
      <c r="B23" s="464"/>
      <c r="C23" s="464"/>
      <c r="D23" s="464"/>
    </row>
  </sheetData>
  <phoneticPr fontId="3" type="noConversion"/>
  <printOptions horizontalCentered="1"/>
  <pageMargins left="0.5" right="0.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6"/>
  <sheetViews>
    <sheetView topLeftCell="A10" zoomScaleNormal="100" workbookViewId="0">
      <selection activeCell="F34" sqref="F34"/>
    </sheetView>
  </sheetViews>
  <sheetFormatPr defaultColWidth="10.6640625" defaultRowHeight="12.75" x14ac:dyDescent="0.2"/>
  <cols>
    <col min="1" max="1" width="5" style="464" customWidth="1"/>
    <col min="2" max="2" width="2.83203125" style="464" customWidth="1"/>
    <col min="3" max="3" width="64.6640625" style="464" bestFit="1" customWidth="1"/>
    <col min="4" max="4" width="9" style="464" bestFit="1" customWidth="1"/>
    <col min="5" max="5" width="1.6640625" style="464" customWidth="1"/>
    <col min="6" max="6" width="19" style="464" bestFit="1" customWidth="1"/>
    <col min="7" max="7" width="1.6640625" style="464" customWidth="1"/>
    <col min="8" max="8" width="14.83203125" style="464" bestFit="1" customWidth="1"/>
    <col min="9" max="9" width="1.6640625" style="464" customWidth="1"/>
    <col min="10" max="10" width="18.83203125" style="464" bestFit="1" customWidth="1"/>
    <col min="11" max="11" width="1.6640625" style="464" customWidth="1"/>
    <col min="12" max="12" width="13" style="464" bestFit="1" customWidth="1"/>
    <col min="13" max="13" width="1.6640625" style="464" customWidth="1"/>
    <col min="14" max="14" width="18.83203125" style="464" customWidth="1"/>
    <col min="15" max="15" width="1.6640625" style="464" customWidth="1"/>
    <col min="16" max="16" width="22.1640625" style="464" customWidth="1"/>
    <col min="17" max="17" width="1.6640625" style="464" customWidth="1"/>
    <col min="18" max="18" width="17.5" style="464" customWidth="1"/>
    <col min="19" max="19" width="10.6640625" style="464" customWidth="1"/>
    <col min="20" max="20" width="13.33203125" style="464" bestFit="1" customWidth="1"/>
    <col min="21" max="16384" width="10.6640625" style="464"/>
  </cols>
  <sheetData>
    <row r="1" spans="1:18" x14ac:dyDescent="0.2">
      <c r="A1" s="1433" t="s">
        <v>477</v>
      </c>
      <c r="B1" s="1433"/>
      <c r="C1" s="1433"/>
      <c r="D1" s="1433"/>
      <c r="E1" s="1433"/>
      <c r="F1" s="1433"/>
      <c r="G1" s="1433"/>
      <c r="H1" s="1433"/>
      <c r="I1" s="1433"/>
      <c r="J1" s="1433"/>
      <c r="K1" s="1433"/>
      <c r="L1" s="1433"/>
      <c r="M1" s="1433"/>
      <c r="N1" s="1433"/>
      <c r="O1" s="1433"/>
      <c r="P1" s="1433"/>
      <c r="Q1" s="1433"/>
      <c r="R1" s="1433"/>
    </row>
    <row r="2" spans="1:18" x14ac:dyDescent="0.2">
      <c r="A2" s="472" t="str">
        <f>+Input!C4</f>
        <v>CASE NO. 2017-xxxxx</v>
      </c>
      <c r="B2" s="472"/>
      <c r="C2" s="472"/>
      <c r="D2" s="473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</row>
    <row r="3" spans="1:18" x14ac:dyDescent="0.2">
      <c r="A3" s="472" t="s">
        <v>1436</v>
      </c>
      <c r="B3" s="472"/>
      <c r="C3" s="472"/>
      <c r="D3" s="474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</row>
    <row r="4" spans="1:18" x14ac:dyDescent="0.2">
      <c r="A4" s="472" t="s">
        <v>1437</v>
      </c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</row>
    <row r="5" spans="1:18" x14ac:dyDescent="0.2">
      <c r="A5" s="475" t="str">
        <f>+Input!C6</f>
        <v>TWELVE MONTHS ENDED DECEMBER 31, 2017</v>
      </c>
      <c r="B5" s="475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</row>
    <row r="6" spans="1:18" x14ac:dyDescent="0.2">
      <c r="A6" s="475"/>
      <c r="B6" s="475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</row>
    <row r="7" spans="1:18" x14ac:dyDescent="0.2">
      <c r="A7" s="476" t="s">
        <v>839</v>
      </c>
      <c r="B7" s="476"/>
      <c r="R7" s="477" t="s">
        <v>1438</v>
      </c>
    </row>
    <row r="8" spans="1:18" x14ac:dyDescent="0.2">
      <c r="A8" s="476" t="s">
        <v>490</v>
      </c>
      <c r="B8" s="476"/>
      <c r="R8" s="477" t="s">
        <v>1439</v>
      </c>
    </row>
    <row r="9" spans="1:18" x14ac:dyDescent="0.2">
      <c r="A9" s="478" t="s">
        <v>840</v>
      </c>
      <c r="B9" s="478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P9" s="479"/>
      <c r="Q9" s="479"/>
      <c r="R9" s="480" t="str">
        <f>+Input!E27</f>
        <v>WITNESS:  C. Y. LAI</v>
      </c>
    </row>
    <row r="10" spans="1:18" x14ac:dyDescent="0.2">
      <c r="F10" s="1435" t="s">
        <v>1440</v>
      </c>
      <c r="G10" s="1435"/>
      <c r="H10" s="1435"/>
      <c r="I10" s="1435"/>
      <c r="J10" s="1435"/>
      <c r="K10" s="1435"/>
      <c r="L10" s="1435"/>
      <c r="M10" s="1435"/>
      <c r="N10" s="1435"/>
      <c r="O10" s="1435"/>
      <c r="P10" s="1435"/>
      <c r="Q10" s="1435"/>
      <c r="R10" s="1435"/>
    </row>
    <row r="11" spans="1:18" x14ac:dyDescent="0.2">
      <c r="J11" s="471" t="s">
        <v>998</v>
      </c>
    </row>
    <row r="12" spans="1:18" x14ac:dyDescent="0.2">
      <c r="F12" s="471" t="s">
        <v>1441</v>
      </c>
      <c r="G12" s="470"/>
      <c r="H12" s="471" t="s">
        <v>1441</v>
      </c>
      <c r="I12" s="470"/>
      <c r="J12" s="481" t="s">
        <v>251</v>
      </c>
      <c r="K12" s="470"/>
      <c r="L12" s="471" t="s">
        <v>1441</v>
      </c>
      <c r="M12" s="470"/>
      <c r="N12" s="471"/>
      <c r="O12" s="470"/>
      <c r="P12" s="471" t="s">
        <v>1441</v>
      </c>
      <c r="R12" s="481" t="s">
        <v>1442</v>
      </c>
    </row>
    <row r="13" spans="1:18" x14ac:dyDescent="0.2">
      <c r="A13" s="471" t="s">
        <v>493</v>
      </c>
      <c r="B13" s="471"/>
      <c r="C13" s="482" t="s">
        <v>728</v>
      </c>
      <c r="F13" s="481" t="s">
        <v>851</v>
      </c>
      <c r="H13" s="471" t="s">
        <v>1446</v>
      </c>
      <c r="J13" s="481" t="s">
        <v>999</v>
      </c>
      <c r="L13" s="471" t="s">
        <v>1447</v>
      </c>
      <c r="M13" s="470"/>
      <c r="N13" s="481" t="s">
        <v>900</v>
      </c>
      <c r="O13" s="470"/>
      <c r="P13" s="481" t="s">
        <v>1405</v>
      </c>
      <c r="R13" s="481" t="s">
        <v>1445</v>
      </c>
    </row>
    <row r="14" spans="1:18" x14ac:dyDescent="0.2">
      <c r="A14" s="481" t="s">
        <v>496</v>
      </c>
      <c r="B14" s="481"/>
      <c r="C14" s="483" t="s">
        <v>729</v>
      </c>
      <c r="D14" s="471"/>
      <c r="F14" s="471" t="s">
        <v>1448</v>
      </c>
      <c r="G14" s="483"/>
      <c r="H14" s="481" t="s">
        <v>1450</v>
      </c>
      <c r="J14" s="481" t="s">
        <v>1000</v>
      </c>
      <c r="K14" s="483"/>
      <c r="L14" s="471" t="s">
        <v>1449</v>
      </c>
      <c r="M14" s="470"/>
      <c r="N14" s="481" t="s">
        <v>498</v>
      </c>
      <c r="O14" s="470"/>
      <c r="P14" s="481" t="s">
        <v>1449</v>
      </c>
      <c r="R14" s="471" t="s">
        <v>1449</v>
      </c>
    </row>
    <row r="15" spans="1:18" x14ac:dyDescent="0.2">
      <c r="A15" s="484"/>
      <c r="B15" s="484"/>
      <c r="C15" s="484"/>
      <c r="D15" s="485"/>
      <c r="E15" s="484"/>
      <c r="F15" s="485" t="s">
        <v>1451</v>
      </c>
      <c r="G15" s="484"/>
      <c r="H15" s="485" t="s">
        <v>1452</v>
      </c>
      <c r="I15" s="484"/>
      <c r="J15" s="485" t="s">
        <v>1453</v>
      </c>
      <c r="K15" s="484"/>
      <c r="L15" s="485" t="s">
        <v>1454</v>
      </c>
      <c r="M15" s="484"/>
      <c r="N15" s="485" t="s">
        <v>1455</v>
      </c>
      <c r="O15" s="484"/>
      <c r="P15" s="485" t="s">
        <v>1456</v>
      </c>
      <c r="R15" s="485" t="s">
        <v>1457</v>
      </c>
    </row>
    <row r="16" spans="1:18" x14ac:dyDescent="0.2">
      <c r="F16" s="471" t="s">
        <v>1458</v>
      </c>
      <c r="H16" s="471" t="s">
        <v>1458</v>
      </c>
      <c r="J16" s="471" t="s">
        <v>1458</v>
      </c>
      <c r="L16" s="471" t="s">
        <v>1458</v>
      </c>
      <c r="N16" s="471" t="s">
        <v>1458</v>
      </c>
      <c r="P16" s="471" t="s">
        <v>1458</v>
      </c>
      <c r="R16" s="471" t="s">
        <v>1458</v>
      </c>
    </row>
    <row r="17" spans="1:18" x14ac:dyDescent="0.2">
      <c r="A17" s="471">
        <v>1</v>
      </c>
      <c r="B17" s="471"/>
      <c r="C17" s="482" t="s">
        <v>1459</v>
      </c>
    </row>
    <row r="18" spans="1:18" x14ac:dyDescent="0.2">
      <c r="A18" s="471">
        <f t="shared" ref="A18:A52" si="0">+A17+1</f>
        <v>2</v>
      </c>
      <c r="B18" s="471"/>
      <c r="C18" s="486" t="s">
        <v>1460</v>
      </c>
      <c r="D18" s="487"/>
      <c r="F18" s="487">
        <f>+'Ann of Sales Rev D-2.1, Sht 1-6'!G24</f>
        <v>-17381365.090000033</v>
      </c>
      <c r="G18" s="487"/>
      <c r="H18" s="487">
        <v>0</v>
      </c>
      <c r="I18" s="487"/>
      <c r="J18" s="487">
        <v>0</v>
      </c>
      <c r="K18" s="487"/>
      <c r="L18" s="487">
        <v>0</v>
      </c>
      <c r="M18" s="487"/>
      <c r="N18" s="487">
        <v>0</v>
      </c>
      <c r="O18" s="487"/>
      <c r="P18" s="487">
        <v>0</v>
      </c>
      <c r="R18" s="487">
        <v>0</v>
      </c>
    </row>
    <row r="19" spans="1:18" x14ac:dyDescent="0.2">
      <c r="A19" s="471">
        <f t="shared" si="0"/>
        <v>3</v>
      </c>
      <c r="B19" s="471"/>
      <c r="C19" s="486" t="s">
        <v>1461</v>
      </c>
      <c r="D19" s="487"/>
      <c r="F19" s="487">
        <f>+'Ann of Sales Rev D-2.1, Sht 1-6'!G31</f>
        <v>-9723892.9800000042</v>
      </c>
      <c r="G19" s="487"/>
      <c r="H19" s="487">
        <v>0</v>
      </c>
      <c r="I19" s="487"/>
      <c r="J19" s="487">
        <v>0</v>
      </c>
      <c r="K19" s="487"/>
      <c r="L19" s="487">
        <v>0</v>
      </c>
      <c r="M19" s="487"/>
      <c r="N19" s="487">
        <v>0</v>
      </c>
      <c r="O19" s="487"/>
      <c r="P19" s="487">
        <v>0</v>
      </c>
      <c r="R19" s="487">
        <v>0</v>
      </c>
    </row>
    <row r="20" spans="1:18" x14ac:dyDescent="0.2">
      <c r="A20" s="471">
        <f t="shared" si="0"/>
        <v>4</v>
      </c>
      <c r="B20" s="471"/>
      <c r="C20" s="486" t="s">
        <v>1462</v>
      </c>
      <c r="D20" s="487"/>
      <c r="F20" s="487">
        <f>+'Ann of Sales Rev D-2.1, Sht 1-6'!G38</f>
        <v>-694119.64999999991</v>
      </c>
      <c r="G20" s="487"/>
      <c r="H20" s="487">
        <v>0</v>
      </c>
      <c r="I20" s="487"/>
      <c r="J20" s="487">
        <v>0</v>
      </c>
      <c r="K20" s="487"/>
      <c r="L20" s="487">
        <v>0</v>
      </c>
      <c r="M20" s="487"/>
      <c r="N20" s="487">
        <v>0</v>
      </c>
      <c r="O20" s="487"/>
      <c r="P20" s="487">
        <v>0</v>
      </c>
      <c r="R20" s="487">
        <v>0</v>
      </c>
    </row>
    <row r="21" spans="1:18" x14ac:dyDescent="0.2">
      <c r="A21" s="471">
        <f t="shared" si="0"/>
        <v>5</v>
      </c>
      <c r="B21" s="471"/>
      <c r="C21" s="486" t="s">
        <v>1463</v>
      </c>
      <c r="D21" s="488"/>
      <c r="F21" s="489">
        <f>+'Ann of Sales Rev D-2.1, Sht 1-6'!G45</f>
        <v>211100.63</v>
      </c>
      <c r="G21" s="487"/>
      <c r="H21" s="489">
        <v>0</v>
      </c>
      <c r="I21" s="487"/>
      <c r="J21" s="489">
        <v>0</v>
      </c>
      <c r="K21" s="487"/>
      <c r="L21" s="489">
        <v>0</v>
      </c>
      <c r="M21" s="487"/>
      <c r="N21" s="489">
        <v>0</v>
      </c>
      <c r="O21" s="487"/>
      <c r="P21" s="489">
        <v>0</v>
      </c>
      <c r="R21" s="489">
        <v>0</v>
      </c>
    </row>
    <row r="22" spans="1:18" x14ac:dyDescent="0.2">
      <c r="A22" s="471">
        <f t="shared" si="0"/>
        <v>6</v>
      </c>
      <c r="B22" s="471"/>
      <c r="C22" s="490" t="s">
        <v>1464</v>
      </c>
      <c r="D22" s="487"/>
      <c r="F22" s="487">
        <f>SUM(F18:F21)</f>
        <v>-27588277.090000037</v>
      </c>
      <c r="G22" s="487"/>
      <c r="H22" s="487">
        <f>SUM(H18:H21)</f>
        <v>0</v>
      </c>
      <c r="I22" s="487"/>
      <c r="J22" s="487">
        <f>SUM(J18:J21)</f>
        <v>0</v>
      </c>
      <c r="K22" s="487"/>
      <c r="L22" s="487">
        <f>SUM(L18:L21)</f>
        <v>0</v>
      </c>
      <c r="M22" s="487"/>
      <c r="N22" s="487">
        <f>SUM(N18:N21)</f>
        <v>0</v>
      </c>
      <c r="O22" s="487"/>
      <c r="P22" s="487">
        <f>SUM(P18:P21)</f>
        <v>0</v>
      </c>
      <c r="R22" s="487">
        <f>SUM(R18:R21)</f>
        <v>0</v>
      </c>
    </row>
    <row r="23" spans="1:18" x14ac:dyDescent="0.2">
      <c r="A23" s="471"/>
      <c r="B23" s="471"/>
      <c r="D23" s="487"/>
      <c r="F23" s="487"/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R23" s="487"/>
    </row>
    <row r="24" spans="1:18" x14ac:dyDescent="0.2">
      <c r="A24" s="471">
        <f>A22+1</f>
        <v>7</v>
      </c>
      <c r="B24" s="471"/>
      <c r="C24" s="482" t="s">
        <v>1465</v>
      </c>
      <c r="D24" s="487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R24" s="487"/>
    </row>
    <row r="25" spans="1:18" x14ac:dyDescent="0.2">
      <c r="A25" s="471">
        <f t="shared" si="0"/>
        <v>8</v>
      </c>
      <c r="B25" s="471"/>
      <c r="C25" s="486" t="s">
        <v>768</v>
      </c>
      <c r="D25" s="487"/>
      <c r="F25" s="487">
        <v>0</v>
      </c>
      <c r="G25" s="487"/>
      <c r="H25" s="487">
        <v>0</v>
      </c>
      <c r="I25" s="487"/>
      <c r="J25" s="487">
        <v>0</v>
      </c>
      <c r="K25" s="487"/>
      <c r="L25" s="487">
        <v>0</v>
      </c>
      <c r="M25" s="487"/>
      <c r="N25" s="487">
        <v>0</v>
      </c>
      <c r="O25" s="487"/>
      <c r="P25" s="487">
        <v>0</v>
      </c>
      <c r="R25" s="487">
        <v>0</v>
      </c>
    </row>
    <row r="26" spans="1:18" x14ac:dyDescent="0.2">
      <c r="A26" s="471">
        <f t="shared" si="0"/>
        <v>9</v>
      </c>
      <c r="B26" s="471"/>
      <c r="C26" s="486" t="s">
        <v>1466</v>
      </c>
      <c r="D26" s="487"/>
      <c r="F26" s="487">
        <f>+'Ann of Sales Rev D-2.1, Sht 1-6'!G94</f>
        <v>0</v>
      </c>
      <c r="G26" s="487"/>
      <c r="H26" s="487">
        <v>0</v>
      </c>
      <c r="I26" s="487"/>
      <c r="J26" s="487">
        <v>0</v>
      </c>
      <c r="K26" s="487"/>
      <c r="L26" s="487">
        <v>0</v>
      </c>
      <c r="M26" s="487"/>
      <c r="N26" s="487">
        <v>0</v>
      </c>
      <c r="O26" s="487"/>
      <c r="P26" s="487">
        <v>0</v>
      </c>
      <c r="R26" s="487">
        <v>0</v>
      </c>
    </row>
    <row r="27" spans="1:18" x14ac:dyDescent="0.2">
      <c r="A27" s="471">
        <f t="shared" si="0"/>
        <v>10</v>
      </c>
      <c r="B27" s="471"/>
      <c r="C27" s="486" t="s">
        <v>1474</v>
      </c>
      <c r="D27" s="488"/>
      <c r="F27" s="488">
        <f>+'Ann of Sales Rev D-2.1, Sht 1-6'!G81</f>
        <v>-418617.71000000089</v>
      </c>
      <c r="G27" s="487"/>
      <c r="H27" s="487">
        <v>0</v>
      </c>
      <c r="I27" s="487"/>
      <c r="J27" s="487">
        <v>0</v>
      </c>
      <c r="K27" s="487"/>
      <c r="L27" s="487">
        <v>0</v>
      </c>
      <c r="M27" s="487"/>
      <c r="N27" s="488">
        <v>0</v>
      </c>
      <c r="O27" s="487"/>
      <c r="P27" s="488">
        <v>0</v>
      </c>
      <c r="R27" s="487">
        <v>0</v>
      </c>
    </row>
    <row r="28" spans="1:18" x14ac:dyDescent="0.2">
      <c r="A28" s="471">
        <f t="shared" si="0"/>
        <v>11</v>
      </c>
      <c r="B28" s="471"/>
      <c r="C28" s="486" t="s">
        <v>1475</v>
      </c>
      <c r="D28" s="488"/>
      <c r="F28" s="491">
        <f>+'Ann of Sales Rev D-2.1, Sht 1-6'!G124</f>
        <v>-15861280</v>
      </c>
      <c r="G28" s="487"/>
      <c r="H28" s="491">
        <v>0</v>
      </c>
      <c r="I28" s="487"/>
      <c r="J28" s="491">
        <v>0</v>
      </c>
      <c r="K28" s="487"/>
      <c r="L28" s="491">
        <v>0</v>
      </c>
      <c r="M28" s="487"/>
      <c r="N28" s="491">
        <v>0</v>
      </c>
      <c r="O28" s="487"/>
      <c r="P28" s="491">
        <v>0</v>
      </c>
      <c r="R28" s="491">
        <v>0</v>
      </c>
    </row>
    <row r="29" spans="1:18" x14ac:dyDescent="0.2">
      <c r="A29" s="471">
        <f t="shared" si="0"/>
        <v>12</v>
      </c>
      <c r="B29" s="471"/>
      <c r="C29" s="490" t="s">
        <v>557</v>
      </c>
      <c r="D29" s="488"/>
      <c r="F29" s="488">
        <f>SUM(F25:F28)</f>
        <v>-16279897.710000001</v>
      </c>
      <c r="G29" s="487"/>
      <c r="H29" s="488">
        <f>SUM(H25:H28)</f>
        <v>0</v>
      </c>
      <c r="I29" s="488"/>
      <c r="J29" s="488">
        <f>SUM(J25:J28)</f>
        <v>0</v>
      </c>
      <c r="K29" s="488"/>
      <c r="L29" s="488">
        <f>SUM(L25:L28)</f>
        <v>0</v>
      </c>
      <c r="M29" s="488"/>
      <c r="N29" s="488">
        <f>SUM(N25:N28)</f>
        <v>0</v>
      </c>
      <c r="O29" s="488"/>
      <c r="P29" s="488">
        <f>SUM(P25:P28)</f>
        <v>0</v>
      </c>
      <c r="R29" s="488">
        <f>SUM(R25:R28)</f>
        <v>0</v>
      </c>
    </row>
    <row r="30" spans="1:18" x14ac:dyDescent="0.2">
      <c r="A30" s="471"/>
      <c r="B30" s="471"/>
      <c r="D30" s="487"/>
      <c r="F30" s="491"/>
      <c r="G30" s="487"/>
      <c r="H30" s="487"/>
      <c r="J30" s="487"/>
      <c r="K30" s="487"/>
      <c r="L30" s="487"/>
      <c r="N30" s="487"/>
      <c r="O30" s="487"/>
      <c r="P30" s="487"/>
      <c r="R30" s="487"/>
    </row>
    <row r="31" spans="1:18" x14ac:dyDescent="0.2">
      <c r="A31" s="471">
        <f>A29+1</f>
        <v>13</v>
      </c>
      <c r="B31" s="471"/>
      <c r="C31" s="490" t="s">
        <v>1476</v>
      </c>
      <c r="D31" s="487"/>
      <c r="F31" s="492">
        <f>F22+F29</f>
        <v>-43868174.800000042</v>
      </c>
      <c r="G31" s="487"/>
      <c r="H31" s="492">
        <f>H22+H29</f>
        <v>0</v>
      </c>
      <c r="I31" s="487"/>
      <c r="J31" s="492">
        <f>J22+J29</f>
        <v>0</v>
      </c>
      <c r="K31" s="487"/>
      <c r="L31" s="492">
        <f>L22+L29</f>
        <v>0</v>
      </c>
      <c r="M31" s="487"/>
      <c r="N31" s="492">
        <f>N22+N29</f>
        <v>0</v>
      </c>
      <c r="O31" s="487"/>
      <c r="P31" s="492">
        <f>P22+P29</f>
        <v>0</v>
      </c>
      <c r="R31" s="492">
        <f>R22+R29</f>
        <v>0</v>
      </c>
    </row>
    <row r="32" spans="1:18" x14ac:dyDescent="0.2">
      <c r="A32" s="471"/>
      <c r="B32" s="471"/>
      <c r="D32" s="487"/>
      <c r="F32" s="487"/>
      <c r="G32" s="487"/>
      <c r="H32" s="487"/>
      <c r="I32" s="487"/>
      <c r="J32" s="487"/>
      <c r="K32" s="487"/>
      <c r="L32" s="487"/>
      <c r="M32" s="487"/>
      <c r="N32" s="487"/>
      <c r="O32" s="487"/>
      <c r="P32" s="487"/>
      <c r="R32" s="487"/>
    </row>
    <row r="33" spans="1:18" x14ac:dyDescent="0.2">
      <c r="A33" s="471">
        <f>A31+1</f>
        <v>14</v>
      </c>
      <c r="B33" s="471"/>
      <c r="C33" s="482" t="s">
        <v>504</v>
      </c>
      <c r="D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R33" s="487"/>
    </row>
    <row r="34" spans="1:18" x14ac:dyDescent="0.2">
      <c r="A34" s="471">
        <f t="shared" si="0"/>
        <v>15</v>
      </c>
      <c r="B34" s="471"/>
      <c r="C34" s="486" t="s">
        <v>1477</v>
      </c>
      <c r="D34" s="487"/>
      <c r="F34" s="487">
        <f>+'Ann of Sales Rev D-2.1, Sht 1-6'!G157</f>
        <v>59909589.239999995</v>
      </c>
      <c r="G34" s="487"/>
      <c r="H34" s="487">
        <f>'Labor Adj D-2.2'!F20</f>
        <v>998</v>
      </c>
      <c r="I34" s="487"/>
      <c r="J34" s="487">
        <v>0</v>
      </c>
      <c r="K34" s="487"/>
      <c r="L34" s="487">
        <v>0</v>
      </c>
      <c r="M34" s="487"/>
      <c r="N34" s="487">
        <v>0</v>
      </c>
      <c r="O34" s="487"/>
      <c r="P34" s="487">
        <v>0</v>
      </c>
      <c r="R34" s="487">
        <v>0</v>
      </c>
    </row>
    <row r="35" spans="1:18" x14ac:dyDescent="0.2">
      <c r="A35" s="471">
        <f t="shared" si="0"/>
        <v>16</v>
      </c>
      <c r="B35" s="471"/>
      <c r="C35" s="486" t="s">
        <v>1478</v>
      </c>
      <c r="D35" s="487"/>
      <c r="F35" s="487">
        <v>0</v>
      </c>
      <c r="G35" s="487"/>
      <c r="H35" s="487">
        <v>0</v>
      </c>
      <c r="I35" s="487"/>
      <c r="J35" s="487">
        <v>0</v>
      </c>
      <c r="K35" s="487"/>
      <c r="L35" s="487">
        <v>0</v>
      </c>
      <c r="M35" s="487"/>
      <c r="N35" s="487">
        <v>0</v>
      </c>
      <c r="O35" s="487"/>
      <c r="P35" s="487">
        <v>0</v>
      </c>
      <c r="R35" s="487">
        <v>0</v>
      </c>
    </row>
    <row r="36" spans="1:18" x14ac:dyDescent="0.2">
      <c r="A36" s="471">
        <f t="shared" si="0"/>
        <v>17</v>
      </c>
      <c r="B36" s="471"/>
      <c r="C36" s="486" t="s">
        <v>1479</v>
      </c>
      <c r="D36" s="487"/>
      <c r="F36" s="487">
        <v>0</v>
      </c>
      <c r="G36" s="487"/>
      <c r="H36" s="487">
        <f>'Labor Adj D-2.2'!F22</f>
        <v>387849</v>
      </c>
      <c r="I36" s="487"/>
      <c r="J36" s="487">
        <v>0</v>
      </c>
      <c r="K36" s="487"/>
      <c r="L36" s="487">
        <v>0</v>
      </c>
      <c r="M36" s="487"/>
      <c r="N36" s="487">
        <v>0</v>
      </c>
      <c r="O36" s="487"/>
      <c r="P36" s="487">
        <v>0</v>
      </c>
      <c r="R36" s="487">
        <v>0</v>
      </c>
    </row>
    <row r="37" spans="1:18" x14ac:dyDescent="0.2">
      <c r="A37" s="471">
        <f t="shared" si="0"/>
        <v>18</v>
      </c>
      <c r="B37" s="471"/>
      <c r="C37" s="486" t="s">
        <v>1480</v>
      </c>
      <c r="D37" s="487"/>
      <c r="F37" s="487">
        <f>+'Ann of Sales Rev D-2.1, Sht 1-6'!G201</f>
        <v>-518608.09</v>
      </c>
      <c r="G37" s="487"/>
      <c r="H37" s="487">
        <f>'Labor Adj D-2.2'!F24</f>
        <v>61817</v>
      </c>
      <c r="I37" s="487"/>
      <c r="J37" s="487">
        <v>0</v>
      </c>
      <c r="K37" s="487"/>
      <c r="L37" s="487">
        <v>0</v>
      </c>
      <c r="M37" s="487"/>
      <c r="N37" s="488">
        <f>+'Postage D-2.5'!F32</f>
        <v>19342</v>
      </c>
      <c r="O37" s="487"/>
      <c r="P37" s="487">
        <v>0</v>
      </c>
      <c r="R37" s="487">
        <v>0</v>
      </c>
    </row>
    <row r="38" spans="1:18" x14ac:dyDescent="0.2">
      <c r="A38" s="471">
        <f t="shared" si="0"/>
        <v>19</v>
      </c>
      <c r="B38" s="471"/>
      <c r="C38" s="486" t="s">
        <v>1481</v>
      </c>
      <c r="D38" s="487"/>
      <c r="F38" s="487">
        <v>0</v>
      </c>
      <c r="G38" s="487"/>
      <c r="H38" s="487">
        <f>'Labor Adj D-2.2'!F26</f>
        <v>13767</v>
      </c>
      <c r="I38" s="487"/>
      <c r="J38" s="487">
        <v>0</v>
      </c>
      <c r="K38" s="487"/>
      <c r="L38" s="487">
        <v>0</v>
      </c>
      <c r="M38" s="487"/>
      <c r="N38" s="487">
        <v>0</v>
      </c>
      <c r="O38" s="487"/>
      <c r="P38" s="487">
        <v>0</v>
      </c>
      <c r="R38" s="487">
        <v>0</v>
      </c>
    </row>
    <row r="39" spans="1:18" x14ac:dyDescent="0.2">
      <c r="A39" s="471">
        <f t="shared" si="0"/>
        <v>20</v>
      </c>
      <c r="B39" s="471"/>
      <c r="C39" s="486" t="s">
        <v>1482</v>
      </c>
      <c r="D39" s="488"/>
      <c r="E39" s="470"/>
      <c r="F39" s="488">
        <v>0</v>
      </c>
      <c r="G39" s="488"/>
      <c r="H39" s="488">
        <f>'Labor Adj D-2.2'!F28</f>
        <v>733</v>
      </c>
      <c r="I39" s="488"/>
      <c r="J39" s="488">
        <v>0</v>
      </c>
      <c r="K39" s="488"/>
      <c r="L39" s="488">
        <v>0</v>
      </c>
      <c r="M39" s="488"/>
      <c r="N39" s="488">
        <v>0</v>
      </c>
      <c r="O39" s="488"/>
      <c r="P39" s="488">
        <v>0</v>
      </c>
      <c r="R39" s="488">
        <v>0</v>
      </c>
    </row>
    <row r="40" spans="1:18" x14ac:dyDescent="0.2">
      <c r="A40" s="471">
        <f t="shared" si="0"/>
        <v>21</v>
      </c>
      <c r="B40" s="471"/>
      <c r="C40" s="486" t="s">
        <v>1483</v>
      </c>
      <c r="D40" s="488"/>
      <c r="F40" s="488" t="e">
        <f>+'Ann of Sales Rev D-2.1, Sht 1-6'!G234</f>
        <v>#REF!</v>
      </c>
      <c r="G40" s="487"/>
      <c r="H40" s="488">
        <f>'Labor Adj D-2.2'!F30</f>
        <v>79022</v>
      </c>
      <c r="I40" s="487"/>
      <c r="J40" s="487">
        <f>+'Bonus Accrual-Incen Comp  D-2.3'!E33</f>
        <v>-213126</v>
      </c>
      <c r="K40" s="487"/>
      <c r="L40" s="488">
        <f>+'Benefits Adj D-2.4'!U43</f>
        <v>1646119</v>
      </c>
      <c r="M40" s="487"/>
      <c r="N40" s="488">
        <v>0</v>
      </c>
      <c r="O40" s="487"/>
      <c r="P40" s="488">
        <v>0</v>
      </c>
      <c r="R40" s="488">
        <f>+'Rate Case Expense D-2.7'!F38</f>
        <v>87871</v>
      </c>
    </row>
    <row r="41" spans="1:18" x14ac:dyDescent="0.2">
      <c r="A41" s="471">
        <f t="shared" si="0"/>
        <v>22</v>
      </c>
      <c r="B41" s="471"/>
      <c r="C41" s="486" t="s">
        <v>1484</v>
      </c>
      <c r="D41" s="487"/>
      <c r="F41" s="487">
        <v>0</v>
      </c>
      <c r="G41" s="487"/>
      <c r="H41" s="487">
        <v>0</v>
      </c>
      <c r="I41" s="487"/>
      <c r="J41" s="487">
        <v>0</v>
      </c>
      <c r="K41" s="487"/>
      <c r="L41" s="487">
        <v>0</v>
      </c>
      <c r="M41" s="487"/>
      <c r="N41" s="487">
        <v>0</v>
      </c>
      <c r="O41" s="487"/>
      <c r="P41" s="487">
        <f>+'Depr Exp Adj D-2.6'!F26</f>
        <v>-4023320.5799999991</v>
      </c>
      <c r="R41" s="487">
        <v>0</v>
      </c>
    </row>
    <row r="42" spans="1:18" x14ac:dyDescent="0.2">
      <c r="A42" s="471">
        <f t="shared" si="0"/>
        <v>23</v>
      </c>
      <c r="B42" s="471"/>
      <c r="C42" s="482" t="s">
        <v>1485</v>
      </c>
      <c r="D42" s="487"/>
      <c r="F42" s="487"/>
      <c r="G42" s="487"/>
      <c r="H42" s="487"/>
      <c r="I42" s="487"/>
      <c r="J42" s="487"/>
      <c r="K42" s="487"/>
      <c r="L42" s="487"/>
      <c r="M42" s="487"/>
      <c r="N42" s="487"/>
      <c r="O42" s="487"/>
      <c r="P42" s="487"/>
      <c r="R42" s="487"/>
    </row>
    <row r="43" spans="1:18" x14ac:dyDescent="0.2">
      <c r="A43" s="471">
        <f t="shared" si="0"/>
        <v>24</v>
      </c>
      <c r="B43" s="471"/>
      <c r="C43" s="486" t="s">
        <v>1389</v>
      </c>
      <c r="D43" s="487"/>
      <c r="F43" s="487">
        <v>0</v>
      </c>
      <c r="G43" s="487"/>
      <c r="H43" s="487">
        <v>0</v>
      </c>
      <c r="I43" s="487"/>
      <c r="J43" s="487">
        <v>0</v>
      </c>
      <c r="K43" s="487"/>
      <c r="L43" s="487">
        <v>0</v>
      </c>
      <c r="M43" s="487"/>
      <c r="N43" s="487">
        <v>0</v>
      </c>
      <c r="O43" s="487"/>
      <c r="P43" s="487">
        <v>0</v>
      </c>
      <c r="R43" s="487">
        <v>0</v>
      </c>
    </row>
    <row r="44" spans="1:18" x14ac:dyDescent="0.2">
      <c r="A44" s="471">
        <f t="shared" si="0"/>
        <v>25</v>
      </c>
      <c r="B44" s="471"/>
      <c r="C44" s="486" t="s">
        <v>1486</v>
      </c>
      <c r="D44" s="487"/>
      <c r="F44" s="487">
        <v>0</v>
      </c>
      <c r="G44" s="487"/>
      <c r="H44" s="487">
        <v>0</v>
      </c>
      <c r="I44" s="487"/>
      <c r="J44" s="487">
        <v>0</v>
      </c>
      <c r="K44" s="487"/>
      <c r="L44" s="487">
        <v>0</v>
      </c>
      <c r="M44" s="487"/>
      <c r="N44" s="487">
        <v>0</v>
      </c>
      <c r="O44" s="487"/>
      <c r="P44" s="487">
        <v>0</v>
      </c>
      <c r="R44" s="487">
        <v>0</v>
      </c>
    </row>
    <row r="45" spans="1:18" x14ac:dyDescent="0.2">
      <c r="A45" s="471">
        <f t="shared" si="0"/>
        <v>26</v>
      </c>
      <c r="B45" s="471"/>
      <c r="C45" s="486" t="s">
        <v>992</v>
      </c>
      <c r="D45" s="487"/>
      <c r="F45" s="487">
        <v>0</v>
      </c>
      <c r="G45" s="487"/>
      <c r="H45" s="487">
        <v>0</v>
      </c>
      <c r="I45" s="487"/>
      <c r="J45" s="487">
        <v>0</v>
      </c>
      <c r="K45" s="487"/>
      <c r="L45" s="487">
        <v>0</v>
      </c>
      <c r="M45" s="487"/>
      <c r="N45" s="487">
        <v>0</v>
      </c>
      <c r="O45" s="487"/>
      <c r="P45" s="487">
        <v>0</v>
      </c>
      <c r="R45" s="487">
        <v>0</v>
      </c>
    </row>
    <row r="46" spans="1:18" x14ac:dyDescent="0.2">
      <c r="A46" s="471">
        <f t="shared" si="0"/>
        <v>27</v>
      </c>
      <c r="B46" s="471"/>
      <c r="C46" s="490" t="s">
        <v>1487</v>
      </c>
      <c r="D46" s="487"/>
      <c r="F46" s="492" t="e">
        <f>SUM(F34:F45)</f>
        <v>#REF!</v>
      </c>
      <c r="G46" s="487"/>
      <c r="H46" s="492">
        <f>SUM(H34:H45)</f>
        <v>544186</v>
      </c>
      <c r="I46" s="487"/>
      <c r="J46" s="492">
        <f>SUM(J34:J45)</f>
        <v>-213126</v>
      </c>
      <c r="K46" s="487"/>
      <c r="L46" s="492">
        <f>SUM(L34:L45)</f>
        <v>1646119</v>
      </c>
      <c r="M46" s="487"/>
      <c r="N46" s="492">
        <f>SUM(N34:N45)</f>
        <v>19342</v>
      </c>
      <c r="O46" s="487"/>
      <c r="P46" s="492">
        <f>SUM(P34:P45)</f>
        <v>-4023320.5799999991</v>
      </c>
      <c r="R46" s="492">
        <f>SUM(R34:R45)</f>
        <v>87871</v>
      </c>
    </row>
    <row r="47" spans="1:18" x14ac:dyDescent="0.2">
      <c r="A47" s="471"/>
      <c r="B47" s="471"/>
      <c r="C47" s="482"/>
      <c r="D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R47" s="487"/>
    </row>
    <row r="48" spans="1:18" x14ac:dyDescent="0.2">
      <c r="A48" s="471">
        <f>A46+1</f>
        <v>28</v>
      </c>
      <c r="B48" s="471"/>
      <c r="C48" s="490" t="s">
        <v>837</v>
      </c>
      <c r="D48" s="487"/>
      <c r="F48" s="491" t="e">
        <f>F31-F46</f>
        <v>#REF!</v>
      </c>
      <c r="G48" s="487"/>
      <c r="H48" s="491">
        <f>H31-H46</f>
        <v>-544186</v>
      </c>
      <c r="I48" s="487"/>
      <c r="J48" s="491">
        <f>J31-J46</f>
        <v>213126</v>
      </c>
      <c r="K48" s="487"/>
      <c r="L48" s="491">
        <f>L31-L46</f>
        <v>-1646119</v>
      </c>
      <c r="M48" s="487"/>
      <c r="N48" s="491">
        <f>N31-N46</f>
        <v>-19342</v>
      </c>
      <c r="O48" s="487"/>
      <c r="P48" s="491">
        <f>P31-P46</f>
        <v>4023320.5799999991</v>
      </c>
      <c r="R48" s="491">
        <f>R31-R46</f>
        <v>-87871</v>
      </c>
    </row>
    <row r="49" spans="1:18" x14ac:dyDescent="0.2">
      <c r="A49" s="471"/>
      <c r="B49" s="471"/>
      <c r="D49" s="487"/>
      <c r="G49" s="487"/>
      <c r="H49" s="487"/>
      <c r="I49" s="487"/>
      <c r="J49" s="487"/>
      <c r="K49" s="487"/>
      <c r="L49" s="487"/>
      <c r="M49" s="487"/>
      <c r="N49" s="487"/>
      <c r="O49" s="487"/>
      <c r="P49" s="487"/>
      <c r="R49" s="487"/>
    </row>
    <row r="50" spans="1:18" x14ac:dyDescent="0.2">
      <c r="A50" s="471">
        <f>A48+1</f>
        <v>29</v>
      </c>
      <c r="B50" s="471"/>
      <c r="C50" s="482" t="s">
        <v>1488</v>
      </c>
      <c r="D50" s="487"/>
      <c r="F50" s="487"/>
      <c r="G50" s="487"/>
      <c r="H50" s="487"/>
      <c r="I50" s="487"/>
      <c r="J50" s="487"/>
      <c r="K50" s="487"/>
      <c r="L50" s="487"/>
      <c r="M50" s="487"/>
      <c r="N50" s="487"/>
      <c r="O50" s="487"/>
      <c r="P50" s="487"/>
      <c r="R50" s="487"/>
    </row>
    <row r="51" spans="1:18" x14ac:dyDescent="0.2">
      <c r="A51" s="471">
        <f t="shared" si="0"/>
        <v>30</v>
      </c>
      <c r="B51" s="471"/>
      <c r="C51" s="486" t="s">
        <v>1489</v>
      </c>
      <c r="D51" s="493"/>
      <c r="F51" s="487" t="e">
        <f>(F48-F52)*$D$56</f>
        <v>#REF!</v>
      </c>
      <c r="G51" s="487"/>
      <c r="H51" s="487">
        <f>(H48-H52)*$D$56</f>
        <v>-179037.19399999999</v>
      </c>
      <c r="I51" s="487"/>
      <c r="J51" s="487">
        <f>(J48-J52)*$D$56</f>
        <v>70118.453999999998</v>
      </c>
      <c r="K51" s="487"/>
      <c r="L51" s="487">
        <f>(L48-L52)*$D$56</f>
        <v>-541573.15099999995</v>
      </c>
      <c r="M51" s="487"/>
      <c r="N51" s="487">
        <f>(N48-N52)*$D$115</f>
        <v>-6363.5179999999991</v>
      </c>
      <c r="O51" s="487"/>
      <c r="P51" s="487">
        <f>(P48-P52)*$D$115</f>
        <v>1323672.4708199997</v>
      </c>
      <c r="R51" s="487">
        <f>(R48-R52)*$D$56</f>
        <v>-28909.559000000001</v>
      </c>
    </row>
    <row r="52" spans="1:18" x14ac:dyDescent="0.2">
      <c r="A52" s="471">
        <f t="shared" si="0"/>
        <v>31</v>
      </c>
      <c r="B52" s="471"/>
      <c r="C52" s="486" t="s">
        <v>1490</v>
      </c>
      <c r="D52" s="487"/>
      <c r="F52" s="491" t="e">
        <f>F48*$D$58</f>
        <v>#REF!</v>
      </c>
      <c r="G52" s="487"/>
      <c r="H52" s="491">
        <f>H48*$D$58</f>
        <v>-32651.16</v>
      </c>
      <c r="I52" s="487"/>
      <c r="J52" s="491">
        <f>J48*$D$58</f>
        <v>12787.56</v>
      </c>
      <c r="K52" s="487"/>
      <c r="L52" s="491">
        <f>L48*$D$58</f>
        <v>-98767.14</v>
      </c>
      <c r="M52" s="487"/>
      <c r="N52" s="491">
        <f>N48*$D$117</f>
        <v>-1160.52</v>
      </c>
      <c r="O52" s="487"/>
      <c r="P52" s="491">
        <f>P48*$D$117</f>
        <v>241399.23479999995</v>
      </c>
      <c r="R52" s="491">
        <f>R48*$D$58</f>
        <v>-5272.26</v>
      </c>
    </row>
    <row r="53" spans="1:18" x14ac:dyDescent="0.2">
      <c r="A53" s="471"/>
      <c r="B53" s="471"/>
      <c r="D53" s="487"/>
      <c r="F53" s="487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R53" s="487"/>
    </row>
    <row r="54" spans="1:18" ht="13.5" thickBot="1" x14ac:dyDescent="0.25">
      <c r="A54" s="471">
        <f>A52+1</f>
        <v>32</v>
      </c>
      <c r="B54" s="471"/>
      <c r="C54" s="490" t="s">
        <v>519</v>
      </c>
      <c r="D54" s="487"/>
      <c r="F54" s="494" t="e">
        <f>F48-F51-F52</f>
        <v>#REF!</v>
      </c>
      <c r="G54" s="487"/>
      <c r="H54" s="494">
        <f>H48-H51-H52</f>
        <v>-332497.64600000001</v>
      </c>
      <c r="I54" s="487"/>
      <c r="J54" s="494">
        <f>J48-J51-J52</f>
        <v>130219.986</v>
      </c>
      <c r="K54" s="487"/>
      <c r="L54" s="494">
        <f>L48-L51-L52</f>
        <v>-1005778.7089999999</v>
      </c>
      <c r="M54" s="487"/>
      <c r="N54" s="494">
        <f>N48-N51-N52</f>
        <v>-11817.962</v>
      </c>
      <c r="O54" s="487"/>
      <c r="P54" s="494">
        <f>P48-P51-P52</f>
        <v>2458248.8743799999</v>
      </c>
      <c r="R54" s="494">
        <f>R48-R51-R52</f>
        <v>-53689.180999999997</v>
      </c>
    </row>
    <row r="55" spans="1:18" ht="13.5" thickTop="1" x14ac:dyDescent="0.2">
      <c r="A55" s="471"/>
      <c r="B55" s="471"/>
      <c r="C55" s="482"/>
      <c r="D55" s="495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8"/>
    </row>
    <row r="56" spans="1:18" x14ac:dyDescent="0.2">
      <c r="A56" s="471">
        <f>A54+1</f>
        <v>33</v>
      </c>
      <c r="B56" s="471"/>
      <c r="C56" s="464" t="s">
        <v>1491</v>
      </c>
      <c r="D56" s="495">
        <v>0.35</v>
      </c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8"/>
    </row>
    <row r="57" spans="1:18" x14ac:dyDescent="0.2">
      <c r="A57" s="471"/>
      <c r="B57" s="471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</row>
    <row r="58" spans="1:18" x14ac:dyDescent="0.2">
      <c r="A58" s="471">
        <f>A56+1</f>
        <v>34</v>
      </c>
      <c r="B58" s="471"/>
      <c r="C58" s="464" t="s">
        <v>1492</v>
      </c>
      <c r="D58" s="495">
        <v>0.06</v>
      </c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</row>
    <row r="60" spans="1:18" x14ac:dyDescent="0.2">
      <c r="A60" s="471"/>
      <c r="B60" s="471"/>
      <c r="D60" s="487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</row>
    <row r="61" spans="1:18" x14ac:dyDescent="0.2">
      <c r="A61" s="1433" t="s">
        <v>477</v>
      </c>
      <c r="B61" s="1433"/>
      <c r="C61" s="1433"/>
      <c r="D61" s="1433"/>
      <c r="E61" s="1433"/>
      <c r="F61" s="1433"/>
      <c r="G61" s="1433"/>
      <c r="H61" s="1433"/>
      <c r="I61" s="1433"/>
      <c r="J61" s="1433"/>
      <c r="K61" s="1433"/>
      <c r="L61" s="1433"/>
      <c r="M61" s="1433"/>
      <c r="N61" s="1433"/>
      <c r="O61" s="1433"/>
      <c r="P61" s="1433"/>
      <c r="Q61" s="1433"/>
      <c r="R61" s="1433"/>
    </row>
    <row r="62" spans="1:18" x14ac:dyDescent="0.2">
      <c r="A62" s="1433" t="str">
        <f>+Input!C4</f>
        <v>CASE NO. 2017-xxxxx</v>
      </c>
      <c r="B62" s="1433"/>
      <c r="C62" s="1433"/>
      <c r="D62" s="1433"/>
      <c r="E62" s="1433"/>
      <c r="F62" s="1433"/>
      <c r="G62" s="1433"/>
      <c r="H62" s="1433"/>
      <c r="I62" s="1433"/>
      <c r="J62" s="1433"/>
      <c r="K62" s="1433"/>
      <c r="L62" s="1433"/>
      <c r="M62" s="1433"/>
      <c r="N62" s="1433"/>
      <c r="O62" s="1433"/>
      <c r="P62" s="1433"/>
      <c r="Q62" s="1433"/>
      <c r="R62" s="1433"/>
    </row>
    <row r="63" spans="1:18" x14ac:dyDescent="0.2">
      <c r="A63" s="1433" t="s">
        <v>1436</v>
      </c>
      <c r="B63" s="1433"/>
      <c r="C63" s="1433"/>
      <c r="D63" s="1433"/>
      <c r="E63" s="1433"/>
      <c r="F63" s="1433"/>
      <c r="G63" s="1433"/>
      <c r="H63" s="1433"/>
      <c r="I63" s="1433"/>
      <c r="J63" s="1433"/>
      <c r="K63" s="1433"/>
      <c r="L63" s="1433"/>
      <c r="M63" s="1433"/>
      <c r="N63" s="1433"/>
      <c r="O63" s="1433"/>
      <c r="P63" s="1433"/>
      <c r="Q63" s="1433"/>
      <c r="R63" s="1433"/>
    </row>
    <row r="64" spans="1:18" x14ac:dyDescent="0.2">
      <c r="A64" s="1433" t="s">
        <v>1437</v>
      </c>
      <c r="B64" s="1433"/>
      <c r="C64" s="1433"/>
      <c r="D64" s="1433"/>
      <c r="E64" s="1433"/>
      <c r="F64" s="1433"/>
      <c r="G64" s="1433"/>
      <c r="H64" s="1433"/>
      <c r="I64" s="1433"/>
      <c r="J64" s="1433"/>
      <c r="K64" s="1433"/>
      <c r="L64" s="1433"/>
      <c r="M64" s="1433"/>
      <c r="N64" s="1433"/>
      <c r="O64" s="1433"/>
      <c r="P64" s="1433"/>
      <c r="Q64" s="1433"/>
      <c r="R64" s="1433"/>
    </row>
    <row r="65" spans="1:20" x14ac:dyDescent="0.2">
      <c r="A65" s="1434" t="str">
        <f>+Input!C6</f>
        <v>TWELVE MONTHS ENDED DECEMBER 31, 2017</v>
      </c>
      <c r="B65" s="1434"/>
      <c r="C65" s="1434"/>
      <c r="D65" s="1434"/>
      <c r="E65" s="1434"/>
      <c r="F65" s="1434"/>
      <c r="G65" s="1434"/>
      <c r="H65" s="1434"/>
      <c r="I65" s="1434"/>
      <c r="J65" s="1434"/>
      <c r="K65" s="1434"/>
      <c r="L65" s="1434"/>
      <c r="M65" s="1434"/>
      <c r="N65" s="1434"/>
      <c r="O65" s="1434"/>
      <c r="P65" s="1434"/>
      <c r="Q65" s="1434"/>
      <c r="R65" s="1434"/>
    </row>
    <row r="66" spans="1:20" x14ac:dyDescent="0.2">
      <c r="A66" s="475"/>
      <c r="B66" s="475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</row>
    <row r="67" spans="1:20" x14ac:dyDescent="0.2">
      <c r="A67" s="476" t="s">
        <v>839</v>
      </c>
      <c r="B67" s="476"/>
      <c r="R67" s="477" t="s">
        <v>1438</v>
      </c>
    </row>
    <row r="68" spans="1:20" x14ac:dyDescent="0.2">
      <c r="A68" s="476" t="s">
        <v>490</v>
      </c>
      <c r="B68" s="476"/>
      <c r="R68" s="477" t="s">
        <v>1493</v>
      </c>
    </row>
    <row r="69" spans="1:20" x14ac:dyDescent="0.2">
      <c r="A69" s="478" t="s">
        <v>840</v>
      </c>
      <c r="B69" s="478"/>
      <c r="C69" s="479"/>
      <c r="D69" s="479"/>
      <c r="E69" s="479"/>
      <c r="F69" s="479"/>
      <c r="G69" s="479"/>
      <c r="H69" s="479"/>
      <c r="I69" s="479"/>
      <c r="J69" s="479"/>
      <c r="K69" s="479"/>
      <c r="M69" s="479"/>
      <c r="N69" s="496"/>
      <c r="O69" s="496"/>
      <c r="P69" s="496"/>
      <c r="Q69" s="496"/>
      <c r="R69" s="480" t="str">
        <f>+Input!E27</f>
        <v>WITNESS:  C. Y. LAI</v>
      </c>
    </row>
    <row r="70" spans="1:20" x14ac:dyDescent="0.2">
      <c r="F70" s="1435" t="s">
        <v>1440</v>
      </c>
      <c r="G70" s="1435"/>
      <c r="H70" s="1435"/>
      <c r="I70" s="1435"/>
      <c r="J70" s="1435"/>
      <c r="K70" s="1435"/>
      <c r="L70" s="1435"/>
      <c r="M70" s="1435"/>
      <c r="N70" s="1435"/>
      <c r="O70" s="1435"/>
      <c r="P70" s="1435"/>
      <c r="Q70" s="1435"/>
      <c r="R70" s="1435"/>
    </row>
    <row r="71" spans="1:20" x14ac:dyDescent="0.2">
      <c r="F71" s="481" t="s">
        <v>868</v>
      </c>
      <c r="G71" s="470"/>
      <c r="I71" s="470"/>
      <c r="J71" s="481" t="s">
        <v>1486</v>
      </c>
      <c r="K71" s="470"/>
      <c r="N71" s="471" t="s">
        <v>1614</v>
      </c>
      <c r="P71" s="471" t="s">
        <v>1614</v>
      </c>
    </row>
    <row r="72" spans="1:20" x14ac:dyDescent="0.2">
      <c r="A72" s="471" t="s">
        <v>493</v>
      </c>
      <c r="B72" s="471"/>
      <c r="C72" s="482" t="s">
        <v>728</v>
      </c>
      <c r="F72" s="471" t="s">
        <v>1444</v>
      </c>
      <c r="G72" s="470"/>
      <c r="H72" s="481" t="s">
        <v>1444</v>
      </c>
      <c r="I72" s="470"/>
      <c r="J72" s="481" t="s">
        <v>1494</v>
      </c>
      <c r="K72" s="470"/>
      <c r="L72" s="471" t="s">
        <v>1389</v>
      </c>
      <c r="N72" s="471" t="s">
        <v>1613</v>
      </c>
      <c r="P72" s="471" t="s">
        <v>1092</v>
      </c>
      <c r="R72" s="481" t="s">
        <v>525</v>
      </c>
    </row>
    <row r="73" spans="1:20" x14ac:dyDescent="0.2">
      <c r="A73" s="481" t="s">
        <v>496</v>
      </c>
      <c r="B73" s="481"/>
      <c r="C73" s="483" t="s">
        <v>729</v>
      </c>
      <c r="D73" s="471"/>
      <c r="F73" s="471" t="s">
        <v>1595</v>
      </c>
      <c r="G73" s="470"/>
      <c r="H73" s="481" t="s">
        <v>1003</v>
      </c>
      <c r="I73" s="470"/>
      <c r="J73" s="481" t="s">
        <v>1443</v>
      </c>
      <c r="K73" s="470"/>
      <c r="L73" s="471" t="s">
        <v>518</v>
      </c>
      <c r="N73" s="471" t="s">
        <v>1449</v>
      </c>
      <c r="P73" s="471" t="s">
        <v>1449</v>
      </c>
      <c r="Q73" s="470"/>
      <c r="R73" s="481" t="s">
        <v>1495</v>
      </c>
    </row>
    <row r="74" spans="1:20" x14ac:dyDescent="0.2">
      <c r="A74" s="484"/>
      <c r="B74" s="484"/>
      <c r="C74" s="484"/>
      <c r="D74" s="485"/>
      <c r="E74" s="484"/>
      <c r="F74" s="485" t="s">
        <v>1496</v>
      </c>
      <c r="G74" s="484"/>
      <c r="H74" s="485" t="s">
        <v>1497</v>
      </c>
      <c r="I74" s="484"/>
      <c r="J74" s="485" t="s">
        <v>1498</v>
      </c>
      <c r="K74" s="484"/>
      <c r="L74" s="485" t="s">
        <v>1499</v>
      </c>
      <c r="N74" s="485" t="s">
        <v>1004</v>
      </c>
      <c r="P74" s="485" t="s">
        <v>1005</v>
      </c>
      <c r="Q74" s="470"/>
      <c r="R74" s="484"/>
    </row>
    <row r="75" spans="1:20" x14ac:dyDescent="0.2">
      <c r="F75" s="471" t="s">
        <v>1458</v>
      </c>
      <c r="H75" s="471" t="s">
        <v>1458</v>
      </c>
      <c r="J75" s="471" t="s">
        <v>1458</v>
      </c>
      <c r="L75" s="471" t="s">
        <v>1458</v>
      </c>
      <c r="N75" s="471" t="s">
        <v>1458</v>
      </c>
      <c r="P75" s="471" t="s">
        <v>1458</v>
      </c>
      <c r="Q75" s="470"/>
      <c r="R75" s="471" t="s">
        <v>1458</v>
      </c>
    </row>
    <row r="76" spans="1:20" x14ac:dyDescent="0.2">
      <c r="A76" s="471">
        <v>1</v>
      </c>
      <c r="B76" s="471"/>
      <c r="C76" s="482" t="s">
        <v>1459</v>
      </c>
      <c r="Q76" s="483"/>
    </row>
    <row r="77" spans="1:20" x14ac:dyDescent="0.2">
      <c r="A77" s="471">
        <f t="shared" ref="A77:A111" si="1">+A76+1</f>
        <v>2</v>
      </c>
      <c r="B77" s="471"/>
      <c r="C77" s="486" t="s">
        <v>1460</v>
      </c>
      <c r="D77" s="487"/>
      <c r="F77" s="487">
        <v>0</v>
      </c>
      <c r="G77" s="487"/>
      <c r="H77" s="487">
        <v>0</v>
      </c>
      <c r="I77" s="487"/>
      <c r="J77" s="487">
        <v>0</v>
      </c>
      <c r="K77" s="487"/>
      <c r="L77" s="487">
        <v>0</v>
      </c>
      <c r="N77" s="487">
        <v>0</v>
      </c>
      <c r="P77" s="487">
        <v>0</v>
      </c>
      <c r="Q77" s="470"/>
      <c r="R77" s="487">
        <f>SUM(F18:R18)+SUM(F77:P77)</f>
        <v>-17381365.090000033</v>
      </c>
      <c r="S77" s="487"/>
      <c r="T77" s="487"/>
    </row>
    <row r="78" spans="1:20" x14ac:dyDescent="0.2">
      <c r="A78" s="471">
        <f t="shared" si="1"/>
        <v>3</v>
      </c>
      <c r="B78" s="471"/>
      <c r="C78" s="486" t="s">
        <v>1461</v>
      </c>
      <c r="D78" s="487"/>
      <c r="F78" s="487">
        <v>0</v>
      </c>
      <c r="G78" s="487"/>
      <c r="H78" s="487">
        <v>0</v>
      </c>
      <c r="I78" s="487"/>
      <c r="J78" s="487">
        <v>0</v>
      </c>
      <c r="K78" s="487"/>
      <c r="L78" s="487">
        <v>0</v>
      </c>
      <c r="N78" s="487">
        <v>0</v>
      </c>
      <c r="P78" s="487">
        <v>0</v>
      </c>
      <c r="Q78" s="488"/>
      <c r="R78" s="487">
        <f>SUM(F19:R19)+SUM(F78:P78)</f>
        <v>-9723892.9800000042</v>
      </c>
      <c r="S78" s="487"/>
      <c r="T78" s="487"/>
    </row>
    <row r="79" spans="1:20" x14ac:dyDescent="0.2">
      <c r="A79" s="471">
        <f t="shared" si="1"/>
        <v>4</v>
      </c>
      <c r="B79" s="471"/>
      <c r="C79" s="486" t="s">
        <v>1462</v>
      </c>
      <c r="D79" s="487"/>
      <c r="F79" s="487">
        <v>0</v>
      </c>
      <c r="G79" s="487"/>
      <c r="H79" s="487">
        <v>0</v>
      </c>
      <c r="I79" s="487"/>
      <c r="J79" s="487">
        <v>0</v>
      </c>
      <c r="K79" s="487"/>
      <c r="L79" s="487">
        <v>0</v>
      </c>
      <c r="N79" s="487">
        <v>0</v>
      </c>
      <c r="P79" s="487">
        <v>0</v>
      </c>
      <c r="Q79" s="488"/>
      <c r="R79" s="487">
        <f>SUM(F20:R20)+SUM(F79:P79)</f>
        <v>-694119.64999999991</v>
      </c>
      <c r="S79" s="487"/>
      <c r="T79" s="487"/>
    </row>
    <row r="80" spans="1:20" x14ac:dyDescent="0.2">
      <c r="A80" s="471">
        <f t="shared" si="1"/>
        <v>5</v>
      </c>
      <c r="B80" s="471"/>
      <c r="C80" s="486" t="s">
        <v>1463</v>
      </c>
      <c r="D80" s="488"/>
      <c r="F80" s="491">
        <v>0</v>
      </c>
      <c r="G80" s="487"/>
      <c r="H80" s="489">
        <v>0</v>
      </c>
      <c r="I80" s="487"/>
      <c r="J80" s="489">
        <v>0</v>
      </c>
      <c r="K80" s="487"/>
      <c r="L80" s="489">
        <v>0</v>
      </c>
      <c r="N80" s="489">
        <v>0</v>
      </c>
      <c r="P80" s="489">
        <v>0</v>
      </c>
      <c r="Q80" s="488"/>
      <c r="R80" s="491">
        <f>SUM(F21:R21)+SUM(F80:P80)</f>
        <v>211100.63</v>
      </c>
      <c r="S80" s="487"/>
      <c r="T80" s="487"/>
    </row>
    <row r="81" spans="1:20" x14ac:dyDescent="0.2">
      <c r="A81" s="471">
        <f t="shared" si="1"/>
        <v>6</v>
      </c>
      <c r="B81" s="471"/>
      <c r="C81" s="490" t="s">
        <v>1464</v>
      </c>
      <c r="D81" s="487"/>
      <c r="F81" s="487">
        <f>SUM(F77:F80)</f>
        <v>0</v>
      </c>
      <c r="G81" s="487"/>
      <c r="H81" s="487">
        <f>SUM(H77:H80)</f>
        <v>0</v>
      </c>
      <c r="I81" s="487"/>
      <c r="J81" s="487">
        <f>SUM(J77:J80)</f>
        <v>0</v>
      </c>
      <c r="K81" s="487"/>
      <c r="L81" s="487">
        <f>SUM(L77:L80)</f>
        <v>0</v>
      </c>
      <c r="N81" s="487">
        <f>SUM(N77:N80)</f>
        <v>0</v>
      </c>
      <c r="P81" s="487">
        <f>SUM(P77:P80)</f>
        <v>0</v>
      </c>
      <c r="Q81" s="488"/>
      <c r="R81" s="487">
        <f>SUM(F22:R22)+SUM(F81:P81)</f>
        <v>-27588277.090000037</v>
      </c>
      <c r="S81" s="487"/>
      <c r="T81" s="487"/>
    </row>
    <row r="82" spans="1:20" x14ac:dyDescent="0.2">
      <c r="A82" s="471"/>
      <c r="B82" s="471"/>
      <c r="D82" s="487"/>
      <c r="G82" s="487"/>
      <c r="H82" s="487"/>
      <c r="I82" s="487"/>
      <c r="J82" s="487"/>
      <c r="K82" s="487"/>
      <c r="L82" s="487"/>
      <c r="Q82" s="488"/>
      <c r="R82" s="487"/>
      <c r="S82" s="487"/>
      <c r="T82" s="487"/>
    </row>
    <row r="83" spans="1:20" x14ac:dyDescent="0.2">
      <c r="A83" s="471">
        <f>A81+1</f>
        <v>7</v>
      </c>
      <c r="B83" s="471"/>
      <c r="C83" s="482" t="s">
        <v>1465</v>
      </c>
      <c r="D83" s="487"/>
      <c r="G83" s="487"/>
      <c r="H83" s="487"/>
      <c r="I83" s="487"/>
      <c r="J83" s="487"/>
      <c r="K83" s="487"/>
      <c r="L83" s="487"/>
      <c r="Q83" s="488"/>
      <c r="R83" s="487"/>
      <c r="S83" s="487"/>
      <c r="T83" s="487"/>
    </row>
    <row r="84" spans="1:20" x14ac:dyDescent="0.2">
      <c r="A84" s="471">
        <f t="shared" si="1"/>
        <v>8</v>
      </c>
      <c r="B84" s="471"/>
      <c r="C84" s="486" t="s">
        <v>768</v>
      </c>
      <c r="D84" s="487"/>
      <c r="F84" s="487">
        <v>0</v>
      </c>
      <c r="G84" s="487"/>
      <c r="H84" s="487">
        <v>0</v>
      </c>
      <c r="I84" s="487"/>
      <c r="J84" s="487">
        <v>0</v>
      </c>
      <c r="K84" s="487"/>
      <c r="L84" s="487">
        <v>0</v>
      </c>
      <c r="N84" s="487">
        <v>0</v>
      </c>
      <c r="P84" s="487">
        <v>0</v>
      </c>
      <c r="Q84" s="488"/>
      <c r="R84" s="487">
        <f>SUM(F25:R25)+SUM(F84:P84)</f>
        <v>0</v>
      </c>
      <c r="S84" s="487"/>
      <c r="T84" s="487"/>
    </row>
    <row r="85" spans="1:20" x14ac:dyDescent="0.2">
      <c r="A85" s="471">
        <f t="shared" si="1"/>
        <v>9</v>
      </c>
      <c r="B85" s="471"/>
      <c r="C85" s="486" t="s">
        <v>1466</v>
      </c>
      <c r="D85" s="487"/>
      <c r="F85" s="487">
        <v>0</v>
      </c>
      <c r="G85" s="487"/>
      <c r="H85" s="487">
        <v>0</v>
      </c>
      <c r="I85" s="487"/>
      <c r="J85" s="487">
        <v>0</v>
      </c>
      <c r="K85" s="487"/>
      <c r="L85" s="487">
        <v>0</v>
      </c>
      <c r="N85" s="487">
        <v>0</v>
      </c>
      <c r="P85" s="487">
        <v>0</v>
      </c>
      <c r="Q85" s="488"/>
      <c r="R85" s="487">
        <f>SUM(F26:R26)+SUM(F85:P85)</f>
        <v>0</v>
      </c>
      <c r="S85" s="487"/>
      <c r="T85" s="487"/>
    </row>
    <row r="86" spans="1:20" x14ac:dyDescent="0.2">
      <c r="A86" s="471">
        <f t="shared" si="1"/>
        <v>10</v>
      </c>
      <c r="B86" s="471"/>
      <c r="C86" s="486" t="s">
        <v>1474</v>
      </c>
      <c r="D86" s="488"/>
      <c r="F86" s="488">
        <v>0</v>
      </c>
      <c r="G86" s="487"/>
      <c r="H86" s="488">
        <v>0</v>
      </c>
      <c r="I86" s="487"/>
      <c r="J86" s="488">
        <v>0</v>
      </c>
      <c r="K86" s="487"/>
      <c r="L86" s="488">
        <v>0</v>
      </c>
      <c r="N86" s="488">
        <v>0</v>
      </c>
      <c r="P86" s="488">
        <v>0</v>
      </c>
      <c r="Q86" s="488"/>
      <c r="R86" s="487">
        <f>SUM(F27:R27)+SUM(F86:P86)</f>
        <v>-418617.71000000089</v>
      </c>
      <c r="S86" s="487"/>
      <c r="T86" s="487"/>
    </row>
    <row r="87" spans="1:20" x14ac:dyDescent="0.2">
      <c r="A87" s="471">
        <f t="shared" si="1"/>
        <v>11</v>
      </c>
      <c r="B87" s="471"/>
      <c r="C87" s="486" t="s">
        <v>1475</v>
      </c>
      <c r="D87" s="488"/>
      <c r="F87" s="491">
        <v>0</v>
      </c>
      <c r="G87" s="487"/>
      <c r="H87" s="491">
        <v>0</v>
      </c>
      <c r="I87" s="487"/>
      <c r="J87" s="491">
        <v>0</v>
      </c>
      <c r="K87" s="487"/>
      <c r="L87" s="491">
        <v>0</v>
      </c>
      <c r="N87" s="491">
        <v>0</v>
      </c>
      <c r="P87" s="491">
        <v>0</v>
      </c>
      <c r="Q87" s="488"/>
      <c r="R87" s="491">
        <f>SUM(F28:R28)+SUM(F87:P87)</f>
        <v>-15861280</v>
      </c>
      <c r="S87" s="487"/>
      <c r="T87" s="487"/>
    </row>
    <row r="88" spans="1:20" x14ac:dyDescent="0.2">
      <c r="A88" s="471">
        <f t="shared" si="1"/>
        <v>12</v>
      </c>
      <c r="B88" s="471"/>
      <c r="C88" s="490" t="s">
        <v>557</v>
      </c>
      <c r="D88" s="488"/>
      <c r="F88" s="488">
        <f>SUM(F84:F87)</f>
        <v>0</v>
      </c>
      <c r="G88" s="488"/>
      <c r="H88" s="488">
        <f>SUM(H84:H87)</f>
        <v>0</v>
      </c>
      <c r="I88" s="488"/>
      <c r="J88" s="488">
        <f>SUM(J84:J87)</f>
        <v>0</v>
      </c>
      <c r="K88" s="487"/>
      <c r="L88" s="488">
        <f>SUM(L84:L87)</f>
        <v>0</v>
      </c>
      <c r="N88" s="488">
        <f>SUM(N84:N87)</f>
        <v>0</v>
      </c>
      <c r="P88" s="488">
        <f>SUM(P84:P87)</f>
        <v>0</v>
      </c>
      <c r="Q88" s="488"/>
      <c r="R88" s="488">
        <f>SUM(F29:R29)+SUM(F88:P88)</f>
        <v>-16279897.710000001</v>
      </c>
      <c r="S88" s="487"/>
      <c r="T88" s="487"/>
    </row>
    <row r="89" spans="1:20" x14ac:dyDescent="0.2">
      <c r="A89" s="471"/>
      <c r="B89" s="471"/>
      <c r="D89" s="487"/>
      <c r="F89" s="487"/>
      <c r="G89" s="487"/>
      <c r="H89" s="487"/>
      <c r="I89" s="487"/>
      <c r="J89" s="487"/>
      <c r="K89" s="487"/>
      <c r="L89" s="487"/>
      <c r="N89" s="487"/>
      <c r="P89" s="487"/>
      <c r="Q89" s="488"/>
      <c r="R89" s="487"/>
      <c r="S89" s="487"/>
      <c r="T89" s="487"/>
    </row>
    <row r="90" spans="1:20" x14ac:dyDescent="0.2">
      <c r="A90" s="471">
        <f>A88+1</f>
        <v>13</v>
      </c>
      <c r="B90" s="471"/>
      <c r="C90" s="490" t="s">
        <v>1476</v>
      </c>
      <c r="D90" s="487"/>
      <c r="F90" s="492">
        <f>F81+F88</f>
        <v>0</v>
      </c>
      <c r="G90" s="487"/>
      <c r="H90" s="492">
        <f>H81+H88</f>
        <v>0</v>
      </c>
      <c r="I90" s="487"/>
      <c r="J90" s="492">
        <f>J81+J88</f>
        <v>0</v>
      </c>
      <c r="K90" s="487"/>
      <c r="L90" s="492">
        <f>L81+L88</f>
        <v>0</v>
      </c>
      <c r="N90" s="492">
        <f>N81+N88</f>
        <v>0</v>
      </c>
      <c r="P90" s="492">
        <f>P81+P88</f>
        <v>0</v>
      </c>
      <c r="Q90" s="488"/>
      <c r="R90" s="492">
        <f>R81+R88</f>
        <v>-43868174.800000042</v>
      </c>
      <c r="S90" s="487"/>
      <c r="T90" s="487"/>
    </row>
    <row r="91" spans="1:20" x14ac:dyDescent="0.2">
      <c r="A91" s="471"/>
      <c r="B91" s="471"/>
      <c r="D91" s="487"/>
      <c r="G91" s="487"/>
      <c r="H91" s="487"/>
      <c r="I91" s="487"/>
      <c r="J91" s="487"/>
      <c r="K91" s="487"/>
      <c r="Q91" s="488"/>
      <c r="R91" s="487"/>
      <c r="S91" s="487"/>
      <c r="T91" s="487"/>
    </row>
    <row r="92" spans="1:20" x14ac:dyDescent="0.2">
      <c r="A92" s="471">
        <f>A90+1</f>
        <v>14</v>
      </c>
      <c r="B92" s="471"/>
      <c r="C92" s="482" t="s">
        <v>504</v>
      </c>
      <c r="D92" s="487"/>
      <c r="G92" s="487"/>
      <c r="H92" s="487"/>
      <c r="I92" s="487"/>
      <c r="J92" s="487"/>
      <c r="K92" s="487"/>
      <c r="Q92" s="488"/>
      <c r="R92" s="487"/>
      <c r="S92" s="487"/>
      <c r="T92" s="487"/>
    </row>
    <row r="93" spans="1:20" x14ac:dyDescent="0.2">
      <c r="A93" s="471">
        <f t="shared" si="1"/>
        <v>15</v>
      </c>
      <c r="B93" s="471"/>
      <c r="C93" s="486" t="s">
        <v>1477</v>
      </c>
      <c r="D93" s="487"/>
      <c r="F93" s="464">
        <f>'NCSC D-2.8 p1'!K25</f>
        <v>4321</v>
      </c>
      <c r="G93" s="487"/>
      <c r="H93" s="487">
        <v>0</v>
      </c>
      <c r="I93" s="487"/>
      <c r="J93" s="487">
        <v>0</v>
      </c>
      <c r="K93" s="487"/>
      <c r="L93" s="487">
        <v>0</v>
      </c>
      <c r="N93" s="464">
        <v>0</v>
      </c>
      <c r="P93" s="464">
        <v>0</v>
      </c>
      <c r="Q93" s="488"/>
      <c r="R93" s="487">
        <f>SUM(F34:R34)+SUM(F93:P93)</f>
        <v>59914908.239999995</v>
      </c>
      <c r="S93" s="487"/>
      <c r="T93" s="487"/>
    </row>
    <row r="94" spans="1:20" x14ac:dyDescent="0.2">
      <c r="A94" s="471">
        <f t="shared" si="1"/>
        <v>16</v>
      </c>
      <c r="B94" s="471"/>
      <c r="C94" s="486" t="s">
        <v>1478</v>
      </c>
      <c r="D94" s="487"/>
      <c r="F94" s="464">
        <v>0</v>
      </c>
      <c r="G94" s="487"/>
      <c r="H94" s="487">
        <v>0</v>
      </c>
      <c r="I94" s="487"/>
      <c r="J94" s="487">
        <v>0</v>
      </c>
      <c r="K94" s="487"/>
      <c r="L94" s="487">
        <v>0</v>
      </c>
      <c r="N94" s="464">
        <v>0</v>
      </c>
      <c r="P94" s="464">
        <v>0</v>
      </c>
      <c r="Q94" s="488"/>
      <c r="R94" s="487">
        <f t="shared" ref="R94:R104" si="2">SUM(F35:R35)+SUM(F94:P94)</f>
        <v>0</v>
      </c>
      <c r="S94" s="487"/>
      <c r="T94" s="487"/>
    </row>
    <row r="95" spans="1:20" x14ac:dyDescent="0.2">
      <c r="A95" s="471">
        <f t="shared" si="1"/>
        <v>17</v>
      </c>
      <c r="B95" s="471"/>
      <c r="C95" s="486" t="s">
        <v>1479</v>
      </c>
      <c r="D95" s="487"/>
      <c r="F95" s="464">
        <f>SUM('NCSC D-2.8 p1'!K26:K30)</f>
        <v>6701</v>
      </c>
      <c r="G95" s="487"/>
      <c r="H95" s="487">
        <v>0</v>
      </c>
      <c r="I95" s="487"/>
      <c r="J95" s="487">
        <v>0</v>
      </c>
      <c r="K95" s="487"/>
      <c r="L95" s="487">
        <v>0</v>
      </c>
      <c r="N95" s="464">
        <v>0</v>
      </c>
      <c r="P95" s="464">
        <v>0</v>
      </c>
      <c r="Q95" s="488"/>
      <c r="R95" s="487">
        <f t="shared" si="2"/>
        <v>394550</v>
      </c>
      <c r="S95" s="487"/>
      <c r="T95" s="487"/>
    </row>
    <row r="96" spans="1:20" x14ac:dyDescent="0.2">
      <c r="A96" s="471">
        <f t="shared" si="1"/>
        <v>18</v>
      </c>
      <c r="B96" s="471"/>
      <c r="C96" s="486" t="s">
        <v>1480</v>
      </c>
      <c r="D96" s="487"/>
      <c r="F96" s="464">
        <f>'NCSC D-2.8 p1'!K31</f>
        <v>12466</v>
      </c>
      <c r="G96" s="487"/>
      <c r="H96" s="487">
        <v>0</v>
      </c>
      <c r="I96" s="487"/>
      <c r="J96" s="487">
        <v>0</v>
      </c>
      <c r="K96" s="487"/>
      <c r="L96" s="487">
        <v>0</v>
      </c>
      <c r="N96" s="464">
        <v>0</v>
      </c>
      <c r="P96" s="464">
        <v>0</v>
      </c>
      <c r="Q96" s="488"/>
      <c r="R96" s="487">
        <f t="shared" si="2"/>
        <v>-424983.09</v>
      </c>
      <c r="S96" s="487"/>
      <c r="T96" s="487"/>
    </row>
    <row r="97" spans="1:20" x14ac:dyDescent="0.2">
      <c r="A97" s="471">
        <f t="shared" si="1"/>
        <v>19</v>
      </c>
      <c r="B97" s="471"/>
      <c r="C97" s="486" t="s">
        <v>1481</v>
      </c>
      <c r="D97" s="487"/>
      <c r="F97" s="464">
        <f>SUM('NCSC D-2.8 p1'!K32:K34)</f>
        <v>5324</v>
      </c>
      <c r="G97" s="487"/>
      <c r="H97" s="487">
        <v>0</v>
      </c>
      <c r="I97" s="487"/>
      <c r="J97" s="487">
        <v>0</v>
      </c>
      <c r="K97" s="487"/>
      <c r="L97" s="487">
        <v>0</v>
      </c>
      <c r="N97" s="464">
        <v>0</v>
      </c>
      <c r="P97" s="464">
        <f>'Non-Recoverable D-2.13'!I20</f>
        <v>-2000</v>
      </c>
      <c r="Q97" s="488"/>
      <c r="R97" s="487">
        <f t="shared" si="2"/>
        <v>17091</v>
      </c>
      <c r="S97" s="487"/>
      <c r="T97" s="487"/>
    </row>
    <row r="98" spans="1:20" x14ac:dyDescent="0.2">
      <c r="A98" s="471">
        <f t="shared" si="1"/>
        <v>20</v>
      </c>
      <c r="B98" s="471"/>
      <c r="C98" s="486" t="s">
        <v>1482</v>
      </c>
      <c r="D98" s="488"/>
      <c r="E98" s="470"/>
      <c r="F98" s="464">
        <f>SUM('NCSC D-2.8 p1'!K35:K37)</f>
        <v>411</v>
      </c>
      <c r="G98" s="488"/>
      <c r="H98" s="488">
        <v>0</v>
      </c>
      <c r="I98" s="488"/>
      <c r="J98" s="488">
        <v>0</v>
      </c>
      <c r="K98" s="488"/>
      <c r="L98" s="488">
        <v>0</v>
      </c>
      <c r="N98" s="464">
        <v>0</v>
      </c>
      <c r="P98" s="464">
        <f>'Non-Recoverable D-2.13'!I21+'Non-Recoverable D-2.13'!I22</f>
        <v>-5750</v>
      </c>
      <c r="Q98" s="488"/>
      <c r="R98" s="487">
        <f t="shared" si="2"/>
        <v>-4606</v>
      </c>
      <c r="S98" s="487"/>
      <c r="T98" s="488"/>
    </row>
    <row r="99" spans="1:20" x14ac:dyDescent="0.2">
      <c r="A99" s="471">
        <f t="shared" si="1"/>
        <v>21</v>
      </c>
      <c r="B99" s="471"/>
      <c r="C99" s="486" t="s">
        <v>1483</v>
      </c>
      <c r="D99" s="488"/>
      <c r="F99" s="464">
        <f>'NCSC D-2.8 p1'!K41</f>
        <v>74845.857005042024</v>
      </c>
      <c r="G99" s="487"/>
      <c r="H99" s="487">
        <f>+'Corporate Insurance  D-2.9'!I36</f>
        <v>-27029</v>
      </c>
      <c r="I99" s="487"/>
      <c r="J99" s="488">
        <v>0</v>
      </c>
      <c r="K99" s="487"/>
      <c r="L99" s="487">
        <v>0</v>
      </c>
      <c r="N99" s="464">
        <f>'Out-of-Period D-2.12'!F28</f>
        <v>39392</v>
      </c>
      <c r="P99" s="464">
        <f>'Non-Recoverable D-2.13'!I23+'Non-Recoverable D-2.13'!I24+'Non-Recoverable D-2.13'!I25</f>
        <v>-47874.97</v>
      </c>
      <c r="Q99" s="488"/>
      <c r="R99" s="487" t="e">
        <f t="shared" si="2"/>
        <v>#REF!</v>
      </c>
      <c r="S99" s="487"/>
      <c r="T99" s="488"/>
    </row>
    <row r="100" spans="1:20" x14ac:dyDescent="0.2">
      <c r="A100" s="471">
        <f t="shared" si="1"/>
        <v>22</v>
      </c>
      <c r="B100" s="471"/>
      <c r="C100" s="486" t="s">
        <v>1484</v>
      </c>
      <c r="D100" s="487"/>
      <c r="F100" s="464">
        <v>0</v>
      </c>
      <c r="G100" s="487"/>
      <c r="H100" s="487">
        <v>0</v>
      </c>
      <c r="I100" s="487"/>
      <c r="J100" s="487">
        <v>0</v>
      </c>
      <c r="K100" s="487"/>
      <c r="L100" s="487">
        <v>0</v>
      </c>
      <c r="N100" s="464">
        <v>0</v>
      </c>
      <c r="P100" s="464">
        <v>0</v>
      </c>
      <c r="Q100" s="488"/>
      <c r="R100" s="487">
        <f t="shared" si="2"/>
        <v>-4023320.5799999991</v>
      </c>
      <c r="S100" s="487"/>
      <c r="T100" s="488"/>
    </row>
    <row r="101" spans="1:20" x14ac:dyDescent="0.2">
      <c r="A101" s="471">
        <f t="shared" si="1"/>
        <v>23</v>
      </c>
      <c r="B101" s="471"/>
      <c r="C101" s="482" t="s">
        <v>1485</v>
      </c>
      <c r="D101" s="487"/>
      <c r="F101" s="464">
        <v>0</v>
      </c>
      <c r="G101" s="487"/>
      <c r="H101" s="487">
        <v>0</v>
      </c>
      <c r="I101" s="487"/>
      <c r="J101" s="487">
        <v>0</v>
      </c>
      <c r="K101" s="487"/>
      <c r="L101" s="487">
        <v>0</v>
      </c>
      <c r="N101" s="464">
        <v>0</v>
      </c>
      <c r="P101" s="464">
        <v>0</v>
      </c>
      <c r="Q101" s="488"/>
      <c r="R101" s="487">
        <f t="shared" si="2"/>
        <v>0</v>
      </c>
      <c r="S101" s="487"/>
      <c r="T101" s="488"/>
    </row>
    <row r="102" spans="1:20" x14ac:dyDescent="0.2">
      <c r="A102" s="471">
        <f t="shared" si="1"/>
        <v>24</v>
      </c>
      <c r="B102" s="471"/>
      <c r="C102" s="486" t="s">
        <v>1389</v>
      </c>
      <c r="D102" s="487"/>
      <c r="F102" s="464">
        <v>0</v>
      </c>
      <c r="G102" s="487"/>
      <c r="H102" s="487">
        <v>0</v>
      </c>
      <c r="I102" s="487"/>
      <c r="J102" s="487">
        <v>0</v>
      </c>
      <c r="K102" s="487"/>
      <c r="L102" s="487">
        <f>+'Property Tax Adj D-2.11'!H40</f>
        <v>-2628661</v>
      </c>
      <c r="N102" s="464">
        <v>0</v>
      </c>
      <c r="P102" s="464">
        <v>0</v>
      </c>
      <c r="Q102" s="488"/>
      <c r="R102" s="487">
        <f t="shared" si="2"/>
        <v>-2628661</v>
      </c>
      <c r="S102" s="487"/>
      <c r="T102" s="488"/>
    </row>
    <row r="103" spans="1:20" x14ac:dyDescent="0.2">
      <c r="A103" s="471">
        <f t="shared" si="1"/>
        <v>25</v>
      </c>
      <c r="B103" s="471"/>
      <c r="C103" s="486" t="s">
        <v>1486</v>
      </c>
      <c r="D103" s="487"/>
      <c r="F103" s="464">
        <v>0</v>
      </c>
      <c r="G103" s="487"/>
      <c r="H103" s="487">
        <v>0</v>
      </c>
      <c r="I103" s="487"/>
      <c r="J103" s="487">
        <f>+'Payroll Tax Adj D-2.10'!E22</f>
        <v>41016</v>
      </c>
      <c r="K103" s="487"/>
      <c r="L103" s="487">
        <v>0</v>
      </c>
      <c r="N103" s="464">
        <v>0</v>
      </c>
      <c r="P103" s="464">
        <v>0</v>
      </c>
      <c r="Q103" s="488"/>
      <c r="R103" s="487">
        <f t="shared" si="2"/>
        <v>41016</v>
      </c>
      <c r="S103" s="487"/>
      <c r="T103" s="488"/>
    </row>
    <row r="104" spans="1:20" x14ac:dyDescent="0.2">
      <c r="A104" s="471">
        <f t="shared" si="1"/>
        <v>26</v>
      </c>
      <c r="B104" s="471"/>
      <c r="C104" s="486" t="s">
        <v>992</v>
      </c>
      <c r="D104" s="487"/>
      <c r="F104" s="464">
        <v>0</v>
      </c>
      <c r="G104" s="487"/>
      <c r="H104" s="487">
        <v>0</v>
      </c>
      <c r="I104" s="487"/>
      <c r="J104" s="487">
        <v>0</v>
      </c>
      <c r="K104" s="487"/>
      <c r="L104" s="487">
        <v>0</v>
      </c>
      <c r="N104" s="464">
        <v>0</v>
      </c>
      <c r="P104" s="464">
        <v>0</v>
      </c>
      <c r="Q104" s="488"/>
      <c r="R104" s="487">
        <f t="shared" si="2"/>
        <v>0</v>
      </c>
      <c r="S104" s="487"/>
      <c r="T104" s="488"/>
    </row>
    <row r="105" spans="1:20" x14ac:dyDescent="0.2">
      <c r="A105" s="471">
        <f t="shared" si="1"/>
        <v>27</v>
      </c>
      <c r="B105" s="471"/>
      <c r="C105" s="490" t="s">
        <v>1487</v>
      </c>
      <c r="D105" s="487"/>
      <c r="F105" s="492">
        <f>SUM(F93:F104)</f>
        <v>104068.85700504202</v>
      </c>
      <c r="G105" s="487"/>
      <c r="H105" s="492">
        <f>SUM(H93:H104)</f>
        <v>-27029</v>
      </c>
      <c r="I105" s="487"/>
      <c r="J105" s="492">
        <f>SUM(J93:J104)</f>
        <v>41016</v>
      </c>
      <c r="K105" s="487"/>
      <c r="L105" s="492">
        <f>SUM(L93:L104)</f>
        <v>-2628661</v>
      </c>
      <c r="N105" s="492">
        <f>SUM(N93:N104)</f>
        <v>39392</v>
      </c>
      <c r="P105" s="492">
        <f>SUM(P93:P104)</f>
        <v>-55624.97</v>
      </c>
      <c r="Q105" s="488"/>
      <c r="R105" s="492" t="e">
        <f>SUM(R93:R104)</f>
        <v>#REF!</v>
      </c>
      <c r="S105" s="487"/>
      <c r="T105" s="488"/>
    </row>
    <row r="106" spans="1:20" x14ac:dyDescent="0.2">
      <c r="A106" s="471"/>
      <c r="B106" s="471"/>
      <c r="C106" s="482"/>
      <c r="D106" s="487"/>
      <c r="G106" s="487"/>
      <c r="H106" s="487"/>
      <c r="I106" s="487"/>
      <c r="J106" s="487"/>
      <c r="K106" s="487"/>
      <c r="L106" s="487"/>
      <c r="Q106" s="488"/>
      <c r="R106" s="487"/>
      <c r="S106" s="487"/>
      <c r="T106" s="488"/>
    </row>
    <row r="107" spans="1:20" x14ac:dyDescent="0.2">
      <c r="A107" s="471">
        <f>A105+1</f>
        <v>28</v>
      </c>
      <c r="B107" s="471"/>
      <c r="C107" s="490" t="s">
        <v>837</v>
      </c>
      <c r="D107" s="487"/>
      <c r="F107" s="491">
        <f>F90-F105</f>
        <v>-104068.85700504202</v>
      </c>
      <c r="G107" s="487"/>
      <c r="H107" s="491">
        <f>H90-H105</f>
        <v>27029</v>
      </c>
      <c r="I107" s="487"/>
      <c r="J107" s="491">
        <f>J90-J105</f>
        <v>-41016</v>
      </c>
      <c r="K107" s="487"/>
      <c r="L107" s="491">
        <f>L90-L105</f>
        <v>2628661</v>
      </c>
      <c r="N107" s="491">
        <f>N90-N105</f>
        <v>-39392</v>
      </c>
      <c r="P107" s="491">
        <f>P90-P105</f>
        <v>55624.97</v>
      </c>
      <c r="Q107" s="488"/>
      <c r="R107" s="491" t="e">
        <f>R90-R105</f>
        <v>#REF!</v>
      </c>
      <c r="S107" s="487"/>
      <c r="T107" s="488"/>
    </row>
    <row r="108" spans="1:20" x14ac:dyDescent="0.2">
      <c r="A108" s="471"/>
      <c r="B108" s="471"/>
      <c r="D108" s="487"/>
      <c r="G108" s="487"/>
      <c r="H108" s="487"/>
      <c r="I108" s="487"/>
      <c r="J108" s="487"/>
      <c r="K108" s="487"/>
      <c r="L108" s="487"/>
      <c r="Q108" s="488"/>
      <c r="R108" s="487"/>
      <c r="S108" s="487"/>
      <c r="T108" s="488"/>
    </row>
    <row r="109" spans="1:20" x14ac:dyDescent="0.2">
      <c r="A109" s="471">
        <f>A107+1</f>
        <v>29</v>
      </c>
      <c r="B109" s="471"/>
      <c r="C109" s="482" t="s">
        <v>1488</v>
      </c>
      <c r="D109" s="487"/>
      <c r="G109" s="487"/>
      <c r="H109" s="487"/>
      <c r="I109" s="487"/>
      <c r="J109" s="487"/>
      <c r="K109" s="487"/>
      <c r="L109" s="487"/>
      <c r="Q109" s="488"/>
      <c r="R109" s="487"/>
      <c r="S109" s="487"/>
      <c r="T109" s="488"/>
    </row>
    <row r="110" spans="1:20" x14ac:dyDescent="0.2">
      <c r="A110" s="471">
        <f t="shared" si="1"/>
        <v>30</v>
      </c>
      <c r="B110" s="471"/>
      <c r="C110" s="486" t="s">
        <v>1489</v>
      </c>
      <c r="D110" s="493"/>
      <c r="F110" s="487">
        <f>(F107-F111)*$D$115</f>
        <v>-34238.653954658825</v>
      </c>
      <c r="G110" s="487"/>
      <c r="H110" s="487">
        <f>(H107-H111)*$D$115</f>
        <v>8892.5409999999993</v>
      </c>
      <c r="I110" s="487"/>
      <c r="J110" s="487">
        <f>(J107-J111)*$D$115</f>
        <v>-13494.263999999999</v>
      </c>
      <c r="K110" s="487"/>
      <c r="L110" s="487">
        <f>(L107-L111)*$D$115</f>
        <v>864829.46899999992</v>
      </c>
      <c r="N110" s="487">
        <f>(N107-N111)*$D$115</f>
        <v>-12959.968000000001</v>
      </c>
      <c r="P110" s="487">
        <f>(P107-P111)*$D$115</f>
        <v>18300.615129999998</v>
      </c>
      <c r="Q110" s="488"/>
      <c r="R110" s="487" t="e">
        <f>SUM(F51:R51)+SUM(F110:P110)</f>
        <v>#REF!</v>
      </c>
      <c r="S110" s="487"/>
      <c r="T110" s="488"/>
    </row>
    <row r="111" spans="1:20" x14ac:dyDescent="0.2">
      <c r="A111" s="471">
        <f t="shared" si="1"/>
        <v>31</v>
      </c>
      <c r="B111" s="471"/>
      <c r="C111" s="486" t="s">
        <v>1490</v>
      </c>
      <c r="D111" s="487"/>
      <c r="F111" s="491">
        <f>F107*$D$117</f>
        <v>-6244.1314203025213</v>
      </c>
      <c r="G111" s="487"/>
      <c r="H111" s="491">
        <f>H107*$D$117</f>
        <v>1621.74</v>
      </c>
      <c r="I111" s="487"/>
      <c r="J111" s="491">
        <f>J107*$D$117</f>
        <v>-2460.96</v>
      </c>
      <c r="K111" s="487"/>
      <c r="L111" s="491">
        <f>L107*$D$117</f>
        <v>157719.66</v>
      </c>
      <c r="N111" s="491">
        <f>N107*$D$117</f>
        <v>-2363.52</v>
      </c>
      <c r="P111" s="491">
        <f>P107*$D$117</f>
        <v>3337.4982</v>
      </c>
      <c r="Q111" s="488"/>
      <c r="R111" s="491" t="e">
        <f>SUM(F52:R52)+SUM(F111:P111)</f>
        <v>#REF!</v>
      </c>
      <c r="S111" s="487"/>
      <c r="T111" s="488"/>
    </row>
    <row r="112" spans="1:20" x14ac:dyDescent="0.2">
      <c r="A112" s="471"/>
      <c r="B112" s="471"/>
      <c r="D112" s="487"/>
      <c r="F112" s="487"/>
      <c r="G112" s="487"/>
      <c r="H112" s="487"/>
      <c r="I112" s="487"/>
      <c r="J112" s="487"/>
      <c r="K112" s="487"/>
      <c r="L112" s="487"/>
      <c r="N112" s="487"/>
      <c r="P112" s="487"/>
      <c r="Q112" s="488"/>
      <c r="R112" s="487"/>
      <c r="S112" s="487"/>
      <c r="T112" s="488"/>
    </row>
    <row r="113" spans="1:20" ht="13.5" thickBot="1" x14ac:dyDescent="0.25">
      <c r="A113" s="471">
        <f>A111+1</f>
        <v>32</v>
      </c>
      <c r="B113" s="471"/>
      <c r="C113" s="490" t="s">
        <v>519</v>
      </c>
      <c r="D113" s="487"/>
      <c r="F113" s="494">
        <f>F107-F110-F111</f>
        <v>-63586.071630080667</v>
      </c>
      <c r="G113" s="487"/>
      <c r="H113" s="494">
        <f>H107-H110-H111</f>
        <v>16514.719000000001</v>
      </c>
      <c r="I113" s="487"/>
      <c r="J113" s="494">
        <f>J107-J110-J111</f>
        <v>-25060.776000000002</v>
      </c>
      <c r="K113" s="487"/>
      <c r="L113" s="494">
        <f>L107-L110-L111</f>
        <v>1606111.871</v>
      </c>
      <c r="N113" s="494">
        <f>N107-N110-N111</f>
        <v>-24068.511999999999</v>
      </c>
      <c r="P113" s="494">
        <f>P107-P110-P111</f>
        <v>33986.856670000001</v>
      </c>
      <c r="Q113" s="488"/>
      <c r="R113" s="494" t="e">
        <f>R107-R110-R111</f>
        <v>#REF!</v>
      </c>
      <c r="S113" s="487"/>
      <c r="T113" s="488"/>
    </row>
    <row r="114" spans="1:20" ht="13.5" thickTop="1" x14ac:dyDescent="0.2">
      <c r="A114" s="471"/>
      <c r="B114" s="471"/>
      <c r="C114" s="482"/>
      <c r="D114" s="495"/>
      <c r="F114" s="487"/>
      <c r="G114" s="487"/>
      <c r="I114" s="487"/>
      <c r="J114" s="487"/>
      <c r="K114" s="487"/>
      <c r="L114" s="487"/>
      <c r="M114" s="487"/>
      <c r="Q114" s="488"/>
      <c r="R114" s="487"/>
      <c r="S114" s="487"/>
      <c r="T114" s="488"/>
    </row>
    <row r="115" spans="1:20" x14ac:dyDescent="0.2">
      <c r="A115" s="471">
        <f>A113+1</f>
        <v>33</v>
      </c>
      <c r="B115" s="471"/>
      <c r="C115" s="464" t="s">
        <v>1491</v>
      </c>
      <c r="D115" s="495">
        <v>0.35</v>
      </c>
      <c r="F115" s="487"/>
      <c r="G115" s="487"/>
      <c r="H115" s="487"/>
      <c r="I115" s="487"/>
      <c r="J115" s="487"/>
      <c r="K115" s="487"/>
      <c r="L115" s="487"/>
      <c r="M115" s="487"/>
      <c r="Q115" s="488"/>
      <c r="R115" s="487"/>
      <c r="S115" s="487"/>
      <c r="T115" s="488"/>
    </row>
    <row r="116" spans="1:20" x14ac:dyDescent="0.2">
      <c r="A116" s="471"/>
      <c r="B116" s="471"/>
      <c r="F116" s="487"/>
      <c r="G116" s="487"/>
      <c r="H116" s="487"/>
      <c r="I116" s="487"/>
      <c r="J116" s="487"/>
      <c r="K116" s="487"/>
      <c r="L116" s="487"/>
      <c r="M116" s="487"/>
      <c r="Q116" s="488"/>
      <c r="R116" s="487"/>
      <c r="S116" s="487"/>
      <c r="T116" s="488"/>
    </row>
    <row r="117" spans="1:20" x14ac:dyDescent="0.2">
      <c r="A117" s="471">
        <f>A115+1</f>
        <v>34</v>
      </c>
      <c r="B117" s="471"/>
      <c r="C117" s="464" t="s">
        <v>1492</v>
      </c>
      <c r="D117" s="495">
        <v>0.06</v>
      </c>
      <c r="F117" s="487"/>
      <c r="G117" s="487"/>
      <c r="H117" s="487"/>
      <c r="I117" s="487"/>
      <c r="J117" s="487"/>
      <c r="K117" s="487"/>
      <c r="L117" s="488"/>
      <c r="M117" s="487"/>
      <c r="Q117" s="488"/>
      <c r="R117" s="487"/>
      <c r="S117" s="487"/>
      <c r="T117" s="488"/>
    </row>
    <row r="118" spans="1:20" x14ac:dyDescent="0.2">
      <c r="A118" s="481"/>
      <c r="B118" s="481"/>
      <c r="C118" s="483"/>
      <c r="D118" s="488"/>
      <c r="E118" s="488"/>
      <c r="F118" s="488"/>
      <c r="G118" s="488"/>
      <c r="H118" s="488"/>
      <c r="I118" s="488"/>
      <c r="J118" s="488"/>
      <c r="K118" s="488"/>
      <c r="L118" s="470"/>
      <c r="M118" s="488"/>
      <c r="Q118" s="488"/>
      <c r="R118" s="488"/>
      <c r="S118" s="488"/>
      <c r="T118" s="488"/>
    </row>
    <row r="119" spans="1:20" x14ac:dyDescent="0.2">
      <c r="A119" s="470"/>
      <c r="B119" s="470"/>
      <c r="C119" s="470"/>
      <c r="D119" s="470"/>
      <c r="E119" s="470"/>
      <c r="F119" s="470"/>
      <c r="G119" s="470"/>
      <c r="H119" s="481"/>
      <c r="I119" s="470"/>
      <c r="J119" s="470"/>
      <c r="K119" s="470"/>
      <c r="L119" s="470"/>
      <c r="M119" s="470"/>
      <c r="Q119" s="470"/>
      <c r="R119" s="470"/>
      <c r="S119" s="470"/>
      <c r="T119" s="470"/>
    </row>
    <row r="120" spans="1:20" x14ac:dyDescent="0.2">
      <c r="A120" s="470"/>
      <c r="B120" s="470"/>
      <c r="C120" s="470"/>
      <c r="D120" s="497"/>
      <c r="E120" s="470"/>
      <c r="F120" s="470"/>
      <c r="G120" s="470"/>
      <c r="H120" s="481"/>
      <c r="I120" s="470"/>
      <c r="J120" s="470"/>
      <c r="K120" s="470"/>
      <c r="L120" s="470"/>
      <c r="M120" s="470"/>
      <c r="Q120" s="470"/>
      <c r="R120" s="470"/>
      <c r="S120" s="470"/>
      <c r="T120" s="470"/>
    </row>
    <row r="121" spans="1:20" x14ac:dyDescent="0.2">
      <c r="A121" s="470"/>
      <c r="B121" s="470"/>
      <c r="C121" s="470"/>
      <c r="D121" s="498"/>
      <c r="E121" s="470"/>
      <c r="F121" s="470"/>
      <c r="G121" s="470"/>
      <c r="H121" s="481"/>
      <c r="I121" s="470"/>
      <c r="J121" s="470"/>
      <c r="K121" s="470"/>
      <c r="L121" s="470"/>
      <c r="M121" s="470"/>
      <c r="Q121" s="470"/>
      <c r="R121" s="470"/>
      <c r="S121" s="470"/>
      <c r="T121" s="470"/>
    </row>
    <row r="122" spans="1:20" x14ac:dyDescent="0.2">
      <c r="A122" s="470"/>
      <c r="B122" s="470"/>
      <c r="C122" s="470"/>
      <c r="D122" s="470"/>
      <c r="E122" s="470"/>
      <c r="F122" s="470"/>
      <c r="G122" s="470"/>
      <c r="H122" s="481"/>
      <c r="I122" s="470"/>
      <c r="J122" s="470"/>
      <c r="K122" s="470"/>
      <c r="L122" s="470"/>
      <c r="M122" s="470"/>
      <c r="Q122" s="470"/>
      <c r="R122" s="470"/>
      <c r="S122" s="470"/>
      <c r="T122" s="470"/>
    </row>
    <row r="123" spans="1:20" x14ac:dyDescent="0.2">
      <c r="A123" s="470"/>
      <c r="B123" s="470"/>
      <c r="C123" s="470"/>
      <c r="D123" s="470"/>
      <c r="E123" s="470"/>
      <c r="F123" s="470"/>
      <c r="G123" s="470"/>
      <c r="H123" s="481"/>
      <c r="I123" s="470"/>
      <c r="J123" s="470"/>
      <c r="K123" s="470"/>
      <c r="L123" s="470"/>
      <c r="M123" s="470"/>
      <c r="Q123" s="470"/>
      <c r="R123" s="470"/>
      <c r="S123" s="470"/>
      <c r="T123" s="470"/>
    </row>
    <row r="124" spans="1:20" x14ac:dyDescent="0.2">
      <c r="A124" s="483"/>
      <c r="B124" s="483"/>
      <c r="C124" s="470"/>
      <c r="D124" s="470"/>
      <c r="E124" s="470"/>
      <c r="F124" s="470"/>
      <c r="G124" s="470"/>
      <c r="H124" s="470"/>
      <c r="I124" s="470"/>
      <c r="J124" s="470"/>
      <c r="K124" s="470"/>
      <c r="L124" s="470"/>
      <c r="M124" s="470"/>
      <c r="Q124" s="470"/>
      <c r="R124" s="470"/>
      <c r="S124" s="470"/>
      <c r="T124" s="470"/>
    </row>
    <row r="125" spans="1:20" x14ac:dyDescent="0.2">
      <c r="A125" s="483"/>
      <c r="B125" s="483"/>
      <c r="C125" s="470"/>
      <c r="D125" s="470"/>
      <c r="E125" s="470"/>
      <c r="F125" s="470"/>
      <c r="G125" s="470"/>
      <c r="H125" s="470"/>
      <c r="I125" s="470"/>
      <c r="J125" s="470"/>
      <c r="K125" s="470"/>
      <c r="L125" s="470"/>
      <c r="M125" s="470"/>
      <c r="Q125" s="470"/>
      <c r="R125" s="470"/>
      <c r="S125" s="470"/>
      <c r="T125" s="470"/>
    </row>
    <row r="126" spans="1:20" x14ac:dyDescent="0.2">
      <c r="A126" s="483"/>
      <c r="B126" s="483"/>
      <c r="C126" s="470"/>
      <c r="D126" s="470"/>
      <c r="E126" s="470"/>
      <c r="F126" s="470"/>
      <c r="G126" s="470"/>
      <c r="H126" s="470"/>
      <c r="I126" s="470"/>
      <c r="J126" s="470"/>
      <c r="K126" s="470"/>
      <c r="L126" s="470"/>
      <c r="M126" s="470"/>
      <c r="Q126" s="470"/>
      <c r="R126" s="470"/>
      <c r="S126" s="470"/>
      <c r="T126" s="470"/>
    </row>
    <row r="127" spans="1:20" x14ac:dyDescent="0.2">
      <c r="A127" s="470"/>
      <c r="B127" s="470"/>
      <c r="C127" s="470"/>
      <c r="D127" s="470"/>
      <c r="E127" s="470"/>
      <c r="F127" s="470"/>
      <c r="G127" s="470"/>
      <c r="H127" s="470"/>
      <c r="I127" s="470"/>
      <c r="J127" s="470"/>
      <c r="K127" s="470"/>
      <c r="L127" s="481"/>
      <c r="M127" s="481"/>
      <c r="Q127" s="470"/>
      <c r="R127" s="470"/>
      <c r="S127" s="470"/>
      <c r="T127" s="470"/>
    </row>
    <row r="128" spans="1:20" x14ac:dyDescent="0.2">
      <c r="A128" s="481"/>
      <c r="B128" s="481"/>
      <c r="C128" s="483"/>
      <c r="D128" s="481"/>
      <c r="E128" s="470"/>
      <c r="F128" s="481"/>
      <c r="G128" s="470"/>
      <c r="H128" s="481"/>
      <c r="I128" s="470"/>
      <c r="J128" s="481"/>
      <c r="K128" s="470"/>
      <c r="L128" s="481"/>
      <c r="M128" s="470"/>
      <c r="Q128" s="470"/>
      <c r="R128" s="481"/>
      <c r="S128" s="470"/>
      <c r="T128" s="481"/>
    </row>
    <row r="129" spans="1:20" x14ac:dyDescent="0.2">
      <c r="A129" s="481"/>
      <c r="B129" s="481"/>
      <c r="C129" s="483"/>
      <c r="D129" s="481"/>
      <c r="E129" s="470"/>
      <c r="F129" s="481"/>
      <c r="G129" s="483"/>
      <c r="H129" s="481"/>
      <c r="I129" s="483"/>
      <c r="J129" s="481"/>
      <c r="K129" s="483"/>
      <c r="L129" s="470"/>
      <c r="M129" s="483"/>
      <c r="Q129" s="483"/>
      <c r="R129" s="481"/>
      <c r="S129" s="483"/>
      <c r="T129" s="481"/>
    </row>
    <row r="130" spans="1:20" x14ac:dyDescent="0.2">
      <c r="A130" s="470"/>
      <c r="B130" s="470"/>
      <c r="C130" s="470"/>
      <c r="D130" s="470"/>
      <c r="E130" s="470"/>
      <c r="F130" s="470"/>
      <c r="G130" s="470"/>
      <c r="H130" s="470"/>
      <c r="I130" s="470"/>
      <c r="J130" s="470"/>
      <c r="K130" s="470"/>
      <c r="L130" s="488"/>
      <c r="M130" s="470"/>
      <c r="Q130" s="470"/>
      <c r="R130" s="470"/>
      <c r="S130" s="470"/>
      <c r="T130" s="470"/>
    </row>
    <row r="131" spans="1:20" x14ac:dyDescent="0.2">
      <c r="A131" s="481"/>
      <c r="B131" s="481"/>
      <c r="C131" s="483"/>
      <c r="D131" s="488"/>
      <c r="E131" s="488"/>
      <c r="F131" s="488"/>
      <c r="G131" s="488"/>
      <c r="H131" s="488"/>
      <c r="I131" s="488"/>
      <c r="J131" s="488"/>
      <c r="K131" s="488"/>
      <c r="L131" s="488"/>
      <c r="M131" s="488"/>
      <c r="Q131" s="488"/>
      <c r="R131" s="488"/>
      <c r="S131" s="488"/>
      <c r="T131" s="488"/>
    </row>
    <row r="132" spans="1:20" x14ac:dyDescent="0.2">
      <c r="A132" s="481"/>
      <c r="B132" s="481"/>
      <c r="C132" s="483"/>
      <c r="D132" s="488"/>
      <c r="E132" s="488"/>
      <c r="F132" s="488"/>
      <c r="G132" s="488"/>
      <c r="H132" s="488"/>
      <c r="I132" s="488"/>
      <c r="J132" s="488"/>
      <c r="K132" s="488"/>
      <c r="L132" s="488"/>
      <c r="M132" s="488"/>
      <c r="Q132" s="488"/>
      <c r="R132" s="488"/>
      <c r="S132" s="488"/>
      <c r="T132" s="488"/>
    </row>
    <row r="133" spans="1:20" x14ac:dyDescent="0.2">
      <c r="A133" s="481"/>
      <c r="B133" s="481"/>
      <c r="C133" s="483"/>
      <c r="D133" s="488"/>
      <c r="E133" s="488"/>
      <c r="F133" s="488"/>
      <c r="G133" s="488"/>
      <c r="H133" s="488"/>
      <c r="I133" s="488"/>
      <c r="J133" s="488"/>
      <c r="K133" s="488"/>
      <c r="L133" s="488"/>
      <c r="M133" s="488"/>
      <c r="Q133" s="488"/>
      <c r="R133" s="488"/>
      <c r="S133" s="488"/>
      <c r="T133" s="488"/>
    </row>
    <row r="134" spans="1:20" x14ac:dyDescent="0.2">
      <c r="A134" s="481"/>
      <c r="B134" s="481"/>
      <c r="C134" s="483"/>
      <c r="D134" s="488"/>
      <c r="E134" s="488"/>
      <c r="F134" s="488"/>
      <c r="G134" s="488"/>
      <c r="H134" s="488"/>
      <c r="I134" s="488"/>
      <c r="J134" s="488"/>
      <c r="K134" s="488"/>
      <c r="L134" s="488"/>
      <c r="M134" s="488"/>
      <c r="Q134" s="488"/>
      <c r="R134" s="488"/>
      <c r="S134" s="488"/>
      <c r="T134" s="488"/>
    </row>
    <row r="135" spans="1:20" x14ac:dyDescent="0.2">
      <c r="A135" s="481"/>
      <c r="B135" s="481"/>
      <c r="C135" s="483"/>
      <c r="D135" s="488"/>
      <c r="E135" s="488"/>
      <c r="F135" s="488"/>
      <c r="G135" s="488"/>
      <c r="H135" s="488"/>
      <c r="I135" s="488"/>
      <c r="J135" s="488"/>
      <c r="K135" s="488"/>
      <c r="L135" s="488"/>
      <c r="M135" s="488"/>
      <c r="Q135" s="488"/>
      <c r="R135" s="488"/>
      <c r="S135" s="488"/>
      <c r="T135" s="488"/>
    </row>
    <row r="136" spans="1:20" x14ac:dyDescent="0.2">
      <c r="A136" s="481"/>
      <c r="B136" s="481"/>
      <c r="C136" s="483"/>
      <c r="D136" s="488"/>
      <c r="E136" s="488"/>
      <c r="F136" s="488"/>
      <c r="G136" s="488"/>
      <c r="H136" s="488"/>
      <c r="I136" s="488"/>
      <c r="J136" s="488"/>
      <c r="K136" s="488"/>
      <c r="L136" s="488"/>
      <c r="M136" s="488"/>
      <c r="Q136" s="488"/>
      <c r="R136" s="488"/>
      <c r="S136" s="488"/>
      <c r="T136" s="488"/>
    </row>
    <row r="137" spans="1:20" x14ac:dyDescent="0.2">
      <c r="A137" s="481"/>
      <c r="B137" s="481"/>
      <c r="C137" s="483"/>
      <c r="D137" s="488"/>
      <c r="E137" s="488"/>
      <c r="F137" s="488"/>
      <c r="G137" s="488"/>
      <c r="H137" s="488"/>
      <c r="I137" s="488"/>
      <c r="J137" s="488"/>
      <c r="K137" s="488"/>
      <c r="L137" s="470"/>
      <c r="M137" s="488"/>
      <c r="Q137" s="488"/>
      <c r="R137" s="488"/>
      <c r="S137" s="488"/>
      <c r="T137" s="488"/>
    </row>
    <row r="138" spans="1:20" x14ac:dyDescent="0.2">
      <c r="A138" s="481"/>
      <c r="B138" s="481"/>
      <c r="C138" s="470"/>
      <c r="D138" s="470"/>
      <c r="E138" s="470"/>
      <c r="F138" s="470"/>
      <c r="G138" s="470"/>
      <c r="H138" s="470"/>
      <c r="I138" s="470"/>
      <c r="J138" s="470"/>
      <c r="K138" s="470"/>
      <c r="L138" s="488"/>
      <c r="M138" s="470"/>
      <c r="Q138" s="470"/>
      <c r="R138" s="470"/>
      <c r="S138" s="470"/>
      <c r="T138" s="470"/>
    </row>
    <row r="139" spans="1:20" x14ac:dyDescent="0.2">
      <c r="A139" s="481"/>
      <c r="B139" s="481"/>
      <c r="C139" s="483"/>
      <c r="D139" s="488"/>
      <c r="E139" s="470"/>
      <c r="F139" s="488"/>
      <c r="G139" s="470"/>
      <c r="H139" s="488"/>
      <c r="I139" s="470"/>
      <c r="J139" s="488"/>
      <c r="K139" s="470"/>
      <c r="L139" s="470"/>
      <c r="M139" s="470"/>
      <c r="Q139" s="470"/>
      <c r="R139" s="488"/>
      <c r="S139" s="470"/>
      <c r="T139" s="488"/>
    </row>
    <row r="140" spans="1:20" x14ac:dyDescent="0.2">
      <c r="A140" s="481"/>
      <c r="B140" s="481"/>
      <c r="C140" s="470"/>
      <c r="D140" s="470"/>
      <c r="E140" s="470"/>
      <c r="F140" s="470"/>
      <c r="G140" s="470"/>
      <c r="H140" s="470"/>
      <c r="I140" s="470"/>
      <c r="J140" s="470"/>
      <c r="K140" s="470"/>
      <c r="L140" s="470"/>
      <c r="M140" s="470"/>
      <c r="Q140" s="470"/>
      <c r="R140" s="470"/>
      <c r="S140" s="470"/>
      <c r="T140" s="470"/>
    </row>
    <row r="141" spans="1:20" x14ac:dyDescent="0.2">
      <c r="A141" s="481"/>
      <c r="B141" s="481"/>
      <c r="C141" s="470"/>
      <c r="D141" s="470"/>
      <c r="E141" s="470"/>
      <c r="F141" s="470"/>
      <c r="G141" s="470"/>
      <c r="H141" s="470"/>
      <c r="I141" s="470"/>
      <c r="J141" s="470"/>
      <c r="K141" s="470"/>
      <c r="L141" s="470"/>
      <c r="M141" s="470"/>
      <c r="Q141" s="470"/>
      <c r="R141" s="470"/>
      <c r="S141" s="470"/>
      <c r="T141" s="470"/>
    </row>
    <row r="142" spans="1:20" x14ac:dyDescent="0.2">
      <c r="A142" s="481"/>
      <c r="B142" s="481"/>
      <c r="C142" s="470"/>
      <c r="D142" s="470"/>
      <c r="E142" s="470"/>
      <c r="F142" s="470"/>
      <c r="G142" s="470"/>
      <c r="H142" s="470"/>
      <c r="I142" s="470"/>
      <c r="J142" s="470"/>
      <c r="K142" s="470"/>
      <c r="M142" s="470"/>
      <c r="Q142" s="470"/>
      <c r="R142" s="470"/>
      <c r="S142" s="470"/>
      <c r="T142" s="470"/>
    </row>
    <row r="143" spans="1:20" x14ac:dyDescent="0.2">
      <c r="A143" s="481"/>
      <c r="B143" s="481"/>
      <c r="C143" s="483"/>
      <c r="D143" s="488"/>
      <c r="E143" s="470"/>
      <c r="F143" s="488"/>
      <c r="G143" s="488"/>
      <c r="H143" s="488"/>
      <c r="I143" s="488"/>
      <c r="J143" s="488"/>
      <c r="K143" s="488"/>
      <c r="L143" s="488"/>
      <c r="M143" s="488"/>
      <c r="N143" s="488"/>
      <c r="O143" s="488"/>
      <c r="P143" s="488"/>
      <c r="Q143" s="488"/>
      <c r="R143" s="488"/>
      <c r="S143" s="470"/>
      <c r="T143" s="470"/>
    </row>
    <row r="144" spans="1:20" x14ac:dyDescent="0.2">
      <c r="A144" s="481"/>
      <c r="B144" s="481"/>
      <c r="C144" s="483"/>
      <c r="D144" s="488"/>
      <c r="E144" s="470"/>
      <c r="F144" s="488"/>
      <c r="G144" s="488"/>
      <c r="H144" s="488"/>
      <c r="I144" s="488"/>
      <c r="J144" s="488"/>
      <c r="K144" s="488"/>
      <c r="L144" s="488"/>
      <c r="M144" s="488"/>
      <c r="N144" s="488"/>
      <c r="O144" s="488"/>
      <c r="P144" s="488"/>
      <c r="Q144" s="488"/>
      <c r="R144" s="488"/>
      <c r="S144" s="470"/>
      <c r="T144" s="470"/>
    </row>
    <row r="145" spans="1:20" x14ac:dyDescent="0.2">
      <c r="A145" s="481"/>
      <c r="B145" s="481"/>
      <c r="C145" s="483"/>
      <c r="D145" s="488"/>
      <c r="E145" s="470"/>
      <c r="F145" s="488"/>
      <c r="G145" s="488"/>
      <c r="H145" s="488"/>
      <c r="I145" s="488"/>
      <c r="J145" s="488"/>
      <c r="K145" s="488"/>
      <c r="L145" s="488"/>
      <c r="M145" s="488"/>
      <c r="N145" s="488"/>
      <c r="O145" s="488"/>
      <c r="P145" s="488"/>
      <c r="Q145" s="488"/>
      <c r="R145" s="488"/>
      <c r="S145" s="470"/>
      <c r="T145" s="470"/>
    </row>
    <row r="146" spans="1:20" x14ac:dyDescent="0.2">
      <c r="A146" s="481"/>
      <c r="B146" s="481"/>
      <c r="C146" s="483"/>
      <c r="D146" s="488"/>
      <c r="E146" s="470"/>
      <c r="F146" s="488"/>
      <c r="G146" s="488"/>
      <c r="H146" s="488"/>
      <c r="I146" s="488"/>
      <c r="J146" s="488"/>
      <c r="K146" s="488"/>
      <c r="L146" s="488"/>
      <c r="M146" s="488"/>
      <c r="N146" s="488"/>
      <c r="O146" s="488"/>
      <c r="P146" s="488"/>
      <c r="Q146" s="488"/>
      <c r="R146" s="488"/>
      <c r="S146" s="470"/>
      <c r="T146" s="470"/>
    </row>
    <row r="147" spans="1:20" x14ac:dyDescent="0.2">
      <c r="A147" s="481"/>
      <c r="B147" s="481"/>
      <c r="C147" s="483"/>
      <c r="D147" s="488"/>
      <c r="E147" s="470"/>
      <c r="F147" s="488"/>
      <c r="G147" s="488"/>
      <c r="H147" s="488"/>
      <c r="I147" s="488"/>
      <c r="J147" s="488"/>
      <c r="K147" s="488"/>
      <c r="L147" s="488"/>
      <c r="M147" s="488"/>
      <c r="N147" s="488"/>
      <c r="O147" s="488"/>
      <c r="P147" s="488"/>
      <c r="Q147" s="488"/>
      <c r="R147" s="488"/>
      <c r="S147" s="470"/>
      <c r="T147" s="470"/>
    </row>
    <row r="148" spans="1:20" x14ac:dyDescent="0.2">
      <c r="A148" s="481"/>
      <c r="B148" s="481"/>
      <c r="C148" s="483"/>
      <c r="D148" s="488"/>
      <c r="E148" s="470"/>
      <c r="F148" s="488"/>
      <c r="G148" s="488"/>
      <c r="H148" s="488"/>
      <c r="I148" s="488"/>
      <c r="J148" s="488"/>
      <c r="K148" s="488"/>
      <c r="L148" s="488"/>
      <c r="M148" s="488"/>
      <c r="N148" s="488"/>
      <c r="O148" s="488"/>
      <c r="P148" s="488"/>
      <c r="Q148" s="488"/>
      <c r="R148" s="488"/>
      <c r="S148" s="470"/>
      <c r="T148" s="470"/>
    </row>
    <row r="149" spans="1:20" x14ac:dyDescent="0.2">
      <c r="A149" s="481"/>
      <c r="B149" s="481"/>
      <c r="C149" s="483"/>
      <c r="D149" s="488"/>
      <c r="E149" s="470"/>
      <c r="F149" s="488"/>
      <c r="G149" s="488"/>
      <c r="H149" s="488"/>
      <c r="I149" s="488"/>
      <c r="J149" s="488"/>
      <c r="K149" s="488"/>
      <c r="L149" s="488"/>
      <c r="M149" s="488"/>
      <c r="N149" s="488"/>
      <c r="O149" s="488"/>
      <c r="P149" s="488"/>
      <c r="Q149" s="488"/>
      <c r="R149" s="488"/>
      <c r="S149" s="470"/>
      <c r="T149" s="470"/>
    </row>
    <row r="150" spans="1:20" x14ac:dyDescent="0.2">
      <c r="A150" s="481"/>
      <c r="B150" s="481"/>
      <c r="C150" s="483"/>
      <c r="D150" s="488"/>
      <c r="E150" s="470"/>
      <c r="F150" s="488"/>
      <c r="G150" s="488"/>
      <c r="H150" s="488"/>
      <c r="I150" s="488"/>
      <c r="J150" s="488"/>
      <c r="K150" s="488"/>
      <c r="L150" s="488"/>
      <c r="M150" s="488"/>
      <c r="N150" s="488"/>
      <c r="O150" s="488"/>
      <c r="P150" s="488"/>
      <c r="Q150" s="488"/>
      <c r="R150" s="488"/>
      <c r="S150" s="470"/>
      <c r="T150" s="470"/>
    </row>
    <row r="151" spans="1:20" x14ac:dyDescent="0.2">
      <c r="A151" s="481"/>
      <c r="B151" s="481"/>
      <c r="C151" s="483"/>
      <c r="D151" s="488"/>
      <c r="E151" s="470"/>
      <c r="F151" s="488"/>
      <c r="G151" s="488"/>
      <c r="H151" s="488"/>
      <c r="I151" s="488"/>
      <c r="J151" s="488"/>
      <c r="K151" s="488"/>
      <c r="L151" s="488"/>
      <c r="M151" s="488"/>
      <c r="N151" s="488"/>
      <c r="O151" s="488"/>
      <c r="P151" s="488"/>
      <c r="Q151" s="488"/>
      <c r="R151" s="488"/>
      <c r="S151" s="470"/>
      <c r="T151" s="470"/>
    </row>
    <row r="152" spans="1:20" x14ac:dyDescent="0.2">
      <c r="A152" s="481"/>
      <c r="B152" s="481"/>
      <c r="C152" s="483"/>
      <c r="D152" s="488"/>
      <c r="E152" s="470"/>
      <c r="F152" s="488"/>
      <c r="G152" s="488"/>
      <c r="H152" s="488"/>
      <c r="I152" s="488"/>
      <c r="J152" s="488"/>
      <c r="K152" s="488"/>
      <c r="L152" s="488"/>
      <c r="M152" s="488"/>
      <c r="N152" s="488"/>
      <c r="O152" s="488"/>
      <c r="P152" s="488"/>
      <c r="Q152" s="488"/>
      <c r="R152" s="488"/>
      <c r="S152" s="470"/>
      <c r="T152" s="470"/>
    </row>
    <row r="153" spans="1:20" x14ac:dyDescent="0.2">
      <c r="A153" s="481"/>
      <c r="B153" s="481"/>
      <c r="C153" s="483"/>
      <c r="D153" s="488"/>
      <c r="E153" s="470"/>
      <c r="F153" s="488"/>
      <c r="G153" s="488"/>
      <c r="H153" s="488"/>
      <c r="I153" s="488"/>
      <c r="J153" s="488"/>
      <c r="K153" s="488"/>
      <c r="L153" s="488"/>
      <c r="M153" s="488"/>
      <c r="N153" s="488"/>
      <c r="O153" s="488"/>
      <c r="P153" s="488"/>
      <c r="Q153" s="488"/>
      <c r="R153" s="488"/>
      <c r="S153" s="470"/>
      <c r="T153" s="470"/>
    </row>
    <row r="154" spans="1:20" x14ac:dyDescent="0.2">
      <c r="A154" s="481"/>
      <c r="B154" s="481"/>
      <c r="C154" s="483"/>
      <c r="D154" s="488"/>
      <c r="E154" s="470"/>
      <c r="F154" s="488"/>
      <c r="G154" s="488"/>
      <c r="H154" s="488"/>
      <c r="I154" s="488"/>
      <c r="J154" s="488"/>
      <c r="K154" s="488"/>
      <c r="L154" s="488"/>
      <c r="M154" s="488"/>
      <c r="N154" s="488"/>
      <c r="O154" s="488"/>
      <c r="P154" s="488"/>
      <c r="Q154" s="488"/>
      <c r="R154" s="488"/>
      <c r="S154" s="470"/>
      <c r="T154" s="470"/>
    </row>
    <row r="155" spans="1:20" x14ac:dyDescent="0.2">
      <c r="A155" s="481"/>
      <c r="B155" s="481"/>
      <c r="C155" s="483"/>
      <c r="D155" s="488"/>
      <c r="E155" s="470"/>
      <c r="F155" s="488"/>
      <c r="G155" s="488"/>
      <c r="H155" s="488"/>
      <c r="I155" s="488"/>
      <c r="J155" s="488"/>
      <c r="K155" s="488"/>
      <c r="L155" s="488"/>
      <c r="M155" s="488"/>
      <c r="N155" s="488"/>
      <c r="O155" s="488"/>
      <c r="P155" s="488"/>
      <c r="Q155" s="488"/>
      <c r="R155" s="488"/>
      <c r="S155" s="470"/>
      <c r="T155" s="470"/>
    </row>
    <row r="156" spans="1:20" x14ac:dyDescent="0.2">
      <c r="A156" s="481"/>
      <c r="B156" s="481"/>
      <c r="C156" s="483"/>
      <c r="D156" s="488"/>
      <c r="E156" s="470"/>
      <c r="F156" s="488"/>
      <c r="G156" s="488"/>
      <c r="H156" s="488"/>
      <c r="I156" s="488"/>
      <c r="J156" s="488"/>
      <c r="K156" s="488"/>
      <c r="L156" s="488"/>
      <c r="M156" s="488"/>
      <c r="N156" s="488"/>
      <c r="O156" s="488"/>
      <c r="P156" s="488"/>
      <c r="Q156" s="488"/>
      <c r="R156" s="488"/>
      <c r="S156" s="470"/>
      <c r="T156" s="470"/>
    </row>
    <row r="157" spans="1:20" x14ac:dyDescent="0.2">
      <c r="A157" s="481"/>
      <c r="B157" s="481"/>
      <c r="C157" s="483"/>
      <c r="D157" s="488"/>
      <c r="E157" s="470"/>
      <c r="F157" s="488"/>
      <c r="G157" s="488"/>
      <c r="H157" s="488"/>
      <c r="I157" s="488"/>
      <c r="J157" s="488"/>
      <c r="K157" s="488"/>
      <c r="L157" s="488"/>
      <c r="M157" s="488"/>
      <c r="N157" s="488"/>
      <c r="O157" s="488"/>
      <c r="P157" s="488"/>
      <c r="Q157" s="488"/>
      <c r="R157" s="488"/>
      <c r="S157" s="470"/>
      <c r="T157" s="470"/>
    </row>
    <row r="158" spans="1:20" x14ac:dyDescent="0.2">
      <c r="A158" s="481"/>
      <c r="B158" s="481"/>
      <c r="C158" s="470"/>
      <c r="D158" s="470"/>
      <c r="E158" s="470"/>
      <c r="F158" s="470"/>
      <c r="G158" s="470"/>
      <c r="H158" s="470"/>
      <c r="I158" s="470"/>
      <c r="J158" s="470"/>
      <c r="K158" s="470"/>
      <c r="L158" s="470"/>
      <c r="M158" s="470"/>
      <c r="N158" s="470"/>
      <c r="O158" s="470"/>
      <c r="P158" s="470"/>
      <c r="Q158" s="470"/>
      <c r="R158" s="470"/>
      <c r="S158" s="470"/>
      <c r="T158" s="470"/>
    </row>
    <row r="159" spans="1:20" x14ac:dyDescent="0.2">
      <c r="A159" s="481"/>
      <c r="B159" s="481"/>
      <c r="C159" s="483"/>
      <c r="D159" s="488"/>
      <c r="E159" s="470"/>
      <c r="F159" s="488"/>
      <c r="G159" s="488"/>
      <c r="H159" s="488"/>
      <c r="I159" s="488"/>
      <c r="J159" s="488"/>
      <c r="K159" s="488"/>
      <c r="L159" s="488"/>
      <c r="M159" s="488"/>
      <c r="N159" s="488"/>
      <c r="O159" s="488"/>
      <c r="P159" s="488"/>
      <c r="Q159" s="488"/>
      <c r="R159" s="488"/>
      <c r="S159" s="470"/>
      <c r="T159" s="470"/>
    </row>
    <row r="160" spans="1:20" x14ac:dyDescent="0.2">
      <c r="A160" s="481"/>
      <c r="B160" s="481"/>
      <c r="C160" s="470"/>
      <c r="D160" s="470"/>
      <c r="E160" s="470"/>
      <c r="F160" s="470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0"/>
      <c r="T160" s="470"/>
    </row>
    <row r="161" spans="1:20" x14ac:dyDescent="0.2">
      <c r="A161" s="481"/>
      <c r="B161" s="481"/>
      <c r="C161" s="483"/>
      <c r="D161" s="499"/>
      <c r="E161" s="470"/>
      <c r="F161" s="488"/>
      <c r="G161" s="488"/>
      <c r="H161" s="488"/>
      <c r="I161" s="488"/>
      <c r="J161" s="488"/>
      <c r="K161" s="488"/>
      <c r="L161" s="488"/>
      <c r="M161" s="488"/>
      <c r="N161" s="488"/>
      <c r="O161" s="488"/>
      <c r="P161" s="488"/>
      <c r="Q161" s="488"/>
      <c r="R161" s="488"/>
      <c r="S161" s="470"/>
      <c r="T161" s="470"/>
    </row>
    <row r="162" spans="1:20" x14ac:dyDescent="0.2">
      <c r="A162" s="481"/>
      <c r="B162" s="481"/>
      <c r="C162" s="470"/>
      <c r="D162" s="470"/>
      <c r="E162" s="470"/>
      <c r="F162" s="488"/>
      <c r="G162" s="488"/>
      <c r="H162" s="488"/>
      <c r="I162" s="488"/>
      <c r="J162" s="488"/>
      <c r="K162" s="488"/>
      <c r="L162" s="488"/>
      <c r="M162" s="488"/>
      <c r="N162" s="488"/>
      <c r="O162" s="488"/>
      <c r="P162" s="488"/>
      <c r="Q162" s="488"/>
      <c r="R162" s="488"/>
      <c r="S162" s="470"/>
      <c r="T162" s="470"/>
    </row>
    <row r="163" spans="1:20" x14ac:dyDescent="0.2">
      <c r="A163" s="481"/>
      <c r="B163" s="481"/>
      <c r="C163" s="483"/>
      <c r="D163" s="499"/>
      <c r="E163" s="470"/>
      <c r="F163" s="488"/>
      <c r="G163" s="488"/>
      <c r="H163" s="488"/>
      <c r="I163" s="488"/>
      <c r="J163" s="488"/>
      <c r="K163" s="488"/>
      <c r="L163" s="488"/>
      <c r="M163" s="488"/>
      <c r="N163" s="488"/>
      <c r="O163" s="488"/>
      <c r="P163" s="488"/>
      <c r="Q163" s="488"/>
      <c r="R163" s="488"/>
      <c r="S163" s="470"/>
      <c r="T163" s="470"/>
    </row>
    <row r="164" spans="1:20" x14ac:dyDescent="0.2">
      <c r="A164" s="481"/>
      <c r="B164" s="481"/>
      <c r="C164" s="470"/>
      <c r="D164" s="470"/>
      <c r="E164" s="470"/>
      <c r="F164" s="488"/>
      <c r="G164" s="488"/>
      <c r="H164" s="488"/>
      <c r="I164" s="488"/>
      <c r="J164" s="488"/>
      <c r="K164" s="488"/>
      <c r="L164" s="488"/>
      <c r="M164" s="488"/>
      <c r="N164" s="488"/>
      <c r="O164" s="488"/>
      <c r="P164" s="488"/>
      <c r="Q164" s="488"/>
      <c r="R164" s="488"/>
      <c r="S164" s="470"/>
      <c r="T164" s="470"/>
    </row>
    <row r="165" spans="1:20" x14ac:dyDescent="0.2">
      <c r="A165" s="481"/>
      <c r="B165" s="481"/>
      <c r="C165" s="483"/>
      <c r="D165" s="470"/>
      <c r="E165" s="470"/>
      <c r="F165" s="488"/>
      <c r="G165" s="488"/>
      <c r="H165" s="488"/>
      <c r="I165" s="488"/>
      <c r="J165" s="488"/>
      <c r="K165" s="488"/>
      <c r="L165" s="488"/>
      <c r="M165" s="488"/>
      <c r="N165" s="488"/>
      <c r="O165" s="488"/>
      <c r="P165" s="488"/>
      <c r="Q165" s="488"/>
      <c r="R165" s="488"/>
      <c r="S165" s="470"/>
      <c r="T165" s="470"/>
    </row>
    <row r="166" spans="1:20" x14ac:dyDescent="0.2">
      <c r="A166" s="481"/>
      <c r="B166" s="481"/>
      <c r="C166" s="470"/>
      <c r="D166" s="470"/>
      <c r="E166" s="470"/>
      <c r="F166" s="470"/>
      <c r="G166" s="470"/>
      <c r="H166" s="470"/>
      <c r="I166" s="470"/>
      <c r="J166" s="470"/>
      <c r="K166" s="470"/>
      <c r="L166" s="470"/>
      <c r="M166" s="470"/>
      <c r="N166" s="470"/>
      <c r="O166" s="470"/>
      <c r="P166" s="470"/>
      <c r="Q166" s="470"/>
      <c r="R166" s="470"/>
      <c r="S166" s="470"/>
      <c r="T166" s="470"/>
    </row>
    <row r="167" spans="1:20" x14ac:dyDescent="0.2">
      <c r="A167" s="481"/>
      <c r="B167" s="481"/>
      <c r="C167" s="470"/>
      <c r="D167" s="470"/>
      <c r="E167" s="470"/>
      <c r="F167" s="470"/>
      <c r="G167" s="470"/>
      <c r="H167" s="470"/>
      <c r="I167" s="470"/>
      <c r="J167" s="470"/>
      <c r="K167" s="470"/>
      <c r="L167" s="470"/>
      <c r="M167" s="470"/>
      <c r="N167" s="470"/>
      <c r="O167" s="470"/>
      <c r="P167" s="470"/>
      <c r="Q167" s="470"/>
      <c r="R167" s="470"/>
      <c r="S167" s="470"/>
      <c r="T167" s="470"/>
    </row>
    <row r="168" spans="1:20" x14ac:dyDescent="0.2">
      <c r="A168" s="481"/>
      <c r="B168" s="481"/>
      <c r="C168" s="470"/>
      <c r="D168" s="470"/>
      <c r="E168" s="470"/>
      <c r="F168" s="470"/>
      <c r="G168" s="470"/>
      <c r="H168" s="470"/>
      <c r="I168" s="470"/>
      <c r="J168" s="470"/>
      <c r="K168" s="470"/>
      <c r="L168" s="470"/>
      <c r="M168" s="470"/>
      <c r="N168" s="470"/>
      <c r="O168" s="470"/>
      <c r="P168" s="470"/>
      <c r="Q168" s="470"/>
      <c r="R168" s="470"/>
      <c r="S168" s="470"/>
      <c r="T168" s="470"/>
    </row>
    <row r="169" spans="1:20" x14ac:dyDescent="0.2">
      <c r="A169" s="481"/>
      <c r="B169" s="481"/>
      <c r="C169" s="470"/>
      <c r="D169" s="470"/>
      <c r="E169" s="470"/>
      <c r="F169" s="470"/>
      <c r="G169" s="470"/>
      <c r="H169" s="470"/>
      <c r="I169" s="470"/>
      <c r="J169" s="470"/>
      <c r="K169" s="470"/>
      <c r="L169" s="470"/>
      <c r="M169" s="470"/>
      <c r="N169" s="470"/>
      <c r="O169" s="470"/>
      <c r="P169" s="470"/>
      <c r="Q169" s="470"/>
      <c r="R169" s="470"/>
      <c r="S169" s="470"/>
      <c r="T169" s="470"/>
    </row>
    <row r="170" spans="1:20" x14ac:dyDescent="0.2">
      <c r="A170" s="481"/>
      <c r="B170" s="481"/>
      <c r="C170" s="470"/>
      <c r="D170" s="470"/>
      <c r="E170" s="470"/>
      <c r="F170" s="470"/>
      <c r="G170" s="470"/>
      <c r="H170" s="470"/>
      <c r="I170" s="470"/>
      <c r="J170" s="470"/>
      <c r="K170" s="470"/>
      <c r="L170" s="470"/>
      <c r="M170" s="470"/>
      <c r="N170" s="470"/>
      <c r="O170" s="470"/>
      <c r="P170" s="470"/>
      <c r="Q170" s="470"/>
      <c r="R170" s="470"/>
      <c r="S170" s="470"/>
      <c r="T170" s="470"/>
    </row>
    <row r="171" spans="1:20" x14ac:dyDescent="0.2">
      <c r="A171" s="481"/>
      <c r="B171" s="481"/>
      <c r="C171" s="470"/>
      <c r="D171" s="470"/>
      <c r="E171" s="470"/>
      <c r="F171" s="470"/>
      <c r="G171" s="470"/>
      <c r="H171" s="470"/>
      <c r="I171" s="470"/>
      <c r="J171" s="470"/>
      <c r="K171" s="470"/>
      <c r="L171" s="470"/>
      <c r="M171" s="470"/>
      <c r="N171" s="470"/>
      <c r="O171" s="470"/>
      <c r="P171" s="470"/>
      <c r="Q171" s="470"/>
      <c r="R171" s="470"/>
      <c r="S171" s="470"/>
      <c r="T171" s="470"/>
    </row>
    <row r="172" spans="1:20" x14ac:dyDescent="0.2">
      <c r="A172" s="470"/>
      <c r="B172" s="470"/>
      <c r="C172" s="470"/>
      <c r="D172" s="470"/>
      <c r="E172" s="470"/>
      <c r="F172" s="470"/>
      <c r="G172" s="470"/>
      <c r="H172" s="481"/>
      <c r="I172" s="470"/>
      <c r="J172" s="470"/>
      <c r="K172" s="470"/>
      <c r="L172" s="470"/>
      <c r="M172" s="470"/>
      <c r="N172" s="470"/>
      <c r="O172" s="470"/>
      <c r="P172" s="470"/>
      <c r="Q172" s="470"/>
      <c r="R172" s="470"/>
      <c r="S172" s="470"/>
      <c r="T172" s="470"/>
    </row>
    <row r="173" spans="1:20" x14ac:dyDescent="0.2">
      <c r="A173" s="470"/>
      <c r="B173" s="470"/>
      <c r="C173" s="470"/>
      <c r="D173" s="497"/>
      <c r="E173" s="470"/>
      <c r="F173" s="470"/>
      <c r="G173" s="470"/>
      <c r="H173" s="481"/>
      <c r="I173" s="470"/>
      <c r="J173" s="470"/>
      <c r="K173" s="470"/>
      <c r="L173" s="470"/>
      <c r="M173" s="470"/>
      <c r="N173" s="470"/>
      <c r="O173" s="470"/>
      <c r="P173" s="470"/>
      <c r="Q173" s="470"/>
      <c r="R173" s="470"/>
      <c r="S173" s="470"/>
      <c r="T173" s="470"/>
    </row>
    <row r="174" spans="1:20" x14ac:dyDescent="0.2">
      <c r="A174" s="470"/>
      <c r="B174" s="470"/>
      <c r="C174" s="470"/>
      <c r="D174" s="498"/>
      <c r="E174" s="470"/>
      <c r="F174" s="470"/>
      <c r="G174" s="470"/>
      <c r="H174" s="481"/>
      <c r="I174" s="470"/>
      <c r="J174" s="470"/>
      <c r="K174" s="470"/>
      <c r="L174" s="470"/>
      <c r="M174" s="470"/>
      <c r="N174" s="470"/>
      <c r="O174" s="470"/>
      <c r="P174" s="470"/>
      <c r="Q174" s="470"/>
      <c r="R174" s="470"/>
      <c r="S174" s="470"/>
      <c r="T174" s="470"/>
    </row>
    <row r="175" spans="1:20" x14ac:dyDescent="0.2">
      <c r="A175" s="470"/>
      <c r="B175" s="470"/>
      <c r="C175" s="470"/>
      <c r="D175" s="470"/>
      <c r="E175" s="470"/>
      <c r="F175" s="470"/>
      <c r="G175" s="470"/>
      <c r="H175" s="481"/>
      <c r="I175" s="470"/>
      <c r="J175" s="470"/>
      <c r="K175" s="470"/>
      <c r="L175" s="470"/>
      <c r="M175" s="470"/>
      <c r="N175" s="470"/>
      <c r="O175" s="470"/>
      <c r="P175" s="470"/>
      <c r="Q175" s="470"/>
      <c r="R175" s="470"/>
      <c r="S175" s="470"/>
      <c r="T175" s="470"/>
    </row>
    <row r="176" spans="1:20" x14ac:dyDescent="0.2">
      <c r="A176" s="470"/>
      <c r="B176" s="470"/>
      <c r="C176" s="470"/>
      <c r="D176" s="470"/>
      <c r="E176" s="470"/>
      <c r="F176" s="470"/>
      <c r="G176" s="470"/>
      <c r="H176" s="481"/>
      <c r="I176" s="470"/>
      <c r="J176" s="470"/>
      <c r="K176" s="470"/>
      <c r="L176" s="470"/>
      <c r="M176" s="470"/>
      <c r="N176" s="470"/>
      <c r="O176" s="470"/>
      <c r="P176" s="470"/>
      <c r="Q176" s="470"/>
      <c r="R176" s="470"/>
      <c r="S176" s="470"/>
      <c r="T176" s="470"/>
    </row>
    <row r="177" spans="1:20" x14ac:dyDescent="0.2">
      <c r="A177" s="483"/>
      <c r="B177" s="483"/>
      <c r="C177" s="470"/>
      <c r="D177" s="470"/>
      <c r="E177" s="470"/>
      <c r="F177" s="470"/>
      <c r="G177" s="470"/>
      <c r="H177" s="470"/>
      <c r="I177" s="470"/>
      <c r="J177" s="470"/>
      <c r="K177" s="470"/>
      <c r="L177" s="470"/>
      <c r="M177" s="470"/>
      <c r="N177" s="470"/>
      <c r="O177" s="470"/>
      <c r="P177" s="470"/>
      <c r="Q177" s="470"/>
      <c r="R177" s="470"/>
      <c r="S177" s="470"/>
      <c r="T177" s="470"/>
    </row>
    <row r="178" spans="1:20" x14ac:dyDescent="0.2">
      <c r="A178" s="483"/>
      <c r="B178" s="483"/>
      <c r="C178" s="470"/>
      <c r="D178" s="470"/>
      <c r="E178" s="470"/>
      <c r="F178" s="470"/>
      <c r="G178" s="470"/>
      <c r="H178" s="470"/>
      <c r="I178" s="470"/>
      <c r="J178" s="470"/>
      <c r="K178" s="470"/>
      <c r="L178" s="470"/>
      <c r="M178" s="470"/>
      <c r="N178" s="470"/>
      <c r="O178" s="470"/>
      <c r="P178" s="470"/>
      <c r="Q178" s="470"/>
      <c r="R178" s="470"/>
      <c r="S178" s="470"/>
      <c r="T178" s="470"/>
    </row>
    <row r="179" spans="1:20" x14ac:dyDescent="0.2">
      <c r="A179" s="483"/>
      <c r="B179" s="483"/>
      <c r="C179" s="470"/>
      <c r="D179" s="470"/>
      <c r="E179" s="470"/>
      <c r="F179" s="470"/>
      <c r="G179" s="470"/>
      <c r="H179" s="470"/>
      <c r="I179" s="470"/>
      <c r="J179" s="470"/>
      <c r="K179" s="470"/>
      <c r="L179" s="470"/>
      <c r="M179" s="470"/>
      <c r="N179" s="470"/>
      <c r="O179" s="470"/>
      <c r="P179" s="470"/>
      <c r="Q179" s="470"/>
      <c r="R179" s="470"/>
      <c r="S179" s="470"/>
      <c r="T179" s="470"/>
    </row>
    <row r="180" spans="1:20" x14ac:dyDescent="0.2">
      <c r="A180" s="470"/>
      <c r="B180" s="470"/>
      <c r="C180" s="470"/>
      <c r="D180" s="470"/>
      <c r="E180" s="470"/>
      <c r="F180" s="470"/>
      <c r="G180" s="470"/>
      <c r="H180" s="470"/>
      <c r="I180" s="470"/>
      <c r="J180" s="470"/>
      <c r="K180" s="470"/>
      <c r="L180" s="470"/>
      <c r="M180" s="481"/>
      <c r="N180" s="470"/>
      <c r="O180" s="470"/>
      <c r="P180" s="470"/>
      <c r="Q180" s="470"/>
      <c r="R180" s="470"/>
      <c r="S180" s="470"/>
      <c r="T180" s="470"/>
    </row>
    <row r="181" spans="1:20" x14ac:dyDescent="0.2">
      <c r="A181" s="481"/>
      <c r="B181" s="481"/>
      <c r="C181" s="483"/>
      <c r="D181" s="481"/>
      <c r="E181" s="470"/>
      <c r="F181" s="481"/>
      <c r="G181" s="470"/>
      <c r="H181" s="481"/>
      <c r="I181" s="470"/>
      <c r="J181" s="481"/>
      <c r="K181" s="470"/>
      <c r="L181" s="481"/>
      <c r="M181" s="470"/>
      <c r="N181" s="470"/>
      <c r="O181" s="470"/>
      <c r="P181" s="470"/>
      <c r="Q181" s="470"/>
      <c r="R181" s="470"/>
      <c r="S181" s="470"/>
      <c r="T181" s="470"/>
    </row>
    <row r="182" spans="1:20" x14ac:dyDescent="0.2">
      <c r="A182" s="481"/>
      <c r="B182" s="481"/>
      <c r="C182" s="483"/>
      <c r="D182" s="481"/>
      <c r="E182" s="470"/>
      <c r="F182" s="481"/>
      <c r="G182" s="470"/>
      <c r="H182" s="481"/>
      <c r="I182" s="470"/>
      <c r="J182" s="481"/>
      <c r="K182" s="470"/>
      <c r="L182" s="481"/>
      <c r="M182" s="483"/>
      <c r="N182" s="470"/>
      <c r="O182" s="470"/>
      <c r="P182" s="470"/>
      <c r="Q182" s="470"/>
      <c r="R182" s="470"/>
      <c r="S182" s="470"/>
      <c r="T182" s="470"/>
    </row>
    <row r="183" spans="1:20" x14ac:dyDescent="0.2">
      <c r="A183" s="470"/>
      <c r="B183" s="470"/>
      <c r="C183" s="470"/>
      <c r="D183" s="470"/>
      <c r="E183" s="470"/>
      <c r="F183" s="470"/>
      <c r="G183" s="470"/>
      <c r="H183" s="470"/>
      <c r="I183" s="470"/>
      <c r="J183" s="470"/>
      <c r="K183" s="470"/>
      <c r="L183" s="470"/>
      <c r="M183" s="470"/>
      <c r="N183" s="470"/>
      <c r="O183" s="470"/>
      <c r="P183" s="470"/>
      <c r="Q183" s="470"/>
      <c r="R183" s="470"/>
      <c r="S183" s="470"/>
      <c r="T183" s="470"/>
    </row>
    <row r="184" spans="1:20" x14ac:dyDescent="0.2">
      <c r="A184" s="481"/>
      <c r="B184" s="481"/>
      <c r="C184" s="483"/>
      <c r="D184" s="488"/>
      <c r="E184" s="488"/>
      <c r="F184" s="488"/>
      <c r="G184" s="488"/>
      <c r="H184" s="488"/>
      <c r="I184" s="488"/>
      <c r="J184" s="488"/>
      <c r="K184" s="488"/>
      <c r="L184" s="488"/>
      <c r="M184" s="488"/>
      <c r="N184" s="470"/>
      <c r="O184" s="488"/>
      <c r="P184" s="470"/>
      <c r="Q184" s="488"/>
      <c r="R184" s="488"/>
      <c r="S184" s="470"/>
      <c r="T184" s="470"/>
    </row>
    <row r="185" spans="1:20" x14ac:dyDescent="0.2">
      <c r="A185" s="481"/>
      <c r="B185" s="481"/>
      <c r="C185" s="483"/>
      <c r="D185" s="488"/>
      <c r="E185" s="488"/>
      <c r="F185" s="488"/>
      <c r="G185" s="488"/>
      <c r="H185" s="488"/>
      <c r="I185" s="488"/>
      <c r="J185" s="488"/>
      <c r="K185" s="488"/>
      <c r="L185" s="488"/>
      <c r="M185" s="488"/>
      <c r="N185" s="470"/>
      <c r="O185" s="488"/>
      <c r="P185" s="470"/>
      <c r="Q185" s="488"/>
      <c r="R185" s="488"/>
      <c r="S185" s="470"/>
      <c r="T185" s="470"/>
    </row>
    <row r="186" spans="1:20" x14ac:dyDescent="0.2">
      <c r="A186" s="481"/>
      <c r="B186" s="481"/>
      <c r="C186" s="483"/>
      <c r="D186" s="488"/>
      <c r="E186" s="488"/>
      <c r="F186" s="488"/>
      <c r="G186" s="488"/>
      <c r="H186" s="488"/>
      <c r="I186" s="488"/>
      <c r="J186" s="488"/>
      <c r="K186" s="488"/>
      <c r="L186" s="488"/>
      <c r="M186" s="488"/>
      <c r="N186" s="470"/>
      <c r="O186" s="488"/>
      <c r="P186" s="470"/>
      <c r="Q186" s="488"/>
      <c r="R186" s="488"/>
      <c r="S186" s="470"/>
      <c r="T186" s="470"/>
    </row>
    <row r="187" spans="1:20" x14ac:dyDescent="0.2">
      <c r="A187" s="481"/>
      <c r="B187" s="481"/>
      <c r="C187" s="483"/>
      <c r="D187" s="488"/>
      <c r="E187" s="488"/>
      <c r="F187" s="488"/>
      <c r="G187" s="488"/>
      <c r="H187" s="488"/>
      <c r="I187" s="488"/>
      <c r="J187" s="488"/>
      <c r="K187" s="488"/>
      <c r="L187" s="488"/>
      <c r="M187" s="488"/>
      <c r="N187" s="470"/>
      <c r="O187" s="488"/>
      <c r="P187" s="470"/>
      <c r="Q187" s="488"/>
      <c r="R187" s="488"/>
      <c r="S187" s="470"/>
      <c r="T187" s="470"/>
    </row>
    <row r="188" spans="1:20" x14ac:dyDescent="0.2">
      <c r="A188" s="481"/>
      <c r="B188" s="481"/>
      <c r="C188" s="483"/>
      <c r="D188" s="488"/>
      <c r="E188" s="488"/>
      <c r="F188" s="488"/>
      <c r="G188" s="488"/>
      <c r="H188" s="488"/>
      <c r="I188" s="488"/>
      <c r="J188" s="488"/>
      <c r="K188" s="488"/>
      <c r="L188" s="488"/>
      <c r="M188" s="488"/>
      <c r="N188" s="470"/>
      <c r="O188" s="488"/>
      <c r="P188" s="470"/>
      <c r="Q188" s="488"/>
      <c r="R188" s="488"/>
      <c r="S188" s="470"/>
      <c r="T188" s="470"/>
    </row>
    <row r="189" spans="1:20" x14ac:dyDescent="0.2">
      <c r="A189" s="481"/>
      <c r="B189" s="481"/>
      <c r="C189" s="483"/>
      <c r="D189" s="488"/>
      <c r="E189" s="488"/>
      <c r="F189" s="488"/>
      <c r="G189" s="488"/>
      <c r="H189" s="488"/>
      <c r="I189" s="488"/>
      <c r="J189" s="488"/>
      <c r="K189" s="488"/>
      <c r="L189" s="488"/>
      <c r="M189" s="488"/>
      <c r="N189" s="470"/>
      <c r="O189" s="488"/>
      <c r="P189" s="470"/>
      <c r="Q189" s="488"/>
      <c r="R189" s="488"/>
      <c r="S189" s="470"/>
      <c r="T189" s="470"/>
    </row>
    <row r="190" spans="1:20" x14ac:dyDescent="0.2">
      <c r="A190" s="481"/>
      <c r="B190" s="481"/>
      <c r="C190" s="483"/>
      <c r="D190" s="488"/>
      <c r="E190" s="488"/>
      <c r="F190" s="488"/>
      <c r="G190" s="488"/>
      <c r="H190" s="488"/>
      <c r="I190" s="488"/>
      <c r="J190" s="488"/>
      <c r="K190" s="488"/>
      <c r="L190" s="488"/>
      <c r="M190" s="488"/>
      <c r="N190" s="470"/>
      <c r="O190" s="488"/>
      <c r="P190" s="470"/>
      <c r="Q190" s="488"/>
      <c r="R190" s="488"/>
      <c r="S190" s="470"/>
      <c r="T190" s="470"/>
    </row>
    <row r="191" spans="1:20" x14ac:dyDescent="0.2">
      <c r="A191" s="481"/>
      <c r="B191" s="481"/>
      <c r="C191" s="483"/>
      <c r="D191" s="488"/>
      <c r="E191" s="488"/>
      <c r="F191" s="488"/>
      <c r="G191" s="488"/>
      <c r="H191" s="488"/>
      <c r="I191" s="488"/>
      <c r="J191" s="488"/>
      <c r="K191" s="488"/>
      <c r="L191" s="488"/>
      <c r="M191" s="488"/>
      <c r="N191" s="470"/>
      <c r="O191" s="488"/>
      <c r="P191" s="470"/>
      <c r="Q191" s="488"/>
      <c r="R191" s="488"/>
      <c r="S191" s="470"/>
      <c r="T191" s="470"/>
    </row>
    <row r="192" spans="1:20" x14ac:dyDescent="0.2">
      <c r="A192" s="481"/>
      <c r="B192" s="481"/>
      <c r="C192" s="483"/>
      <c r="D192" s="488"/>
      <c r="E192" s="488"/>
      <c r="F192" s="488"/>
      <c r="G192" s="488"/>
      <c r="H192" s="488"/>
      <c r="I192" s="488"/>
      <c r="J192" s="488"/>
      <c r="K192" s="488"/>
      <c r="L192" s="488"/>
      <c r="M192" s="488"/>
      <c r="N192" s="470"/>
      <c r="O192" s="488"/>
      <c r="P192" s="470"/>
      <c r="Q192" s="488"/>
      <c r="R192" s="488"/>
      <c r="S192" s="470"/>
      <c r="T192" s="470"/>
    </row>
    <row r="193" spans="1:20" x14ac:dyDescent="0.2">
      <c r="A193" s="481"/>
      <c r="B193" s="481"/>
      <c r="C193" s="483"/>
      <c r="D193" s="488"/>
      <c r="E193" s="488"/>
      <c r="F193" s="488"/>
      <c r="G193" s="488"/>
      <c r="H193" s="488"/>
      <c r="I193" s="488"/>
      <c r="J193" s="488"/>
      <c r="K193" s="488"/>
      <c r="L193" s="488"/>
      <c r="M193" s="488"/>
      <c r="N193" s="470"/>
      <c r="O193" s="488"/>
      <c r="P193" s="470"/>
      <c r="Q193" s="488"/>
      <c r="R193" s="488"/>
      <c r="S193" s="470"/>
      <c r="T193" s="470"/>
    </row>
    <row r="194" spans="1:20" x14ac:dyDescent="0.2">
      <c r="A194" s="481"/>
      <c r="B194" s="481"/>
      <c r="C194" s="483"/>
      <c r="D194" s="488"/>
      <c r="E194" s="488"/>
      <c r="F194" s="488"/>
      <c r="G194" s="488"/>
      <c r="H194" s="488"/>
      <c r="I194" s="488"/>
      <c r="J194" s="488"/>
      <c r="K194" s="488"/>
      <c r="L194" s="488"/>
      <c r="M194" s="488"/>
      <c r="N194" s="470"/>
      <c r="O194" s="488"/>
      <c r="P194" s="470"/>
      <c r="Q194" s="488"/>
      <c r="R194" s="488"/>
      <c r="S194" s="470"/>
      <c r="T194" s="470"/>
    </row>
    <row r="195" spans="1:20" x14ac:dyDescent="0.2">
      <c r="A195" s="481"/>
      <c r="B195" s="481"/>
      <c r="C195" s="483"/>
      <c r="D195" s="488"/>
      <c r="E195" s="488"/>
      <c r="F195" s="488"/>
      <c r="G195" s="488"/>
      <c r="H195" s="488"/>
      <c r="I195" s="488"/>
      <c r="J195" s="488"/>
      <c r="K195" s="488"/>
      <c r="L195" s="488"/>
      <c r="M195" s="488"/>
      <c r="N195" s="470"/>
      <c r="O195" s="488"/>
      <c r="P195" s="470"/>
      <c r="Q195" s="488"/>
      <c r="R195" s="488"/>
      <c r="S195" s="470"/>
      <c r="T195" s="470"/>
    </row>
    <row r="196" spans="1:20" x14ac:dyDescent="0.2">
      <c r="A196" s="481"/>
      <c r="B196" s="481"/>
      <c r="C196" s="483"/>
      <c r="D196" s="488"/>
      <c r="E196" s="488"/>
      <c r="F196" s="488"/>
      <c r="G196" s="488"/>
      <c r="H196" s="488"/>
      <c r="I196" s="488"/>
      <c r="J196" s="488"/>
      <c r="K196" s="488"/>
      <c r="L196" s="488"/>
      <c r="M196" s="488"/>
      <c r="N196" s="470"/>
      <c r="O196" s="488"/>
      <c r="P196" s="470"/>
      <c r="Q196" s="488"/>
      <c r="R196" s="488"/>
      <c r="S196" s="470"/>
      <c r="T196" s="470"/>
    </row>
    <row r="197" spans="1:20" x14ac:dyDescent="0.2">
      <c r="A197" s="481"/>
      <c r="B197" s="481"/>
      <c r="C197" s="483"/>
      <c r="D197" s="488"/>
      <c r="E197" s="488"/>
      <c r="F197" s="488"/>
      <c r="G197" s="488"/>
      <c r="H197" s="488"/>
      <c r="I197" s="488"/>
      <c r="J197" s="488"/>
      <c r="K197" s="488"/>
      <c r="L197" s="488"/>
      <c r="M197" s="488"/>
      <c r="N197" s="470"/>
      <c r="O197" s="488"/>
      <c r="P197" s="470"/>
      <c r="Q197" s="488"/>
      <c r="R197" s="488"/>
      <c r="S197" s="470"/>
      <c r="T197" s="470"/>
    </row>
    <row r="198" spans="1:20" x14ac:dyDescent="0.2">
      <c r="A198" s="481"/>
      <c r="B198" s="481"/>
      <c r="C198" s="483"/>
      <c r="D198" s="488"/>
      <c r="E198" s="488"/>
      <c r="F198" s="488"/>
      <c r="G198" s="488"/>
      <c r="H198" s="488"/>
      <c r="I198" s="488"/>
      <c r="J198" s="488"/>
      <c r="K198" s="488"/>
      <c r="L198" s="488"/>
      <c r="M198" s="488"/>
      <c r="N198" s="470"/>
      <c r="O198" s="488"/>
      <c r="P198" s="470"/>
      <c r="Q198" s="488"/>
      <c r="R198" s="488"/>
      <c r="S198" s="470"/>
      <c r="T198" s="470"/>
    </row>
    <row r="199" spans="1:20" x14ac:dyDescent="0.2">
      <c r="A199" s="481"/>
      <c r="B199" s="481"/>
      <c r="C199" s="483"/>
      <c r="D199" s="488"/>
      <c r="E199" s="488"/>
      <c r="F199" s="488"/>
      <c r="G199" s="488"/>
      <c r="H199" s="488"/>
      <c r="I199" s="488"/>
      <c r="J199" s="488"/>
      <c r="K199" s="488"/>
      <c r="L199" s="488"/>
      <c r="M199" s="488"/>
      <c r="N199" s="470"/>
      <c r="O199" s="488"/>
      <c r="P199" s="470"/>
      <c r="Q199" s="488"/>
      <c r="R199" s="488"/>
      <c r="S199" s="470"/>
      <c r="T199" s="470"/>
    </row>
    <row r="200" spans="1:20" x14ac:dyDescent="0.2">
      <c r="A200" s="481"/>
      <c r="B200" s="481"/>
      <c r="C200" s="483"/>
      <c r="D200" s="488"/>
      <c r="E200" s="488"/>
      <c r="F200" s="488"/>
      <c r="G200" s="488"/>
      <c r="H200" s="488"/>
      <c r="I200" s="488"/>
      <c r="J200" s="488"/>
      <c r="K200" s="488"/>
      <c r="L200" s="488"/>
      <c r="M200" s="488"/>
      <c r="N200" s="470"/>
      <c r="O200" s="488"/>
      <c r="P200" s="470"/>
      <c r="Q200" s="488"/>
      <c r="R200" s="488"/>
      <c r="S200" s="470"/>
      <c r="T200" s="470"/>
    </row>
    <row r="201" spans="1:20" x14ac:dyDescent="0.2">
      <c r="A201" s="481"/>
      <c r="B201" s="481"/>
      <c r="C201" s="483"/>
      <c r="D201" s="488"/>
      <c r="E201" s="488"/>
      <c r="F201" s="488"/>
      <c r="G201" s="488"/>
      <c r="H201" s="488"/>
      <c r="I201" s="488"/>
      <c r="J201" s="488"/>
      <c r="K201" s="488"/>
      <c r="L201" s="488"/>
      <c r="M201" s="488"/>
      <c r="N201" s="470"/>
      <c r="O201" s="488"/>
      <c r="P201" s="470"/>
      <c r="Q201" s="488"/>
      <c r="R201" s="488"/>
      <c r="S201" s="470"/>
      <c r="T201" s="470"/>
    </row>
    <row r="202" spans="1:20" x14ac:dyDescent="0.2">
      <c r="A202" s="481"/>
      <c r="B202" s="481"/>
      <c r="C202" s="483"/>
      <c r="D202" s="488"/>
      <c r="E202" s="488"/>
      <c r="F202" s="488"/>
      <c r="G202" s="488"/>
      <c r="H202" s="488"/>
      <c r="I202" s="488"/>
      <c r="J202" s="488"/>
      <c r="K202" s="488"/>
      <c r="L202" s="488"/>
      <c r="M202" s="488"/>
      <c r="N202" s="470"/>
      <c r="O202" s="488"/>
      <c r="P202" s="470"/>
      <c r="Q202" s="488"/>
      <c r="R202" s="488"/>
      <c r="S202" s="470"/>
      <c r="T202" s="470"/>
    </row>
    <row r="203" spans="1:20" x14ac:dyDescent="0.2">
      <c r="A203" s="481"/>
      <c r="B203" s="481"/>
      <c r="C203" s="483"/>
      <c r="D203" s="488"/>
      <c r="E203" s="488"/>
      <c r="F203" s="488"/>
      <c r="G203" s="488"/>
      <c r="H203" s="488"/>
      <c r="I203" s="488"/>
      <c r="J203" s="488"/>
      <c r="K203" s="488"/>
      <c r="L203" s="488"/>
      <c r="M203" s="488"/>
      <c r="N203" s="470"/>
      <c r="O203" s="488"/>
      <c r="P203" s="470"/>
      <c r="Q203" s="488"/>
      <c r="R203" s="488"/>
      <c r="S203" s="470"/>
      <c r="T203" s="470"/>
    </row>
    <row r="204" spans="1:20" x14ac:dyDescent="0.2">
      <c r="A204" s="481"/>
      <c r="B204" s="481"/>
      <c r="C204" s="483"/>
      <c r="D204" s="488"/>
      <c r="E204" s="488"/>
      <c r="F204" s="488"/>
      <c r="G204" s="488"/>
      <c r="H204" s="488"/>
      <c r="I204" s="488"/>
      <c r="J204" s="488"/>
      <c r="K204" s="488"/>
      <c r="L204" s="488"/>
      <c r="M204" s="488"/>
      <c r="N204" s="470"/>
      <c r="O204" s="488"/>
      <c r="P204" s="470"/>
      <c r="Q204" s="488"/>
      <c r="R204" s="488"/>
      <c r="S204" s="470"/>
      <c r="T204" s="470"/>
    </row>
    <row r="205" spans="1:20" x14ac:dyDescent="0.2">
      <c r="A205" s="481"/>
      <c r="B205" s="481"/>
      <c r="C205" s="483"/>
      <c r="D205" s="488"/>
      <c r="E205" s="488"/>
      <c r="F205" s="488"/>
      <c r="G205" s="488"/>
      <c r="H205" s="488"/>
      <c r="I205" s="488"/>
      <c r="J205" s="488"/>
      <c r="K205" s="488"/>
      <c r="L205" s="488"/>
      <c r="M205" s="488"/>
      <c r="N205" s="470"/>
      <c r="O205" s="488"/>
      <c r="P205" s="470"/>
      <c r="Q205" s="488"/>
      <c r="R205" s="488"/>
      <c r="S205" s="470"/>
      <c r="T205" s="470"/>
    </row>
    <row r="206" spans="1:20" x14ac:dyDescent="0.2">
      <c r="A206" s="481"/>
      <c r="B206" s="481"/>
      <c r="C206" s="483"/>
      <c r="D206" s="488"/>
      <c r="E206" s="488"/>
      <c r="F206" s="488"/>
      <c r="G206" s="488"/>
      <c r="H206" s="488"/>
      <c r="I206" s="488"/>
      <c r="J206" s="488"/>
      <c r="K206" s="488"/>
      <c r="L206" s="488"/>
      <c r="M206" s="488"/>
      <c r="N206" s="470"/>
      <c r="O206" s="488"/>
      <c r="P206" s="470"/>
      <c r="Q206" s="488"/>
      <c r="R206" s="488"/>
      <c r="S206" s="470"/>
      <c r="T206" s="470"/>
    </row>
    <row r="207" spans="1:20" x14ac:dyDescent="0.2">
      <c r="A207" s="481"/>
      <c r="B207" s="481"/>
      <c r="C207" s="483"/>
      <c r="D207" s="488"/>
      <c r="E207" s="488"/>
      <c r="F207" s="488"/>
      <c r="G207" s="488"/>
      <c r="H207" s="488"/>
      <c r="I207" s="488"/>
      <c r="J207" s="488"/>
      <c r="K207" s="488"/>
      <c r="L207" s="488"/>
      <c r="M207" s="488"/>
      <c r="N207" s="470"/>
      <c r="O207" s="488"/>
      <c r="P207" s="470"/>
      <c r="Q207" s="488"/>
      <c r="R207" s="488"/>
      <c r="S207" s="470"/>
      <c r="T207" s="470"/>
    </row>
    <row r="208" spans="1:20" x14ac:dyDescent="0.2">
      <c r="A208" s="481"/>
      <c r="B208" s="481"/>
      <c r="C208" s="483"/>
      <c r="D208" s="488"/>
      <c r="E208" s="488"/>
      <c r="F208" s="488"/>
      <c r="G208" s="488"/>
      <c r="H208" s="488"/>
      <c r="I208" s="488"/>
      <c r="J208" s="488"/>
      <c r="K208" s="488"/>
      <c r="L208" s="488"/>
      <c r="M208" s="488"/>
      <c r="N208" s="470"/>
      <c r="O208" s="488"/>
      <c r="P208" s="470"/>
      <c r="Q208" s="488"/>
      <c r="R208" s="488"/>
      <c r="S208" s="470"/>
      <c r="T208" s="470"/>
    </row>
    <row r="209" spans="1:20" x14ac:dyDescent="0.2">
      <c r="A209" s="481"/>
      <c r="B209" s="481"/>
      <c r="C209" s="483"/>
      <c r="D209" s="488"/>
      <c r="E209" s="488"/>
      <c r="F209" s="488"/>
      <c r="G209" s="488"/>
      <c r="H209" s="488"/>
      <c r="I209" s="488"/>
      <c r="J209" s="488"/>
      <c r="K209" s="488"/>
      <c r="L209" s="488"/>
      <c r="M209" s="488"/>
      <c r="N209" s="470"/>
      <c r="O209" s="488"/>
      <c r="P209" s="470"/>
      <c r="Q209" s="488"/>
      <c r="R209" s="488"/>
      <c r="S209" s="470"/>
      <c r="T209" s="470"/>
    </row>
    <row r="210" spans="1:20" x14ac:dyDescent="0.2">
      <c r="A210" s="481"/>
      <c r="B210" s="481"/>
      <c r="C210" s="483"/>
      <c r="D210" s="488"/>
      <c r="E210" s="488"/>
      <c r="F210" s="488"/>
      <c r="G210" s="488"/>
      <c r="H210" s="488"/>
      <c r="I210" s="488"/>
      <c r="J210" s="488"/>
      <c r="K210" s="488"/>
      <c r="L210" s="488"/>
      <c r="M210" s="488"/>
      <c r="N210" s="470"/>
      <c r="O210" s="488"/>
      <c r="P210" s="470"/>
      <c r="Q210" s="488"/>
      <c r="R210" s="488"/>
      <c r="S210" s="470"/>
      <c r="T210" s="470"/>
    </row>
    <row r="211" spans="1:20" x14ac:dyDescent="0.2">
      <c r="A211" s="481"/>
      <c r="B211" s="481"/>
      <c r="C211" s="483"/>
      <c r="D211" s="488"/>
      <c r="E211" s="488"/>
      <c r="F211" s="488"/>
      <c r="G211" s="488"/>
      <c r="H211" s="488"/>
      <c r="I211" s="488"/>
      <c r="J211" s="488"/>
      <c r="K211" s="488"/>
      <c r="L211" s="488"/>
      <c r="M211" s="488"/>
      <c r="N211" s="470"/>
      <c r="O211" s="488"/>
      <c r="P211" s="470"/>
      <c r="Q211" s="488"/>
      <c r="R211" s="488"/>
      <c r="S211" s="470"/>
      <c r="T211" s="470"/>
    </row>
    <row r="212" spans="1:20" x14ac:dyDescent="0.2">
      <c r="A212" s="481"/>
      <c r="B212" s="481"/>
      <c r="C212" s="483"/>
      <c r="D212" s="488"/>
      <c r="E212" s="488"/>
      <c r="F212" s="488"/>
      <c r="G212" s="488"/>
      <c r="H212" s="488"/>
      <c r="I212" s="488"/>
      <c r="J212" s="488"/>
      <c r="K212" s="488"/>
      <c r="L212" s="488"/>
      <c r="M212" s="488"/>
      <c r="N212" s="470"/>
      <c r="O212" s="488"/>
      <c r="P212" s="470"/>
      <c r="Q212" s="488"/>
      <c r="R212" s="488"/>
      <c r="S212" s="470"/>
      <c r="T212" s="470"/>
    </row>
    <row r="213" spans="1:20" x14ac:dyDescent="0.2">
      <c r="A213" s="481"/>
      <c r="B213" s="481"/>
      <c r="C213" s="483"/>
      <c r="D213" s="488"/>
      <c r="E213" s="488"/>
      <c r="F213" s="488"/>
      <c r="G213" s="488"/>
      <c r="H213" s="488"/>
      <c r="I213" s="488"/>
      <c r="J213" s="488"/>
      <c r="K213" s="488"/>
      <c r="L213" s="488"/>
      <c r="M213" s="488"/>
      <c r="N213" s="470"/>
      <c r="O213" s="488"/>
      <c r="P213" s="470"/>
      <c r="Q213" s="488"/>
      <c r="R213" s="488"/>
      <c r="S213" s="470"/>
      <c r="T213" s="470"/>
    </row>
    <row r="214" spans="1:20" x14ac:dyDescent="0.2">
      <c r="A214" s="481"/>
      <c r="B214" s="481"/>
      <c r="C214" s="483"/>
      <c r="D214" s="488"/>
      <c r="E214" s="488"/>
      <c r="F214" s="488"/>
      <c r="G214" s="488"/>
      <c r="H214" s="488"/>
      <c r="I214" s="488"/>
      <c r="J214" s="488"/>
      <c r="K214" s="488"/>
      <c r="L214" s="488"/>
      <c r="M214" s="488"/>
      <c r="N214" s="470"/>
      <c r="O214" s="488"/>
      <c r="P214" s="470"/>
      <c r="Q214" s="488"/>
      <c r="R214" s="488"/>
      <c r="S214" s="470"/>
      <c r="T214" s="470"/>
    </row>
    <row r="215" spans="1:20" x14ac:dyDescent="0.2">
      <c r="A215" s="481"/>
      <c r="B215" s="481"/>
      <c r="C215" s="483"/>
      <c r="D215" s="488"/>
      <c r="E215" s="488"/>
      <c r="F215" s="488"/>
      <c r="G215" s="488"/>
      <c r="H215" s="488"/>
      <c r="I215" s="488"/>
      <c r="J215" s="488"/>
      <c r="K215" s="488"/>
      <c r="L215" s="488"/>
      <c r="M215" s="488"/>
      <c r="N215" s="470"/>
      <c r="O215" s="488"/>
      <c r="P215" s="470"/>
      <c r="Q215" s="488"/>
      <c r="R215" s="488"/>
      <c r="S215" s="470"/>
      <c r="T215" s="470"/>
    </row>
    <row r="216" spans="1:20" x14ac:dyDescent="0.2">
      <c r="A216" s="481"/>
      <c r="B216" s="481"/>
      <c r="C216" s="483"/>
      <c r="D216" s="488"/>
      <c r="E216" s="488"/>
      <c r="F216" s="488"/>
      <c r="G216" s="488"/>
      <c r="H216" s="488"/>
      <c r="I216" s="488"/>
      <c r="J216" s="488"/>
      <c r="K216" s="488"/>
      <c r="L216" s="488"/>
      <c r="M216" s="488"/>
      <c r="N216" s="470"/>
      <c r="O216" s="488"/>
      <c r="P216" s="470"/>
      <c r="Q216" s="488"/>
      <c r="R216" s="488"/>
      <c r="S216" s="470"/>
      <c r="T216" s="470"/>
    </row>
    <row r="217" spans="1:20" x14ac:dyDescent="0.2">
      <c r="A217" s="481"/>
      <c r="B217" s="481"/>
      <c r="C217" s="483"/>
      <c r="D217" s="488"/>
      <c r="E217" s="488"/>
      <c r="F217" s="488"/>
      <c r="G217" s="488"/>
      <c r="H217" s="488"/>
      <c r="I217" s="488"/>
      <c r="J217" s="488"/>
      <c r="K217" s="488"/>
      <c r="L217" s="488"/>
      <c r="M217" s="488"/>
      <c r="N217" s="470"/>
      <c r="O217" s="488"/>
      <c r="P217" s="470"/>
      <c r="Q217" s="488"/>
      <c r="R217" s="488"/>
      <c r="S217" s="470"/>
      <c r="T217" s="470"/>
    </row>
    <row r="218" spans="1:20" x14ac:dyDescent="0.2">
      <c r="A218" s="481"/>
      <c r="B218" s="481"/>
      <c r="C218" s="483"/>
      <c r="D218" s="488"/>
      <c r="E218" s="488"/>
      <c r="F218" s="488"/>
      <c r="G218" s="488"/>
      <c r="H218" s="488"/>
      <c r="I218" s="488"/>
      <c r="J218" s="488"/>
      <c r="K218" s="488"/>
      <c r="L218" s="488"/>
      <c r="M218" s="488"/>
      <c r="N218" s="470"/>
      <c r="O218" s="488"/>
      <c r="P218" s="470"/>
      <c r="Q218" s="488"/>
      <c r="R218" s="488"/>
      <c r="S218" s="470"/>
      <c r="T218" s="470"/>
    </row>
    <row r="219" spans="1:20" x14ac:dyDescent="0.2">
      <c r="A219" s="481"/>
      <c r="B219" s="481"/>
      <c r="C219" s="483"/>
      <c r="D219" s="488"/>
      <c r="E219" s="488"/>
      <c r="F219" s="488"/>
      <c r="G219" s="488"/>
      <c r="H219" s="488"/>
      <c r="I219" s="488"/>
      <c r="J219" s="488"/>
      <c r="K219" s="488"/>
      <c r="L219" s="488"/>
      <c r="M219" s="488"/>
      <c r="N219" s="470"/>
      <c r="O219" s="488"/>
      <c r="P219" s="470"/>
      <c r="Q219" s="488"/>
      <c r="R219" s="488"/>
      <c r="S219" s="470"/>
      <c r="T219" s="470"/>
    </row>
    <row r="220" spans="1:20" x14ac:dyDescent="0.2">
      <c r="A220" s="481"/>
      <c r="B220" s="481"/>
      <c r="C220" s="483"/>
      <c r="D220" s="488"/>
      <c r="E220" s="488"/>
      <c r="F220" s="488"/>
      <c r="G220" s="488"/>
      <c r="H220" s="488"/>
      <c r="I220" s="488"/>
      <c r="J220" s="488"/>
      <c r="K220" s="488"/>
      <c r="L220" s="488"/>
      <c r="M220" s="488"/>
      <c r="N220" s="470"/>
      <c r="O220" s="488"/>
      <c r="P220" s="470"/>
      <c r="Q220" s="488"/>
      <c r="R220" s="488"/>
      <c r="S220" s="470"/>
      <c r="T220" s="470"/>
    </row>
    <row r="221" spans="1:20" x14ac:dyDescent="0.2">
      <c r="A221" s="481"/>
      <c r="B221" s="481"/>
      <c r="C221" s="483"/>
      <c r="D221" s="488"/>
      <c r="E221" s="488"/>
      <c r="F221" s="488"/>
      <c r="G221" s="488"/>
      <c r="H221" s="488"/>
      <c r="I221" s="488"/>
      <c r="J221" s="488"/>
      <c r="K221" s="488"/>
      <c r="L221" s="488"/>
      <c r="M221" s="488"/>
      <c r="N221" s="470"/>
      <c r="O221" s="488"/>
      <c r="P221" s="470"/>
      <c r="Q221" s="488"/>
      <c r="R221" s="488"/>
      <c r="S221" s="470"/>
      <c r="T221" s="470"/>
    </row>
    <row r="222" spans="1:20" x14ac:dyDescent="0.2">
      <c r="A222" s="481"/>
      <c r="B222" s="481"/>
      <c r="C222" s="483"/>
      <c r="D222" s="488"/>
      <c r="E222" s="488"/>
      <c r="F222" s="488"/>
      <c r="G222" s="488"/>
      <c r="H222" s="488"/>
      <c r="I222" s="488"/>
      <c r="J222" s="488"/>
      <c r="K222" s="488"/>
      <c r="L222" s="488"/>
      <c r="M222" s="488"/>
      <c r="N222" s="470"/>
      <c r="O222" s="488"/>
      <c r="P222" s="470"/>
      <c r="Q222" s="488"/>
      <c r="R222" s="488"/>
      <c r="S222" s="470"/>
      <c r="T222" s="470"/>
    </row>
    <row r="223" spans="1:20" x14ac:dyDescent="0.2">
      <c r="A223" s="481"/>
      <c r="B223" s="481"/>
      <c r="C223" s="483"/>
      <c r="D223" s="488"/>
      <c r="E223" s="488"/>
      <c r="F223" s="488"/>
      <c r="G223" s="488"/>
      <c r="H223" s="488"/>
      <c r="I223" s="488"/>
      <c r="J223" s="488"/>
      <c r="K223" s="488"/>
      <c r="L223" s="488"/>
      <c r="M223" s="488"/>
      <c r="N223" s="470"/>
      <c r="O223" s="488"/>
      <c r="P223" s="470"/>
      <c r="Q223" s="488"/>
      <c r="R223" s="488"/>
      <c r="S223" s="470"/>
      <c r="T223" s="470"/>
    </row>
    <row r="224" spans="1:20" x14ac:dyDescent="0.2">
      <c r="A224" s="481"/>
      <c r="B224" s="481"/>
      <c r="C224" s="483"/>
      <c r="D224" s="488"/>
      <c r="E224" s="488"/>
      <c r="F224" s="488"/>
      <c r="G224" s="488"/>
      <c r="H224" s="488"/>
      <c r="I224" s="488"/>
      <c r="J224" s="488"/>
      <c r="K224" s="488"/>
      <c r="L224" s="488"/>
      <c r="M224" s="488"/>
      <c r="N224" s="470"/>
      <c r="O224" s="488"/>
      <c r="P224" s="470"/>
      <c r="Q224" s="488"/>
      <c r="R224" s="488"/>
      <c r="S224" s="470"/>
      <c r="T224" s="470"/>
    </row>
    <row r="225" spans="1:20" x14ac:dyDescent="0.2">
      <c r="A225" s="470"/>
      <c r="B225" s="470"/>
      <c r="C225" s="470"/>
      <c r="D225" s="470"/>
      <c r="E225" s="470"/>
      <c r="F225" s="470"/>
      <c r="G225" s="470"/>
      <c r="H225" s="481"/>
      <c r="I225" s="470"/>
      <c r="J225" s="470"/>
      <c r="K225" s="470"/>
      <c r="L225" s="470"/>
      <c r="M225" s="470"/>
      <c r="N225" s="470"/>
      <c r="O225" s="470"/>
      <c r="P225" s="470"/>
      <c r="Q225" s="470"/>
      <c r="R225" s="470"/>
      <c r="S225" s="470"/>
      <c r="T225" s="470"/>
    </row>
    <row r="226" spans="1:20" x14ac:dyDescent="0.2">
      <c r="A226" s="470"/>
      <c r="B226" s="470"/>
      <c r="C226" s="470"/>
      <c r="D226" s="497"/>
      <c r="E226" s="470"/>
      <c r="F226" s="470"/>
      <c r="G226" s="470"/>
      <c r="H226" s="481"/>
      <c r="I226" s="470"/>
      <c r="J226" s="470"/>
      <c r="K226" s="470"/>
      <c r="L226" s="470"/>
      <c r="M226" s="470"/>
      <c r="N226" s="470"/>
      <c r="O226" s="470"/>
      <c r="P226" s="470"/>
      <c r="Q226" s="470"/>
      <c r="R226" s="470"/>
      <c r="S226" s="470"/>
      <c r="T226" s="470"/>
    </row>
    <row r="227" spans="1:20" x14ac:dyDescent="0.2">
      <c r="A227" s="470"/>
      <c r="B227" s="470"/>
      <c r="C227" s="470"/>
      <c r="D227" s="498"/>
      <c r="E227" s="470"/>
      <c r="F227" s="470"/>
      <c r="G227" s="470"/>
      <c r="H227" s="481"/>
      <c r="I227" s="470"/>
      <c r="J227" s="470"/>
      <c r="K227" s="470"/>
      <c r="L227" s="470"/>
      <c r="M227" s="470"/>
      <c r="N227" s="470"/>
      <c r="O227" s="470"/>
      <c r="P227" s="470"/>
      <c r="Q227" s="470"/>
      <c r="R227" s="470"/>
      <c r="S227" s="470"/>
      <c r="T227" s="470"/>
    </row>
    <row r="228" spans="1:20" x14ac:dyDescent="0.2">
      <c r="A228" s="470"/>
      <c r="B228" s="470"/>
      <c r="C228" s="470"/>
      <c r="D228" s="470"/>
      <c r="E228" s="470"/>
      <c r="F228" s="470"/>
      <c r="G228" s="470"/>
      <c r="H228" s="481"/>
      <c r="I228" s="470"/>
      <c r="J228" s="470"/>
      <c r="K228" s="470"/>
      <c r="L228" s="470"/>
      <c r="M228" s="470"/>
      <c r="N228" s="470"/>
      <c r="O228" s="470"/>
      <c r="P228" s="470"/>
      <c r="Q228" s="470"/>
      <c r="R228" s="470"/>
      <c r="S228" s="470"/>
      <c r="T228" s="470"/>
    </row>
    <row r="229" spans="1:20" x14ac:dyDescent="0.2">
      <c r="A229" s="470"/>
      <c r="B229" s="470"/>
      <c r="C229" s="470"/>
      <c r="D229" s="470"/>
      <c r="E229" s="470"/>
      <c r="F229" s="470"/>
      <c r="G229" s="470"/>
      <c r="H229" s="481"/>
      <c r="I229" s="470"/>
      <c r="J229" s="470"/>
      <c r="K229" s="470"/>
      <c r="L229" s="470"/>
      <c r="M229" s="470"/>
      <c r="N229" s="470"/>
      <c r="O229" s="470"/>
      <c r="P229" s="470"/>
      <c r="Q229" s="470"/>
      <c r="R229" s="470"/>
      <c r="S229" s="470"/>
      <c r="T229" s="470"/>
    </row>
    <row r="230" spans="1:20" x14ac:dyDescent="0.2">
      <c r="A230" s="483"/>
      <c r="B230" s="483"/>
      <c r="C230" s="470"/>
      <c r="D230" s="470"/>
      <c r="E230" s="470"/>
      <c r="F230" s="470"/>
      <c r="G230" s="470"/>
      <c r="H230" s="470"/>
      <c r="I230" s="470"/>
      <c r="J230" s="470"/>
      <c r="K230" s="470"/>
      <c r="L230" s="470"/>
      <c r="M230" s="470"/>
      <c r="N230" s="470"/>
      <c r="O230" s="470"/>
      <c r="P230" s="470"/>
      <c r="Q230" s="470"/>
      <c r="R230" s="470"/>
      <c r="S230" s="470"/>
      <c r="T230" s="470"/>
    </row>
    <row r="231" spans="1:20" x14ac:dyDescent="0.2">
      <c r="A231" s="483"/>
      <c r="B231" s="483"/>
      <c r="C231" s="470"/>
      <c r="D231" s="470"/>
      <c r="E231" s="470"/>
      <c r="F231" s="470"/>
      <c r="G231" s="470"/>
      <c r="H231" s="470"/>
      <c r="I231" s="470"/>
      <c r="J231" s="470"/>
      <c r="K231" s="470"/>
      <c r="L231" s="470"/>
      <c r="M231" s="470"/>
      <c r="N231" s="470"/>
      <c r="O231" s="470"/>
      <c r="P231" s="470"/>
      <c r="Q231" s="470"/>
      <c r="R231" s="470"/>
      <c r="S231" s="470"/>
      <c r="T231" s="470"/>
    </row>
    <row r="232" spans="1:20" x14ac:dyDescent="0.2">
      <c r="A232" s="483"/>
      <c r="B232" s="483"/>
      <c r="C232" s="470"/>
      <c r="D232" s="470"/>
      <c r="E232" s="470"/>
      <c r="F232" s="470"/>
      <c r="G232" s="470"/>
      <c r="H232" s="470"/>
      <c r="I232" s="470"/>
      <c r="J232" s="470"/>
      <c r="K232" s="470"/>
      <c r="L232" s="470"/>
      <c r="M232" s="470"/>
      <c r="N232" s="470"/>
      <c r="O232" s="470"/>
      <c r="P232" s="470"/>
      <c r="Q232" s="470"/>
      <c r="R232" s="470"/>
      <c r="S232" s="470"/>
      <c r="T232" s="470"/>
    </row>
    <row r="233" spans="1:20" x14ac:dyDescent="0.2">
      <c r="A233" s="470"/>
      <c r="B233" s="470"/>
      <c r="C233" s="470"/>
      <c r="D233" s="470"/>
      <c r="E233" s="470"/>
      <c r="F233" s="470"/>
      <c r="G233" s="470"/>
      <c r="H233" s="470"/>
      <c r="I233" s="470"/>
      <c r="J233" s="470"/>
      <c r="K233" s="470"/>
      <c r="L233" s="470"/>
      <c r="M233" s="481"/>
      <c r="N233" s="470"/>
      <c r="O233" s="470"/>
      <c r="P233" s="470"/>
      <c r="Q233" s="470"/>
      <c r="R233" s="470"/>
      <c r="S233" s="470"/>
      <c r="T233" s="470"/>
    </row>
    <row r="234" spans="1:20" x14ac:dyDescent="0.2">
      <c r="A234" s="481"/>
      <c r="B234" s="481"/>
      <c r="C234" s="483"/>
      <c r="D234" s="481"/>
      <c r="E234" s="470"/>
      <c r="F234" s="481"/>
      <c r="G234" s="470"/>
      <c r="H234" s="481"/>
      <c r="I234" s="470"/>
      <c r="J234" s="481"/>
      <c r="K234" s="470"/>
      <c r="L234" s="481"/>
      <c r="M234" s="470"/>
      <c r="N234" s="470"/>
      <c r="O234" s="470"/>
      <c r="P234" s="470"/>
      <c r="Q234" s="470"/>
      <c r="R234" s="470"/>
      <c r="S234" s="470"/>
      <c r="T234" s="470"/>
    </row>
    <row r="235" spans="1:20" x14ac:dyDescent="0.2">
      <c r="A235" s="481"/>
      <c r="B235" s="481"/>
      <c r="C235" s="483"/>
      <c r="D235" s="481"/>
      <c r="E235" s="470"/>
      <c r="F235" s="481"/>
      <c r="G235" s="470"/>
      <c r="H235" s="481"/>
      <c r="I235" s="470"/>
      <c r="J235" s="481"/>
      <c r="K235" s="470"/>
      <c r="L235" s="481"/>
      <c r="M235" s="483"/>
      <c r="N235" s="470"/>
      <c r="O235" s="470"/>
      <c r="P235" s="470"/>
      <c r="Q235" s="470"/>
      <c r="R235" s="470"/>
      <c r="S235" s="470"/>
      <c r="T235" s="470"/>
    </row>
    <row r="236" spans="1:20" x14ac:dyDescent="0.2">
      <c r="A236" s="470"/>
      <c r="B236" s="470"/>
      <c r="C236" s="470"/>
      <c r="D236" s="470"/>
      <c r="E236" s="470"/>
      <c r="F236" s="470"/>
      <c r="G236" s="470"/>
      <c r="H236" s="470"/>
      <c r="I236" s="470"/>
      <c r="J236" s="470"/>
      <c r="K236" s="470"/>
      <c r="L236" s="470"/>
      <c r="M236" s="470"/>
      <c r="N236" s="470"/>
      <c r="O236" s="470"/>
      <c r="P236" s="470"/>
      <c r="Q236" s="470"/>
      <c r="R236" s="470"/>
      <c r="S236" s="470"/>
      <c r="T236" s="470"/>
    </row>
    <row r="237" spans="1:20" x14ac:dyDescent="0.2">
      <c r="A237" s="481"/>
      <c r="B237" s="481"/>
      <c r="C237" s="483"/>
      <c r="D237" s="488"/>
      <c r="E237" s="488"/>
      <c r="F237" s="488"/>
      <c r="G237" s="488"/>
      <c r="H237" s="488"/>
      <c r="I237" s="488"/>
      <c r="J237" s="488"/>
      <c r="K237" s="488"/>
      <c r="L237" s="488"/>
      <c r="M237" s="488"/>
      <c r="N237" s="488"/>
      <c r="O237" s="488"/>
      <c r="P237" s="488"/>
      <c r="Q237" s="488"/>
      <c r="R237" s="488"/>
      <c r="S237" s="470"/>
      <c r="T237" s="470"/>
    </row>
    <row r="238" spans="1:20" x14ac:dyDescent="0.2">
      <c r="A238" s="481"/>
      <c r="B238" s="481"/>
      <c r="C238" s="483"/>
      <c r="D238" s="488"/>
      <c r="E238" s="488"/>
      <c r="F238" s="488"/>
      <c r="G238" s="488"/>
      <c r="H238" s="488"/>
      <c r="I238" s="488"/>
      <c r="J238" s="488"/>
      <c r="K238" s="488"/>
      <c r="L238" s="488"/>
      <c r="M238" s="488"/>
      <c r="N238" s="488"/>
      <c r="O238" s="488"/>
      <c r="P238" s="488"/>
      <c r="Q238" s="488"/>
      <c r="R238" s="488"/>
      <c r="S238" s="470"/>
      <c r="T238" s="470"/>
    </row>
    <row r="239" spans="1:20" x14ac:dyDescent="0.2">
      <c r="A239" s="481"/>
      <c r="B239" s="481"/>
      <c r="C239" s="483"/>
      <c r="D239" s="488"/>
      <c r="E239" s="488"/>
      <c r="F239" s="488"/>
      <c r="G239" s="488"/>
      <c r="H239" s="488"/>
      <c r="I239" s="488"/>
      <c r="J239" s="488"/>
      <c r="K239" s="488"/>
      <c r="L239" s="488"/>
      <c r="M239" s="488"/>
      <c r="N239" s="488"/>
      <c r="O239" s="488"/>
      <c r="P239" s="488"/>
      <c r="Q239" s="488"/>
      <c r="R239" s="488"/>
      <c r="S239" s="470"/>
      <c r="T239" s="470"/>
    </row>
    <row r="240" spans="1:20" x14ac:dyDescent="0.2">
      <c r="A240" s="481"/>
      <c r="B240" s="481"/>
      <c r="C240" s="483"/>
      <c r="D240" s="488"/>
      <c r="E240" s="488"/>
      <c r="F240" s="488"/>
      <c r="G240" s="488"/>
      <c r="H240" s="488"/>
      <c r="I240" s="488"/>
      <c r="J240" s="488"/>
      <c r="K240" s="488"/>
      <c r="L240" s="488"/>
      <c r="M240" s="488"/>
      <c r="N240" s="488"/>
      <c r="O240" s="488"/>
      <c r="P240" s="488"/>
      <c r="Q240" s="488"/>
      <c r="R240" s="488"/>
      <c r="S240" s="470"/>
      <c r="T240" s="470"/>
    </row>
    <row r="241" spans="1:20" x14ac:dyDescent="0.2">
      <c r="A241" s="481"/>
      <c r="B241" s="481"/>
      <c r="C241" s="483"/>
      <c r="D241" s="488"/>
      <c r="E241" s="488"/>
      <c r="F241" s="488"/>
      <c r="G241" s="488"/>
      <c r="H241" s="488"/>
      <c r="I241" s="488"/>
      <c r="J241" s="488"/>
      <c r="K241" s="488"/>
      <c r="L241" s="488"/>
      <c r="M241" s="488"/>
      <c r="N241" s="488"/>
      <c r="O241" s="488"/>
      <c r="P241" s="488"/>
      <c r="Q241" s="488"/>
      <c r="R241" s="488"/>
      <c r="S241" s="470"/>
      <c r="T241" s="470"/>
    </row>
    <row r="242" spans="1:20" x14ac:dyDescent="0.2">
      <c r="A242" s="481"/>
      <c r="B242" s="481"/>
      <c r="C242" s="483"/>
      <c r="D242" s="488"/>
      <c r="E242" s="488"/>
      <c r="F242" s="488"/>
      <c r="G242" s="488"/>
      <c r="H242" s="488"/>
      <c r="I242" s="488"/>
      <c r="J242" s="488"/>
      <c r="K242" s="488"/>
      <c r="L242" s="488"/>
      <c r="M242" s="488"/>
      <c r="N242" s="488"/>
      <c r="O242" s="488"/>
      <c r="P242" s="488"/>
      <c r="Q242" s="488"/>
      <c r="R242" s="488"/>
      <c r="S242" s="470"/>
      <c r="T242" s="470"/>
    </row>
    <row r="243" spans="1:20" x14ac:dyDescent="0.2">
      <c r="A243" s="481"/>
      <c r="B243" s="481"/>
      <c r="C243" s="483"/>
      <c r="D243" s="488"/>
      <c r="E243" s="488"/>
      <c r="F243" s="488"/>
      <c r="G243" s="488"/>
      <c r="H243" s="488"/>
      <c r="I243" s="488"/>
      <c r="J243" s="488"/>
      <c r="K243" s="488"/>
      <c r="L243" s="488"/>
      <c r="M243" s="488"/>
      <c r="N243" s="488"/>
      <c r="O243" s="488"/>
      <c r="P243" s="488"/>
      <c r="Q243" s="488"/>
      <c r="R243" s="488"/>
      <c r="S243" s="470"/>
      <c r="T243" s="470"/>
    </row>
    <row r="244" spans="1:20" x14ac:dyDescent="0.2">
      <c r="A244" s="481"/>
      <c r="B244" s="481"/>
      <c r="C244" s="470"/>
      <c r="D244" s="488"/>
      <c r="E244" s="488"/>
      <c r="F244" s="488"/>
      <c r="G244" s="488"/>
      <c r="H244" s="488"/>
      <c r="I244" s="488"/>
      <c r="J244" s="488"/>
      <c r="K244" s="488"/>
      <c r="L244" s="488"/>
      <c r="M244" s="488"/>
      <c r="N244" s="488"/>
      <c r="O244" s="488"/>
      <c r="P244" s="488"/>
      <c r="Q244" s="488"/>
      <c r="R244" s="488"/>
      <c r="S244" s="470"/>
      <c r="T244" s="470"/>
    </row>
    <row r="245" spans="1:20" x14ac:dyDescent="0.2">
      <c r="A245" s="481"/>
      <c r="B245" s="481"/>
      <c r="C245" s="483"/>
      <c r="D245" s="488"/>
      <c r="E245" s="488"/>
      <c r="F245" s="488"/>
      <c r="G245" s="488"/>
      <c r="H245" s="488"/>
      <c r="I245" s="488"/>
      <c r="J245" s="488"/>
      <c r="K245" s="488"/>
      <c r="L245" s="488"/>
      <c r="M245" s="488"/>
      <c r="N245" s="488"/>
      <c r="O245" s="488"/>
      <c r="P245" s="488"/>
      <c r="Q245" s="488"/>
      <c r="R245" s="488"/>
      <c r="S245" s="470"/>
      <c r="T245" s="470"/>
    </row>
    <row r="246" spans="1:20" x14ac:dyDescent="0.2">
      <c r="A246" s="481"/>
      <c r="B246" s="481"/>
      <c r="C246" s="470"/>
      <c r="D246" s="488"/>
      <c r="E246" s="488"/>
      <c r="F246" s="488"/>
      <c r="G246" s="488"/>
      <c r="H246" s="488"/>
      <c r="I246" s="488"/>
      <c r="J246" s="488"/>
      <c r="K246" s="488"/>
      <c r="L246" s="488"/>
      <c r="M246" s="488"/>
      <c r="N246" s="488"/>
      <c r="O246" s="488"/>
      <c r="P246" s="488"/>
      <c r="Q246" s="488"/>
      <c r="R246" s="488"/>
      <c r="S246" s="470"/>
      <c r="T246" s="470"/>
    </row>
    <row r="247" spans="1:20" x14ac:dyDescent="0.2">
      <c r="A247" s="481"/>
      <c r="B247" s="481"/>
      <c r="C247" s="470"/>
      <c r="D247" s="488"/>
      <c r="E247" s="488"/>
      <c r="F247" s="488"/>
      <c r="G247" s="488"/>
      <c r="H247" s="488"/>
      <c r="I247" s="488"/>
      <c r="J247" s="488"/>
      <c r="K247" s="488"/>
      <c r="L247" s="488"/>
      <c r="M247" s="488"/>
      <c r="N247" s="488"/>
      <c r="O247" s="488"/>
      <c r="P247" s="488"/>
      <c r="Q247" s="488"/>
      <c r="R247" s="488"/>
      <c r="S247" s="470"/>
      <c r="T247" s="470"/>
    </row>
    <row r="248" spans="1:20" x14ac:dyDescent="0.2">
      <c r="A248" s="481"/>
      <c r="B248" s="481"/>
      <c r="C248" s="470"/>
      <c r="D248" s="488"/>
      <c r="E248" s="488"/>
      <c r="F248" s="488"/>
      <c r="G248" s="488"/>
      <c r="H248" s="488"/>
      <c r="I248" s="488"/>
      <c r="J248" s="488"/>
      <c r="K248" s="488"/>
      <c r="L248" s="488"/>
      <c r="M248" s="488"/>
      <c r="N248" s="488"/>
      <c r="O248" s="488"/>
      <c r="P248" s="488"/>
      <c r="Q248" s="488"/>
      <c r="R248" s="488"/>
      <c r="S248" s="470"/>
      <c r="T248" s="470"/>
    </row>
    <row r="249" spans="1:20" x14ac:dyDescent="0.2">
      <c r="A249" s="481"/>
      <c r="B249" s="481"/>
      <c r="C249" s="483"/>
      <c r="D249" s="488"/>
      <c r="E249" s="470"/>
      <c r="F249" s="488"/>
      <c r="G249" s="488"/>
      <c r="H249" s="488"/>
      <c r="I249" s="488"/>
      <c r="J249" s="488"/>
      <c r="K249" s="488"/>
      <c r="L249" s="488"/>
      <c r="M249" s="488"/>
      <c r="N249" s="488"/>
      <c r="O249" s="488"/>
      <c r="P249" s="488"/>
      <c r="Q249" s="488"/>
      <c r="R249" s="488"/>
      <c r="S249" s="470"/>
      <c r="T249" s="470"/>
    </row>
    <row r="250" spans="1:20" x14ac:dyDescent="0.2">
      <c r="A250" s="481"/>
      <c r="B250" s="481"/>
      <c r="C250" s="483"/>
      <c r="D250" s="488"/>
      <c r="E250" s="470"/>
      <c r="F250" s="488"/>
      <c r="G250" s="488"/>
      <c r="H250" s="488"/>
      <c r="I250" s="488"/>
      <c r="J250" s="488"/>
      <c r="K250" s="488"/>
      <c r="L250" s="488"/>
      <c r="M250" s="488"/>
      <c r="N250" s="488"/>
      <c r="O250" s="488"/>
      <c r="P250" s="488"/>
      <c r="Q250" s="488"/>
      <c r="R250" s="488"/>
      <c r="S250" s="470"/>
      <c r="T250" s="470"/>
    </row>
    <row r="251" spans="1:20" x14ac:dyDescent="0.2">
      <c r="A251" s="481"/>
      <c r="B251" s="481"/>
      <c r="C251" s="483"/>
      <c r="D251" s="488"/>
      <c r="E251" s="470"/>
      <c r="F251" s="488"/>
      <c r="G251" s="488"/>
      <c r="H251" s="488"/>
      <c r="I251" s="488"/>
      <c r="J251" s="488"/>
      <c r="K251" s="488"/>
      <c r="L251" s="488"/>
      <c r="M251" s="488"/>
      <c r="N251" s="488"/>
      <c r="O251" s="488"/>
      <c r="P251" s="488"/>
      <c r="Q251" s="488"/>
      <c r="R251" s="488"/>
      <c r="S251" s="470"/>
      <c r="T251" s="470"/>
    </row>
    <row r="252" spans="1:20" x14ac:dyDescent="0.2">
      <c r="A252" s="481"/>
      <c r="B252" s="481"/>
      <c r="C252" s="483"/>
      <c r="D252" s="488"/>
      <c r="E252" s="470"/>
      <c r="F252" s="488"/>
      <c r="G252" s="488"/>
      <c r="H252" s="488"/>
      <c r="I252" s="488"/>
      <c r="J252" s="488"/>
      <c r="K252" s="488"/>
      <c r="L252" s="488"/>
      <c r="M252" s="488"/>
      <c r="N252" s="488"/>
      <c r="O252" s="488"/>
      <c r="P252" s="488"/>
      <c r="Q252" s="488"/>
      <c r="R252" s="488"/>
      <c r="S252" s="470"/>
      <c r="T252" s="470"/>
    </row>
    <row r="253" spans="1:20" x14ac:dyDescent="0.2">
      <c r="A253" s="481"/>
      <c r="B253" s="481"/>
      <c r="C253" s="483"/>
      <c r="D253" s="488"/>
      <c r="E253" s="470"/>
      <c r="F253" s="488"/>
      <c r="G253" s="488"/>
      <c r="H253" s="488"/>
      <c r="I253" s="488"/>
      <c r="J253" s="488"/>
      <c r="K253" s="488"/>
      <c r="L253" s="488"/>
      <c r="M253" s="488"/>
      <c r="N253" s="488"/>
      <c r="O253" s="488"/>
      <c r="P253" s="488"/>
      <c r="Q253" s="488"/>
      <c r="R253" s="488"/>
      <c r="S253" s="470"/>
      <c r="T253" s="470"/>
    </row>
    <row r="254" spans="1:20" x14ac:dyDescent="0.2">
      <c r="A254" s="481"/>
      <c r="B254" s="481"/>
      <c r="C254" s="483"/>
      <c r="D254" s="488"/>
      <c r="E254" s="470"/>
      <c r="F254" s="488"/>
      <c r="G254" s="488"/>
      <c r="H254" s="488"/>
      <c r="I254" s="488"/>
      <c r="J254" s="488"/>
      <c r="K254" s="488"/>
      <c r="L254" s="488"/>
      <c r="M254" s="488"/>
      <c r="N254" s="488"/>
      <c r="O254" s="488"/>
      <c r="P254" s="488"/>
      <c r="Q254" s="488"/>
      <c r="R254" s="488"/>
      <c r="S254" s="470"/>
      <c r="T254" s="470"/>
    </row>
    <row r="255" spans="1:20" x14ac:dyDescent="0.2">
      <c r="A255" s="481"/>
      <c r="B255" s="481"/>
      <c r="C255" s="483"/>
      <c r="D255" s="488"/>
      <c r="E255" s="470"/>
      <c r="F255" s="488"/>
      <c r="G255" s="488"/>
      <c r="H255" s="488"/>
      <c r="I255" s="488"/>
      <c r="J255" s="488"/>
      <c r="K255" s="488"/>
      <c r="L255" s="488"/>
      <c r="M255" s="488"/>
      <c r="N255" s="488"/>
      <c r="O255" s="488"/>
      <c r="P255" s="488"/>
      <c r="Q255" s="488"/>
      <c r="R255" s="488"/>
      <c r="S255" s="470"/>
      <c r="T255" s="470"/>
    </row>
    <row r="256" spans="1:20" x14ac:dyDescent="0.2">
      <c r="A256" s="481"/>
      <c r="B256" s="481"/>
      <c r="C256" s="483"/>
      <c r="D256" s="488"/>
      <c r="E256" s="470"/>
      <c r="F256" s="488"/>
      <c r="G256" s="488"/>
      <c r="H256" s="488"/>
      <c r="I256" s="488"/>
      <c r="J256" s="488"/>
      <c r="K256" s="488"/>
      <c r="L256" s="488"/>
      <c r="M256" s="488"/>
      <c r="N256" s="488"/>
      <c r="O256" s="488"/>
      <c r="P256" s="488"/>
      <c r="Q256" s="488"/>
      <c r="R256" s="488"/>
      <c r="S256" s="470"/>
      <c r="T256" s="470"/>
    </row>
    <row r="257" spans="1:20" x14ac:dyDescent="0.2">
      <c r="A257" s="481"/>
      <c r="B257" s="481"/>
      <c r="C257" s="483"/>
      <c r="D257" s="488"/>
      <c r="E257" s="470"/>
      <c r="F257" s="488"/>
      <c r="G257" s="488"/>
      <c r="H257" s="488"/>
      <c r="I257" s="488"/>
      <c r="J257" s="488"/>
      <c r="K257" s="488"/>
      <c r="L257" s="488"/>
      <c r="M257" s="488"/>
      <c r="N257" s="488"/>
      <c r="O257" s="488"/>
      <c r="P257" s="488"/>
      <c r="Q257" s="488"/>
      <c r="R257" s="488"/>
      <c r="S257" s="470"/>
      <c r="T257" s="470"/>
    </row>
    <row r="258" spans="1:20" x14ac:dyDescent="0.2">
      <c r="A258" s="481"/>
      <c r="B258" s="481"/>
      <c r="C258" s="483"/>
      <c r="D258" s="488"/>
      <c r="E258" s="470"/>
      <c r="F258" s="488"/>
      <c r="G258" s="488"/>
      <c r="H258" s="488"/>
      <c r="I258" s="488"/>
      <c r="J258" s="488"/>
      <c r="K258" s="488"/>
      <c r="L258" s="488"/>
      <c r="M258" s="488"/>
      <c r="N258" s="488"/>
      <c r="O258" s="488"/>
      <c r="P258" s="488"/>
      <c r="Q258" s="488"/>
      <c r="R258" s="488"/>
      <c r="S258" s="470"/>
      <c r="T258" s="470"/>
    </row>
    <row r="259" spans="1:20" x14ac:dyDescent="0.2">
      <c r="A259" s="481"/>
      <c r="B259" s="481"/>
      <c r="C259" s="483"/>
      <c r="D259" s="488"/>
      <c r="E259" s="470"/>
      <c r="F259" s="488"/>
      <c r="G259" s="488"/>
      <c r="H259" s="488"/>
      <c r="I259" s="488"/>
      <c r="J259" s="488"/>
      <c r="K259" s="488"/>
      <c r="L259" s="488"/>
      <c r="M259" s="488"/>
      <c r="N259" s="488"/>
      <c r="O259" s="488"/>
      <c r="P259" s="488"/>
      <c r="Q259" s="488"/>
      <c r="R259" s="488"/>
      <c r="S259" s="470"/>
      <c r="T259" s="470"/>
    </row>
    <row r="260" spans="1:20" x14ac:dyDescent="0.2">
      <c r="A260" s="481"/>
      <c r="B260" s="481"/>
      <c r="C260" s="483"/>
      <c r="D260" s="488"/>
      <c r="E260" s="470"/>
      <c r="F260" s="488"/>
      <c r="G260" s="488"/>
      <c r="H260" s="488"/>
      <c r="I260" s="488"/>
      <c r="J260" s="488"/>
      <c r="K260" s="488"/>
      <c r="L260" s="488"/>
      <c r="M260" s="488"/>
      <c r="N260" s="488"/>
      <c r="O260" s="488"/>
      <c r="P260" s="488"/>
      <c r="Q260" s="488"/>
      <c r="R260" s="488"/>
      <c r="S260" s="470"/>
      <c r="T260" s="470"/>
    </row>
    <row r="261" spans="1:20" x14ac:dyDescent="0.2">
      <c r="A261" s="481"/>
      <c r="B261" s="481"/>
      <c r="C261" s="483"/>
      <c r="D261" s="488"/>
      <c r="E261" s="470"/>
      <c r="F261" s="488"/>
      <c r="G261" s="488"/>
      <c r="H261" s="488"/>
      <c r="I261" s="488"/>
      <c r="J261" s="488"/>
      <c r="K261" s="488"/>
      <c r="L261" s="488"/>
      <c r="M261" s="488"/>
      <c r="N261" s="488"/>
      <c r="O261" s="488"/>
      <c r="P261" s="488"/>
      <c r="Q261" s="488"/>
      <c r="R261" s="488"/>
      <c r="S261" s="470"/>
      <c r="T261" s="470"/>
    </row>
    <row r="262" spans="1:20" x14ac:dyDescent="0.2">
      <c r="A262" s="481"/>
      <c r="B262" s="481"/>
      <c r="C262" s="483"/>
      <c r="D262" s="488"/>
      <c r="E262" s="470"/>
      <c r="F262" s="488"/>
      <c r="G262" s="488"/>
      <c r="H262" s="488"/>
      <c r="I262" s="488"/>
      <c r="J262" s="488"/>
      <c r="K262" s="488"/>
      <c r="L262" s="488"/>
      <c r="M262" s="488"/>
      <c r="N262" s="488"/>
      <c r="O262" s="488"/>
      <c r="P262" s="488"/>
      <c r="Q262" s="488"/>
      <c r="R262" s="488"/>
      <c r="S262" s="470"/>
      <c r="T262" s="470"/>
    </row>
    <row r="263" spans="1:20" x14ac:dyDescent="0.2">
      <c r="A263" s="481"/>
      <c r="B263" s="481"/>
      <c r="C263" s="483"/>
      <c r="D263" s="488"/>
      <c r="E263" s="470"/>
      <c r="F263" s="488"/>
      <c r="G263" s="488"/>
      <c r="H263" s="488"/>
      <c r="I263" s="488"/>
      <c r="J263" s="488"/>
      <c r="K263" s="488"/>
      <c r="L263" s="488"/>
      <c r="M263" s="488"/>
      <c r="N263" s="488"/>
      <c r="O263" s="488"/>
      <c r="P263" s="488"/>
      <c r="Q263" s="488"/>
      <c r="R263" s="488"/>
      <c r="S263" s="470"/>
      <c r="T263" s="470"/>
    </row>
    <row r="264" spans="1:20" x14ac:dyDescent="0.2">
      <c r="A264" s="481"/>
      <c r="B264" s="481"/>
      <c r="C264" s="470"/>
      <c r="D264" s="470"/>
      <c r="E264" s="470"/>
      <c r="F264" s="470"/>
      <c r="G264" s="470"/>
      <c r="H264" s="470"/>
      <c r="I264" s="470"/>
      <c r="J264" s="470"/>
      <c r="K264" s="470"/>
      <c r="L264" s="470"/>
      <c r="M264" s="470"/>
      <c r="N264" s="470"/>
      <c r="O264" s="470"/>
      <c r="P264" s="470"/>
      <c r="Q264" s="470"/>
      <c r="R264" s="470"/>
      <c r="S264" s="470"/>
      <c r="T264" s="470"/>
    </row>
    <row r="265" spans="1:20" x14ac:dyDescent="0.2">
      <c r="A265" s="481"/>
      <c r="B265" s="481"/>
      <c r="C265" s="483"/>
      <c r="D265" s="488"/>
      <c r="E265" s="470"/>
      <c r="F265" s="488"/>
      <c r="G265" s="488"/>
      <c r="H265" s="488"/>
      <c r="I265" s="488"/>
      <c r="J265" s="488"/>
      <c r="K265" s="488"/>
      <c r="L265" s="488"/>
      <c r="M265" s="488"/>
      <c r="N265" s="488"/>
      <c r="O265" s="488"/>
      <c r="P265" s="488"/>
      <c r="Q265" s="488"/>
      <c r="R265" s="488"/>
      <c r="S265" s="470"/>
      <c r="T265" s="470"/>
    </row>
    <row r="266" spans="1:20" x14ac:dyDescent="0.2">
      <c r="A266" s="481"/>
      <c r="B266" s="481"/>
      <c r="C266" s="470"/>
      <c r="D266" s="470"/>
      <c r="E266" s="470"/>
      <c r="F266" s="470"/>
      <c r="G266" s="470"/>
      <c r="H266" s="470"/>
      <c r="I266" s="470"/>
      <c r="J266" s="470"/>
      <c r="K266" s="470"/>
      <c r="L266" s="470"/>
      <c r="M266" s="470"/>
      <c r="N266" s="470"/>
      <c r="O266" s="470"/>
      <c r="P266" s="470"/>
      <c r="Q266" s="470"/>
      <c r="R266" s="470"/>
      <c r="S266" s="470"/>
      <c r="T266" s="470"/>
    </row>
    <row r="267" spans="1:20" x14ac:dyDescent="0.2">
      <c r="A267" s="481"/>
      <c r="B267" s="481"/>
      <c r="C267" s="483"/>
      <c r="D267" s="499"/>
      <c r="E267" s="470"/>
      <c r="F267" s="488"/>
      <c r="G267" s="488"/>
      <c r="H267" s="488"/>
      <c r="I267" s="488"/>
      <c r="J267" s="488"/>
      <c r="K267" s="488"/>
      <c r="L267" s="488"/>
      <c r="M267" s="488"/>
      <c r="N267" s="488"/>
      <c r="O267" s="488"/>
      <c r="P267" s="488"/>
      <c r="Q267" s="488"/>
      <c r="R267" s="488"/>
      <c r="S267" s="470"/>
      <c r="T267" s="470"/>
    </row>
    <row r="268" spans="1:20" x14ac:dyDescent="0.2">
      <c r="A268" s="481"/>
      <c r="B268" s="481"/>
      <c r="C268" s="470"/>
      <c r="D268" s="470"/>
      <c r="E268" s="470"/>
      <c r="F268" s="488"/>
      <c r="G268" s="488"/>
      <c r="H268" s="488"/>
      <c r="I268" s="488"/>
      <c r="J268" s="488"/>
      <c r="K268" s="488"/>
      <c r="L268" s="488"/>
      <c r="M268" s="488"/>
      <c r="N268" s="488"/>
      <c r="O268" s="488"/>
      <c r="P268" s="488"/>
      <c r="Q268" s="488"/>
      <c r="R268" s="488"/>
      <c r="S268" s="470"/>
      <c r="T268" s="470"/>
    </row>
    <row r="269" spans="1:20" x14ac:dyDescent="0.2">
      <c r="A269" s="481"/>
      <c r="B269" s="481"/>
      <c r="C269" s="483"/>
      <c r="D269" s="499"/>
      <c r="E269" s="470"/>
      <c r="F269" s="488"/>
      <c r="G269" s="488"/>
      <c r="H269" s="488"/>
      <c r="I269" s="488"/>
      <c r="J269" s="488"/>
      <c r="K269" s="488"/>
      <c r="L269" s="488"/>
      <c r="M269" s="488"/>
      <c r="N269" s="488"/>
      <c r="O269" s="488"/>
      <c r="P269" s="488"/>
      <c r="Q269" s="488"/>
      <c r="R269" s="488"/>
      <c r="S269" s="470"/>
      <c r="T269" s="470"/>
    </row>
    <row r="270" spans="1:20" x14ac:dyDescent="0.2">
      <c r="A270" s="481"/>
      <c r="B270" s="481"/>
      <c r="C270" s="470"/>
      <c r="D270" s="470"/>
      <c r="E270" s="470"/>
      <c r="F270" s="488"/>
      <c r="G270" s="488"/>
      <c r="H270" s="488"/>
      <c r="I270" s="488"/>
      <c r="J270" s="488"/>
      <c r="K270" s="488"/>
      <c r="L270" s="488"/>
      <c r="M270" s="488"/>
      <c r="N270" s="488"/>
      <c r="O270" s="488"/>
      <c r="P270" s="488"/>
      <c r="Q270" s="488"/>
      <c r="R270" s="488"/>
      <c r="S270" s="470"/>
      <c r="T270" s="470"/>
    </row>
    <row r="271" spans="1:20" x14ac:dyDescent="0.2">
      <c r="A271" s="481"/>
      <c r="B271" s="481"/>
      <c r="C271" s="483"/>
      <c r="D271" s="470"/>
      <c r="E271" s="470"/>
      <c r="F271" s="488"/>
      <c r="G271" s="488"/>
      <c r="H271" s="488"/>
      <c r="I271" s="488"/>
      <c r="J271" s="488"/>
      <c r="K271" s="488"/>
      <c r="L271" s="488"/>
      <c r="M271" s="488"/>
      <c r="N271" s="488"/>
      <c r="O271" s="488"/>
      <c r="P271" s="488"/>
      <c r="Q271" s="488"/>
      <c r="R271" s="488"/>
      <c r="S271" s="470"/>
      <c r="T271" s="470"/>
    </row>
    <row r="272" spans="1:20" x14ac:dyDescent="0.2">
      <c r="A272" s="481"/>
      <c r="B272" s="481"/>
      <c r="C272" s="470"/>
      <c r="D272" s="470"/>
      <c r="E272" s="470"/>
      <c r="F272" s="470"/>
      <c r="G272" s="470"/>
      <c r="H272" s="470"/>
      <c r="I272" s="470"/>
      <c r="J272" s="470"/>
      <c r="K272" s="470"/>
      <c r="L272" s="470"/>
      <c r="M272" s="470"/>
      <c r="N272" s="470"/>
      <c r="O272" s="470"/>
      <c r="P272" s="470"/>
      <c r="Q272" s="470"/>
      <c r="R272" s="470"/>
      <c r="S272" s="470"/>
      <c r="T272" s="470"/>
    </row>
    <row r="273" spans="1:20" x14ac:dyDescent="0.2">
      <c r="A273" s="481"/>
      <c r="B273" s="481"/>
      <c r="C273" s="470"/>
      <c r="D273" s="470"/>
      <c r="E273" s="470"/>
      <c r="F273" s="470"/>
      <c r="G273" s="488"/>
      <c r="H273" s="470"/>
      <c r="I273" s="737"/>
      <c r="J273" s="470"/>
      <c r="K273" s="488"/>
      <c r="L273" s="470"/>
      <c r="M273" s="470"/>
      <c r="N273" s="470"/>
      <c r="O273" s="470"/>
      <c r="P273" s="470"/>
      <c r="Q273" s="470"/>
      <c r="R273" s="470"/>
      <c r="S273" s="470"/>
      <c r="T273" s="470"/>
    </row>
    <row r="274" spans="1:20" x14ac:dyDescent="0.2">
      <c r="A274" s="481"/>
      <c r="B274" s="481"/>
      <c r="C274" s="470"/>
      <c r="D274" s="470"/>
      <c r="E274" s="470"/>
      <c r="F274" s="470"/>
      <c r="G274" s="488"/>
      <c r="H274" s="470"/>
      <c r="I274" s="737"/>
      <c r="J274" s="470"/>
      <c r="K274" s="488"/>
      <c r="L274" s="470"/>
      <c r="M274" s="470"/>
      <c r="N274" s="470"/>
      <c r="O274" s="470"/>
      <c r="P274" s="470"/>
      <c r="Q274" s="470"/>
      <c r="R274" s="470"/>
      <c r="S274" s="470"/>
      <c r="T274" s="470"/>
    </row>
    <row r="275" spans="1:20" x14ac:dyDescent="0.2">
      <c r="A275" s="481"/>
      <c r="B275" s="481"/>
      <c r="C275" s="470"/>
      <c r="D275" s="470"/>
      <c r="E275" s="470"/>
      <c r="F275" s="470"/>
      <c r="G275" s="488"/>
      <c r="H275" s="470"/>
      <c r="I275" s="737"/>
      <c r="J275" s="470"/>
      <c r="K275" s="488"/>
      <c r="L275" s="470"/>
      <c r="M275" s="470"/>
      <c r="N275" s="470"/>
      <c r="O275" s="470"/>
      <c r="P275" s="470"/>
      <c r="Q275" s="470"/>
      <c r="R275" s="470"/>
      <c r="S275" s="470"/>
      <c r="T275" s="470"/>
    </row>
    <row r="276" spans="1:20" x14ac:dyDescent="0.2">
      <c r="A276" s="481"/>
      <c r="B276" s="481"/>
      <c r="C276" s="470"/>
      <c r="D276" s="470"/>
      <c r="E276" s="470"/>
      <c r="F276" s="470"/>
      <c r="G276" s="488"/>
      <c r="H276" s="470"/>
      <c r="I276" s="737"/>
      <c r="J276" s="470"/>
      <c r="K276" s="488"/>
      <c r="L276" s="470"/>
      <c r="M276" s="470"/>
      <c r="N276" s="470"/>
      <c r="O276" s="470"/>
      <c r="P276" s="470"/>
      <c r="Q276" s="470"/>
      <c r="R276" s="470"/>
      <c r="S276" s="470"/>
      <c r="T276" s="470"/>
    </row>
    <row r="277" spans="1:20" x14ac:dyDescent="0.2">
      <c r="A277" s="481"/>
      <c r="B277" s="481"/>
      <c r="C277" s="470"/>
      <c r="D277" s="470"/>
      <c r="E277" s="470"/>
      <c r="F277" s="470"/>
      <c r="G277" s="488"/>
      <c r="H277" s="470"/>
      <c r="I277" s="737"/>
      <c r="J277" s="470"/>
      <c r="K277" s="488"/>
      <c r="L277" s="470"/>
      <c r="M277" s="470"/>
      <c r="N277" s="470"/>
      <c r="O277" s="470"/>
      <c r="P277" s="470"/>
      <c r="Q277" s="470"/>
      <c r="R277" s="470"/>
      <c r="S277" s="470"/>
      <c r="T277" s="470"/>
    </row>
    <row r="278" spans="1:20" x14ac:dyDescent="0.2">
      <c r="A278" s="470"/>
      <c r="B278" s="470"/>
      <c r="C278" s="470"/>
      <c r="D278" s="470"/>
      <c r="E278" s="470"/>
      <c r="F278" s="470"/>
      <c r="G278" s="488"/>
      <c r="H278" s="470"/>
      <c r="I278" s="737"/>
      <c r="J278" s="470"/>
      <c r="K278" s="488"/>
      <c r="L278" s="470"/>
      <c r="M278" s="470"/>
      <c r="N278" s="470"/>
      <c r="O278" s="470"/>
      <c r="P278" s="470"/>
      <c r="Q278" s="470"/>
      <c r="R278" s="470"/>
      <c r="S278" s="470"/>
      <c r="T278" s="470"/>
    </row>
    <row r="279" spans="1:20" x14ac:dyDescent="0.2">
      <c r="A279" s="470"/>
      <c r="B279" s="470"/>
      <c r="C279" s="470"/>
      <c r="D279" s="488"/>
      <c r="E279" s="470"/>
      <c r="F279" s="470"/>
      <c r="G279" s="488"/>
      <c r="H279" s="470"/>
      <c r="I279" s="737"/>
      <c r="J279" s="470"/>
      <c r="K279" s="488"/>
      <c r="L279" s="470"/>
      <c r="M279" s="470"/>
      <c r="N279" s="470"/>
      <c r="O279" s="470"/>
      <c r="P279" s="470"/>
      <c r="Q279" s="470"/>
      <c r="R279" s="470"/>
      <c r="S279" s="470"/>
      <c r="T279" s="470"/>
    </row>
    <row r="280" spans="1:20" x14ac:dyDescent="0.2">
      <c r="A280" s="470"/>
      <c r="B280" s="470"/>
      <c r="C280" s="470"/>
      <c r="D280" s="470"/>
      <c r="E280" s="470"/>
      <c r="F280" s="470"/>
      <c r="G280" s="470"/>
      <c r="H280" s="470"/>
      <c r="I280" s="470"/>
      <c r="J280" s="470"/>
      <c r="K280" s="470"/>
      <c r="L280" s="470"/>
      <c r="M280" s="470"/>
      <c r="N280" s="470"/>
      <c r="O280" s="470"/>
      <c r="P280" s="470"/>
      <c r="Q280" s="470"/>
      <c r="R280" s="470"/>
      <c r="S280" s="470"/>
      <c r="T280" s="470"/>
    </row>
    <row r="281" spans="1:20" x14ac:dyDescent="0.2">
      <c r="A281" s="470"/>
      <c r="B281" s="470"/>
      <c r="C281" s="470"/>
      <c r="D281" s="470"/>
      <c r="E281" s="470"/>
      <c r="F281" s="470"/>
      <c r="G281" s="470"/>
      <c r="H281" s="481"/>
      <c r="I281" s="470"/>
      <c r="J281" s="470"/>
      <c r="K281" s="470"/>
      <c r="L281" s="470"/>
      <c r="M281" s="470"/>
      <c r="N281" s="470"/>
      <c r="O281" s="470"/>
      <c r="P281" s="470"/>
      <c r="Q281" s="470"/>
      <c r="R281" s="470"/>
      <c r="S281" s="470"/>
      <c r="T281" s="470"/>
    </row>
    <row r="282" spans="1:20" x14ac:dyDescent="0.2">
      <c r="A282" s="470"/>
      <c r="B282" s="470"/>
      <c r="C282" s="470"/>
      <c r="D282" s="497"/>
      <c r="E282" s="470"/>
      <c r="F282" s="470"/>
      <c r="G282" s="470"/>
      <c r="H282" s="481"/>
      <c r="I282" s="470"/>
      <c r="J282" s="470"/>
      <c r="K282" s="470"/>
      <c r="L282" s="470"/>
      <c r="M282" s="470"/>
      <c r="N282" s="470"/>
      <c r="O282" s="470"/>
      <c r="P282" s="470"/>
      <c r="Q282" s="470"/>
      <c r="R282" s="470"/>
      <c r="S282" s="470"/>
      <c r="T282" s="470"/>
    </row>
    <row r="283" spans="1:20" x14ac:dyDescent="0.2">
      <c r="A283" s="470"/>
      <c r="B283" s="470"/>
      <c r="C283" s="470"/>
      <c r="D283" s="498"/>
      <c r="E283" s="470"/>
      <c r="F283" s="470"/>
      <c r="G283" s="470"/>
      <c r="H283" s="481"/>
      <c r="I283" s="470"/>
      <c r="J283" s="470"/>
      <c r="K283" s="470"/>
      <c r="L283" s="470"/>
      <c r="M283" s="470"/>
      <c r="N283" s="470"/>
      <c r="O283" s="470"/>
      <c r="P283" s="470"/>
      <c r="Q283" s="470"/>
      <c r="R283" s="470"/>
      <c r="S283" s="470"/>
      <c r="T283" s="470"/>
    </row>
    <row r="284" spans="1:20" x14ac:dyDescent="0.2">
      <c r="A284" s="470"/>
      <c r="B284" s="470"/>
      <c r="C284" s="470"/>
      <c r="D284" s="470"/>
      <c r="E284" s="470"/>
      <c r="F284" s="470"/>
      <c r="G284" s="470"/>
      <c r="H284" s="481"/>
      <c r="I284" s="470"/>
      <c r="J284" s="470"/>
      <c r="K284" s="470"/>
      <c r="L284" s="470"/>
      <c r="M284" s="470"/>
      <c r="N284" s="470"/>
      <c r="O284" s="470"/>
      <c r="P284" s="470"/>
      <c r="Q284" s="470"/>
      <c r="R284" s="470"/>
      <c r="S284" s="470"/>
      <c r="T284" s="470"/>
    </row>
    <row r="285" spans="1:20" x14ac:dyDescent="0.2">
      <c r="A285" s="470"/>
      <c r="B285" s="470"/>
      <c r="C285" s="470"/>
      <c r="D285" s="470"/>
      <c r="E285" s="470"/>
      <c r="F285" s="470"/>
      <c r="G285" s="470"/>
      <c r="H285" s="481"/>
      <c r="I285" s="470"/>
      <c r="J285" s="470"/>
      <c r="K285" s="470"/>
      <c r="L285" s="470"/>
      <c r="M285" s="470"/>
      <c r="N285" s="470"/>
      <c r="O285" s="470"/>
      <c r="P285" s="470"/>
      <c r="Q285" s="470"/>
      <c r="R285" s="470"/>
      <c r="S285" s="470"/>
      <c r="T285" s="470"/>
    </row>
    <row r="286" spans="1:20" x14ac:dyDescent="0.2">
      <c r="A286" s="483"/>
      <c r="B286" s="483"/>
      <c r="C286" s="470"/>
      <c r="D286" s="470"/>
      <c r="E286" s="470"/>
      <c r="F286" s="470"/>
      <c r="G286" s="470"/>
      <c r="H286" s="470"/>
      <c r="I286" s="470"/>
      <c r="J286" s="470"/>
      <c r="K286" s="470"/>
      <c r="L286" s="470"/>
      <c r="M286" s="470"/>
      <c r="N286" s="470"/>
      <c r="O286" s="470"/>
      <c r="P286" s="470"/>
      <c r="Q286" s="470"/>
      <c r="R286" s="470"/>
      <c r="S286" s="470"/>
      <c r="T286" s="470"/>
    </row>
    <row r="287" spans="1:20" x14ac:dyDescent="0.2">
      <c r="A287" s="483"/>
      <c r="B287" s="483"/>
      <c r="C287" s="470"/>
      <c r="D287" s="470"/>
      <c r="E287" s="470"/>
      <c r="F287" s="470"/>
      <c r="G287" s="470"/>
      <c r="H287" s="470"/>
      <c r="I287" s="470"/>
      <c r="J287" s="470"/>
      <c r="K287" s="470"/>
      <c r="L287" s="470"/>
      <c r="M287" s="470"/>
      <c r="N287" s="470"/>
      <c r="O287" s="470"/>
      <c r="P287" s="470"/>
      <c r="Q287" s="470"/>
      <c r="R287" s="470"/>
      <c r="S287" s="470"/>
      <c r="T287" s="470"/>
    </row>
    <row r="288" spans="1:20" x14ac:dyDescent="0.2">
      <c r="A288" s="483"/>
      <c r="B288" s="483"/>
      <c r="C288" s="470"/>
      <c r="D288" s="470"/>
      <c r="E288" s="470"/>
      <c r="F288" s="470"/>
      <c r="G288" s="470"/>
      <c r="H288" s="470"/>
      <c r="I288" s="470"/>
      <c r="J288" s="470"/>
      <c r="K288" s="470"/>
      <c r="L288" s="470"/>
      <c r="M288" s="470"/>
      <c r="N288" s="470"/>
      <c r="O288" s="470"/>
      <c r="P288" s="470"/>
      <c r="Q288" s="470"/>
      <c r="R288" s="470"/>
      <c r="S288" s="470"/>
      <c r="T288" s="470"/>
    </row>
    <row r="289" spans="1:20" x14ac:dyDescent="0.2">
      <c r="A289" s="470"/>
      <c r="B289" s="470"/>
      <c r="C289" s="470"/>
      <c r="D289" s="470"/>
      <c r="E289" s="470"/>
      <c r="F289" s="470"/>
      <c r="G289" s="470"/>
      <c r="H289" s="470"/>
      <c r="I289" s="470"/>
      <c r="J289" s="470"/>
      <c r="K289" s="470"/>
      <c r="L289" s="470"/>
      <c r="M289" s="481"/>
      <c r="N289" s="470"/>
      <c r="O289" s="470"/>
      <c r="P289" s="470"/>
      <c r="Q289" s="470"/>
      <c r="R289" s="470"/>
      <c r="S289" s="470"/>
      <c r="T289" s="470"/>
    </row>
    <row r="290" spans="1:20" x14ac:dyDescent="0.2">
      <c r="A290" s="481"/>
      <c r="B290" s="481"/>
      <c r="C290" s="483"/>
      <c r="D290" s="481"/>
      <c r="E290" s="470"/>
      <c r="F290" s="481"/>
      <c r="G290" s="470"/>
      <c r="H290" s="481"/>
      <c r="I290" s="470"/>
      <c r="J290" s="470"/>
      <c r="K290" s="470"/>
      <c r="L290" s="470"/>
      <c r="M290" s="470"/>
      <c r="N290" s="470"/>
      <c r="O290" s="470"/>
      <c r="P290" s="470"/>
      <c r="Q290" s="470"/>
      <c r="R290" s="470"/>
      <c r="S290" s="470"/>
      <c r="T290" s="470"/>
    </row>
    <row r="291" spans="1:20" x14ac:dyDescent="0.2">
      <c r="A291" s="481"/>
      <c r="B291" s="481"/>
      <c r="C291" s="483"/>
      <c r="D291" s="481"/>
      <c r="E291" s="470"/>
      <c r="F291" s="481"/>
      <c r="G291" s="483"/>
      <c r="H291" s="481"/>
      <c r="I291" s="470"/>
      <c r="J291" s="470"/>
      <c r="K291" s="470"/>
      <c r="L291" s="470"/>
      <c r="M291" s="470"/>
      <c r="N291" s="470"/>
      <c r="O291" s="470"/>
      <c r="P291" s="470"/>
      <c r="Q291" s="470"/>
      <c r="R291" s="470"/>
      <c r="S291" s="470"/>
      <c r="T291" s="470"/>
    </row>
    <row r="292" spans="1:20" x14ac:dyDescent="0.2">
      <c r="A292" s="470"/>
      <c r="B292" s="470"/>
      <c r="C292" s="470"/>
      <c r="D292" s="470"/>
      <c r="E292" s="470"/>
      <c r="F292" s="470"/>
      <c r="G292" s="488"/>
      <c r="H292" s="470"/>
      <c r="I292" s="737"/>
      <c r="J292" s="470"/>
      <c r="K292" s="488"/>
      <c r="L292" s="470"/>
      <c r="M292" s="470"/>
      <c r="N292" s="470"/>
      <c r="O292" s="470"/>
      <c r="P292" s="470"/>
      <c r="Q292" s="470"/>
      <c r="R292" s="470"/>
      <c r="S292" s="470"/>
      <c r="T292" s="470"/>
    </row>
    <row r="293" spans="1:20" x14ac:dyDescent="0.2">
      <c r="A293" s="470"/>
      <c r="B293" s="470"/>
      <c r="C293" s="470"/>
      <c r="D293" s="470"/>
      <c r="E293" s="470"/>
      <c r="F293" s="470"/>
      <c r="G293" s="488"/>
      <c r="H293" s="470"/>
      <c r="I293" s="737"/>
      <c r="J293" s="470"/>
      <c r="K293" s="488"/>
      <c r="L293" s="470"/>
      <c r="M293" s="470"/>
      <c r="N293" s="470"/>
      <c r="O293" s="470"/>
      <c r="P293" s="470"/>
      <c r="Q293" s="470"/>
      <c r="R293" s="470"/>
      <c r="S293" s="470"/>
      <c r="T293" s="470"/>
    </row>
    <row r="294" spans="1:20" x14ac:dyDescent="0.2">
      <c r="A294" s="481"/>
      <c r="B294" s="481"/>
      <c r="C294" s="483"/>
      <c r="D294" s="488"/>
      <c r="E294" s="470"/>
      <c r="F294" s="488"/>
      <c r="G294" s="488"/>
      <c r="H294" s="488"/>
      <c r="I294" s="737"/>
      <c r="J294" s="470"/>
      <c r="K294" s="488"/>
      <c r="L294" s="470"/>
      <c r="M294" s="470"/>
      <c r="N294" s="470"/>
      <c r="O294" s="470"/>
      <c r="P294" s="470"/>
      <c r="Q294" s="470"/>
      <c r="R294" s="470"/>
      <c r="S294" s="470"/>
      <c r="T294" s="470"/>
    </row>
    <row r="295" spans="1:20" x14ac:dyDescent="0.2">
      <c r="A295" s="481"/>
      <c r="B295" s="481"/>
      <c r="C295" s="483"/>
      <c r="D295" s="488"/>
      <c r="E295" s="470"/>
      <c r="F295" s="488"/>
      <c r="G295" s="488"/>
      <c r="H295" s="470"/>
      <c r="I295" s="737"/>
      <c r="J295" s="470"/>
      <c r="K295" s="488"/>
      <c r="L295" s="470"/>
      <c r="M295" s="470"/>
      <c r="N295" s="470"/>
      <c r="O295" s="470"/>
      <c r="P295" s="470"/>
      <c r="Q295" s="470"/>
      <c r="R295" s="470"/>
      <c r="S295" s="470"/>
      <c r="T295" s="470"/>
    </row>
    <row r="296" spans="1:20" x14ac:dyDescent="0.2">
      <c r="A296" s="481"/>
      <c r="B296" s="481"/>
      <c r="C296" s="483"/>
      <c r="D296" s="488"/>
      <c r="E296" s="470"/>
      <c r="F296" s="488"/>
      <c r="G296" s="488"/>
      <c r="H296" s="470"/>
      <c r="I296" s="737"/>
      <c r="J296" s="470"/>
      <c r="K296" s="488"/>
      <c r="L296" s="470"/>
      <c r="M296" s="470"/>
      <c r="N296" s="470"/>
      <c r="O296" s="470"/>
      <c r="P296" s="470"/>
      <c r="Q296" s="470"/>
      <c r="R296" s="470"/>
      <c r="S296" s="470"/>
      <c r="T296" s="470"/>
    </row>
    <row r="297" spans="1:20" x14ac:dyDescent="0.2">
      <c r="A297" s="481"/>
      <c r="B297" s="481"/>
      <c r="C297" s="470"/>
      <c r="D297" s="488"/>
      <c r="E297" s="470"/>
      <c r="F297" s="488"/>
      <c r="G297" s="488"/>
      <c r="H297" s="470"/>
      <c r="I297" s="737"/>
      <c r="J297" s="470"/>
      <c r="K297" s="488"/>
      <c r="L297" s="470"/>
      <c r="M297" s="470"/>
      <c r="N297" s="470"/>
      <c r="O297" s="470"/>
      <c r="P297" s="470"/>
      <c r="Q297" s="470"/>
      <c r="R297" s="470"/>
      <c r="S297" s="470"/>
      <c r="T297" s="470"/>
    </row>
    <row r="298" spans="1:20" x14ac:dyDescent="0.2">
      <c r="A298" s="481"/>
      <c r="B298" s="481"/>
      <c r="C298" s="483"/>
      <c r="D298" s="488"/>
      <c r="E298" s="470"/>
      <c r="F298" s="488"/>
      <c r="G298" s="470"/>
      <c r="H298" s="488"/>
      <c r="I298" s="737"/>
      <c r="J298" s="488"/>
      <c r="K298" s="470"/>
      <c r="L298" s="488"/>
      <c r="M298" s="488"/>
      <c r="N298" s="488"/>
      <c r="O298" s="470"/>
      <c r="P298" s="488"/>
      <c r="Q298" s="470"/>
      <c r="R298" s="470"/>
      <c r="S298" s="470"/>
      <c r="T298" s="470"/>
    </row>
    <row r="299" spans="1:20" x14ac:dyDescent="0.2">
      <c r="A299" s="481"/>
      <c r="B299" s="481"/>
      <c r="C299" s="470"/>
      <c r="D299" s="488"/>
      <c r="E299" s="470"/>
      <c r="F299" s="488"/>
      <c r="G299" s="488"/>
      <c r="H299" s="470"/>
      <c r="I299" s="737"/>
      <c r="J299" s="470"/>
      <c r="K299" s="488"/>
      <c r="L299" s="470"/>
      <c r="M299" s="470"/>
      <c r="N299" s="470"/>
      <c r="O299" s="470"/>
      <c r="P299" s="470"/>
      <c r="Q299" s="470"/>
      <c r="R299" s="470"/>
      <c r="S299" s="470"/>
      <c r="T299" s="470"/>
    </row>
    <row r="300" spans="1:20" x14ac:dyDescent="0.2">
      <c r="A300" s="481"/>
      <c r="B300" s="481"/>
      <c r="C300" s="483"/>
      <c r="D300" s="499"/>
      <c r="E300" s="470"/>
      <c r="F300" s="488"/>
      <c r="G300" s="488"/>
      <c r="H300" s="488"/>
      <c r="I300" s="488"/>
      <c r="J300" s="488"/>
      <c r="K300" s="488"/>
      <c r="L300" s="488"/>
      <c r="M300" s="488"/>
      <c r="N300" s="488"/>
      <c r="O300" s="488"/>
      <c r="P300" s="488"/>
      <c r="Q300" s="488"/>
      <c r="R300" s="488"/>
      <c r="S300" s="470"/>
      <c r="T300" s="470"/>
    </row>
    <row r="301" spans="1:20" x14ac:dyDescent="0.2">
      <c r="A301" s="481"/>
      <c r="B301" s="481"/>
      <c r="C301" s="470"/>
      <c r="D301" s="499"/>
      <c r="E301" s="470"/>
      <c r="F301" s="488"/>
      <c r="G301" s="488"/>
      <c r="H301" s="470"/>
      <c r="I301" s="737"/>
      <c r="J301" s="470"/>
      <c r="K301" s="488"/>
      <c r="L301" s="470"/>
      <c r="M301" s="470"/>
      <c r="N301" s="470"/>
      <c r="O301" s="470"/>
      <c r="P301" s="470"/>
      <c r="Q301" s="470"/>
      <c r="R301" s="470"/>
      <c r="S301" s="470"/>
      <c r="T301" s="470"/>
    </row>
    <row r="302" spans="1:20" x14ac:dyDescent="0.2">
      <c r="A302" s="481"/>
      <c r="B302" s="481"/>
      <c r="C302" s="483"/>
      <c r="D302" s="499"/>
      <c r="E302" s="470"/>
      <c r="F302" s="488"/>
      <c r="G302" s="488"/>
      <c r="H302" s="488"/>
      <c r="I302" s="488"/>
      <c r="J302" s="488"/>
      <c r="K302" s="488"/>
      <c r="L302" s="488"/>
      <c r="M302" s="488"/>
      <c r="N302" s="488"/>
      <c r="O302" s="488"/>
      <c r="P302" s="488"/>
      <c r="Q302" s="488"/>
      <c r="R302" s="488"/>
      <c r="S302" s="470"/>
      <c r="T302" s="470"/>
    </row>
    <row r="303" spans="1:20" x14ac:dyDescent="0.2">
      <c r="A303" s="481"/>
      <c r="B303" s="481"/>
      <c r="C303" s="470"/>
      <c r="D303" s="488"/>
      <c r="E303" s="470"/>
      <c r="F303" s="488"/>
      <c r="G303" s="488"/>
      <c r="H303" s="488"/>
      <c r="I303" s="488"/>
      <c r="J303" s="488"/>
      <c r="K303" s="488"/>
      <c r="L303" s="488"/>
      <c r="M303" s="488"/>
      <c r="N303" s="488"/>
      <c r="O303" s="488"/>
      <c r="P303" s="488"/>
      <c r="Q303" s="488"/>
      <c r="R303" s="488"/>
      <c r="S303" s="470"/>
      <c r="T303" s="470"/>
    </row>
    <row r="304" spans="1:20" x14ac:dyDescent="0.2">
      <c r="A304" s="481"/>
      <c r="B304" s="481"/>
      <c r="C304" s="483"/>
      <c r="D304" s="488"/>
      <c r="E304" s="470"/>
      <c r="F304" s="488"/>
      <c r="G304" s="488"/>
      <c r="H304" s="488"/>
      <c r="I304" s="488"/>
      <c r="J304" s="488"/>
      <c r="K304" s="488"/>
      <c r="L304" s="488"/>
      <c r="M304" s="488"/>
      <c r="N304" s="488"/>
      <c r="O304" s="488"/>
      <c r="P304" s="488"/>
      <c r="Q304" s="488"/>
      <c r="R304" s="488"/>
      <c r="S304" s="470"/>
      <c r="T304" s="470"/>
    </row>
    <row r="305" spans="1:20" x14ac:dyDescent="0.2">
      <c r="A305" s="481"/>
      <c r="B305" s="481"/>
      <c r="C305" s="470"/>
      <c r="D305" s="488"/>
      <c r="E305" s="470"/>
      <c r="F305" s="488"/>
      <c r="G305" s="488"/>
      <c r="H305" s="470"/>
      <c r="I305" s="737"/>
      <c r="J305" s="470"/>
      <c r="K305" s="488"/>
      <c r="L305" s="470"/>
      <c r="M305" s="470"/>
      <c r="N305" s="470"/>
      <c r="O305" s="470"/>
      <c r="P305" s="470"/>
      <c r="Q305" s="470"/>
      <c r="R305" s="470"/>
      <c r="S305" s="470"/>
      <c r="T305" s="470"/>
    </row>
    <row r="306" spans="1:20" x14ac:dyDescent="0.2">
      <c r="A306" s="481"/>
      <c r="B306" s="481"/>
      <c r="C306" s="470"/>
      <c r="D306" s="470"/>
      <c r="E306" s="470"/>
      <c r="F306" s="488"/>
      <c r="G306" s="488"/>
      <c r="H306" s="470"/>
      <c r="I306" s="737"/>
      <c r="J306" s="470"/>
      <c r="K306" s="488"/>
      <c r="L306" s="470"/>
      <c r="M306" s="470"/>
      <c r="N306" s="470"/>
      <c r="O306" s="470"/>
      <c r="P306" s="470"/>
      <c r="Q306" s="470"/>
      <c r="R306" s="470"/>
      <c r="S306" s="470"/>
      <c r="T306" s="470"/>
    </row>
    <row r="307" spans="1:20" x14ac:dyDescent="0.2">
      <c r="A307" s="481"/>
      <c r="B307" s="481"/>
      <c r="C307" s="470"/>
      <c r="D307" s="488"/>
      <c r="E307" s="470"/>
      <c r="F307" s="488"/>
      <c r="G307" s="470"/>
      <c r="H307" s="470"/>
      <c r="I307" s="470"/>
      <c r="J307" s="470"/>
      <c r="K307" s="470"/>
      <c r="L307" s="470"/>
      <c r="M307" s="470"/>
      <c r="N307" s="470"/>
      <c r="O307" s="470"/>
      <c r="P307" s="470"/>
      <c r="Q307" s="470"/>
      <c r="R307" s="470"/>
      <c r="S307" s="470"/>
      <c r="T307" s="470"/>
    </row>
    <row r="308" spans="1:20" x14ac:dyDescent="0.2">
      <c r="A308" s="481"/>
      <c r="B308" s="481"/>
      <c r="C308" s="470"/>
      <c r="D308" s="488"/>
      <c r="E308" s="470"/>
      <c r="F308" s="488"/>
      <c r="G308" s="470"/>
      <c r="H308" s="470"/>
      <c r="I308" s="470"/>
      <c r="J308" s="470"/>
      <c r="K308" s="470"/>
      <c r="L308" s="470"/>
      <c r="M308" s="470"/>
      <c r="N308" s="470"/>
      <c r="O308" s="470"/>
      <c r="P308" s="470"/>
      <c r="Q308" s="470"/>
      <c r="R308" s="470"/>
      <c r="S308" s="470"/>
      <c r="T308" s="470"/>
    </row>
    <row r="309" spans="1:20" x14ac:dyDescent="0.2">
      <c r="A309" s="481"/>
      <c r="B309" s="481"/>
      <c r="C309" s="483"/>
      <c r="D309" s="488"/>
      <c r="E309" s="470"/>
      <c r="F309" s="488"/>
      <c r="G309" s="470"/>
      <c r="H309" s="470"/>
      <c r="I309" s="470"/>
      <c r="J309" s="470"/>
      <c r="K309" s="470"/>
      <c r="L309" s="470"/>
      <c r="M309" s="470"/>
      <c r="N309" s="470"/>
      <c r="O309" s="470"/>
      <c r="P309" s="470"/>
      <c r="Q309" s="470"/>
      <c r="R309" s="470"/>
      <c r="S309" s="470"/>
      <c r="T309" s="470"/>
    </row>
    <row r="310" spans="1:20" x14ac:dyDescent="0.2">
      <c r="A310" s="481"/>
      <c r="B310" s="481"/>
      <c r="C310" s="470"/>
      <c r="D310" s="488"/>
      <c r="E310" s="470"/>
      <c r="F310" s="488"/>
      <c r="G310" s="470"/>
      <c r="H310" s="470"/>
      <c r="I310" s="470"/>
      <c r="J310" s="470"/>
      <c r="K310" s="470"/>
      <c r="L310" s="470"/>
      <c r="M310" s="470"/>
      <c r="N310" s="470"/>
      <c r="O310" s="470"/>
      <c r="P310" s="470"/>
      <c r="Q310" s="470"/>
      <c r="R310" s="470"/>
      <c r="S310" s="470"/>
      <c r="T310" s="470"/>
    </row>
    <row r="311" spans="1:20" x14ac:dyDescent="0.2">
      <c r="A311" s="481"/>
      <c r="B311" s="481"/>
      <c r="C311" s="483"/>
      <c r="D311" s="499"/>
      <c r="E311" s="470"/>
      <c r="F311" s="488"/>
      <c r="G311" s="470"/>
      <c r="H311" s="488"/>
      <c r="I311" s="488"/>
      <c r="J311" s="488"/>
      <c r="K311" s="470"/>
      <c r="L311" s="488"/>
      <c r="M311" s="488"/>
      <c r="N311" s="488"/>
      <c r="O311" s="470"/>
      <c r="P311" s="488"/>
      <c r="Q311" s="488"/>
      <c r="R311" s="488"/>
      <c r="S311" s="470"/>
      <c r="T311" s="470"/>
    </row>
    <row r="312" spans="1:20" x14ac:dyDescent="0.2">
      <c r="A312" s="481"/>
      <c r="B312" s="481"/>
      <c r="C312" s="470"/>
      <c r="D312" s="499"/>
      <c r="E312" s="470"/>
      <c r="F312" s="488"/>
      <c r="G312" s="470"/>
      <c r="H312" s="488"/>
      <c r="I312" s="488"/>
      <c r="J312" s="488"/>
      <c r="K312" s="470"/>
      <c r="L312" s="488"/>
      <c r="M312" s="488"/>
      <c r="N312" s="488"/>
      <c r="O312" s="470"/>
      <c r="P312" s="488"/>
      <c r="Q312" s="488"/>
      <c r="R312" s="488"/>
      <c r="S312" s="470"/>
      <c r="T312" s="470"/>
    </row>
    <row r="313" spans="1:20" x14ac:dyDescent="0.2">
      <c r="A313" s="481"/>
      <c r="B313" s="481"/>
      <c r="C313" s="483"/>
      <c r="D313" s="499"/>
      <c r="E313" s="470"/>
      <c r="F313" s="488"/>
      <c r="G313" s="470"/>
      <c r="H313" s="488"/>
      <c r="I313" s="488"/>
      <c r="J313" s="488"/>
      <c r="K313" s="470"/>
      <c r="L313" s="488"/>
      <c r="M313" s="488"/>
      <c r="N313" s="488"/>
      <c r="O313" s="470"/>
      <c r="P313" s="488"/>
      <c r="Q313" s="488"/>
      <c r="R313" s="488"/>
      <c r="S313" s="470"/>
      <c r="T313" s="470"/>
    </row>
    <row r="314" spans="1:20" x14ac:dyDescent="0.2">
      <c r="A314" s="481"/>
      <c r="B314" s="481"/>
      <c r="C314" s="470"/>
      <c r="D314" s="488"/>
      <c r="E314" s="470"/>
      <c r="F314" s="488"/>
      <c r="G314" s="470"/>
      <c r="H314" s="488"/>
      <c r="I314" s="488"/>
      <c r="J314" s="488"/>
      <c r="K314" s="470"/>
      <c r="L314" s="488"/>
      <c r="M314" s="488"/>
      <c r="N314" s="488"/>
      <c r="O314" s="470"/>
      <c r="P314" s="488"/>
      <c r="Q314" s="488"/>
      <c r="R314" s="488"/>
      <c r="S314" s="470"/>
      <c r="T314" s="470"/>
    </row>
    <row r="315" spans="1:20" x14ac:dyDescent="0.2">
      <c r="A315" s="481"/>
      <c r="B315" s="481"/>
      <c r="C315" s="483"/>
      <c r="D315" s="488"/>
      <c r="E315" s="470"/>
      <c r="F315" s="488"/>
      <c r="G315" s="470"/>
      <c r="H315" s="488"/>
      <c r="I315" s="488"/>
      <c r="J315" s="488"/>
      <c r="K315" s="470"/>
      <c r="L315" s="488"/>
      <c r="M315" s="488"/>
      <c r="N315" s="488"/>
      <c r="O315" s="470"/>
      <c r="P315" s="488"/>
      <c r="Q315" s="488"/>
      <c r="R315" s="488"/>
      <c r="S315" s="470"/>
      <c r="T315" s="470"/>
    </row>
    <row r="316" spans="1:20" x14ac:dyDescent="0.2">
      <c r="A316" s="481"/>
      <c r="B316" s="481"/>
      <c r="C316" s="470"/>
      <c r="D316" s="488"/>
      <c r="E316" s="470"/>
      <c r="F316" s="488"/>
      <c r="G316" s="470"/>
      <c r="H316" s="470"/>
      <c r="I316" s="470"/>
      <c r="J316" s="470"/>
      <c r="K316" s="470"/>
      <c r="L316" s="470"/>
      <c r="M316" s="470"/>
      <c r="N316" s="470"/>
      <c r="O316" s="470"/>
      <c r="P316" s="470"/>
      <c r="Q316" s="470"/>
      <c r="R316" s="470"/>
      <c r="S316" s="470"/>
      <c r="T316" s="470"/>
    </row>
    <row r="317" spans="1:20" x14ac:dyDescent="0.2">
      <c r="A317" s="481"/>
      <c r="B317" s="481"/>
      <c r="C317" s="470"/>
      <c r="D317" s="488"/>
      <c r="E317" s="470"/>
      <c r="F317" s="488"/>
      <c r="G317" s="470"/>
      <c r="H317" s="470"/>
      <c r="I317" s="470"/>
      <c r="J317" s="470"/>
      <c r="K317" s="470"/>
      <c r="L317" s="470"/>
      <c r="M317" s="470"/>
      <c r="N317" s="470"/>
      <c r="O317" s="470"/>
      <c r="P317" s="470"/>
      <c r="Q317" s="470"/>
      <c r="R317" s="470"/>
      <c r="S317" s="470"/>
      <c r="T317" s="470"/>
    </row>
    <row r="318" spans="1:20" x14ac:dyDescent="0.2">
      <c r="A318" s="481"/>
      <c r="B318" s="481"/>
      <c r="C318" s="470"/>
      <c r="D318" s="488"/>
      <c r="E318" s="470"/>
      <c r="F318" s="488"/>
      <c r="G318" s="470"/>
      <c r="H318" s="470"/>
      <c r="I318" s="470"/>
      <c r="J318" s="470"/>
      <c r="K318" s="470"/>
      <c r="L318" s="470"/>
      <c r="M318" s="470"/>
      <c r="N318" s="470"/>
      <c r="O318" s="470"/>
      <c r="P318" s="470"/>
      <c r="Q318" s="470"/>
      <c r="R318" s="470"/>
      <c r="S318" s="470"/>
      <c r="T318" s="470"/>
    </row>
    <row r="319" spans="1:20" x14ac:dyDescent="0.2">
      <c r="A319" s="481"/>
      <c r="B319" s="481"/>
      <c r="C319" s="470"/>
      <c r="D319" s="488"/>
      <c r="E319" s="470"/>
      <c r="F319" s="488"/>
      <c r="G319" s="470"/>
      <c r="H319" s="470"/>
      <c r="I319" s="470"/>
      <c r="J319" s="470"/>
      <c r="K319" s="470"/>
      <c r="L319" s="470"/>
      <c r="M319" s="470"/>
      <c r="N319" s="470"/>
      <c r="O319" s="470"/>
      <c r="P319" s="470"/>
      <c r="Q319" s="470"/>
      <c r="R319" s="470"/>
      <c r="S319" s="470"/>
      <c r="T319" s="470"/>
    </row>
    <row r="320" spans="1:20" x14ac:dyDescent="0.2">
      <c r="A320" s="481"/>
      <c r="B320" s="481"/>
      <c r="C320" s="470"/>
      <c r="D320" s="488"/>
      <c r="E320" s="470"/>
      <c r="F320" s="470"/>
      <c r="G320" s="488"/>
      <c r="H320" s="470"/>
      <c r="I320" s="737"/>
      <c r="J320" s="470"/>
      <c r="K320" s="488"/>
      <c r="L320" s="470"/>
      <c r="M320" s="470"/>
      <c r="N320" s="470"/>
      <c r="O320" s="470"/>
      <c r="P320" s="470"/>
      <c r="Q320" s="470"/>
      <c r="R320" s="470"/>
      <c r="S320" s="470"/>
      <c r="T320" s="470"/>
    </row>
    <row r="321" spans="1:20" x14ac:dyDescent="0.2">
      <c r="A321" s="481"/>
      <c r="B321" s="481"/>
      <c r="C321" s="470"/>
      <c r="D321" s="488"/>
      <c r="E321" s="470"/>
      <c r="F321" s="470"/>
      <c r="G321" s="488"/>
      <c r="H321" s="470"/>
      <c r="I321" s="737"/>
      <c r="J321" s="470"/>
      <c r="K321" s="488"/>
      <c r="L321" s="470"/>
      <c r="M321" s="470"/>
      <c r="N321" s="470"/>
      <c r="O321" s="470"/>
      <c r="P321" s="470"/>
      <c r="Q321" s="470"/>
      <c r="R321" s="470"/>
      <c r="S321" s="470"/>
      <c r="T321" s="470"/>
    </row>
    <row r="322" spans="1:20" x14ac:dyDescent="0.2">
      <c r="A322" s="481"/>
      <c r="B322" s="481"/>
      <c r="C322" s="470"/>
      <c r="D322" s="488"/>
      <c r="E322" s="470"/>
      <c r="F322" s="470"/>
      <c r="G322" s="488"/>
      <c r="H322" s="470"/>
      <c r="I322" s="737"/>
      <c r="J322" s="470"/>
      <c r="K322" s="488"/>
      <c r="L322" s="470"/>
      <c r="M322" s="470"/>
      <c r="N322" s="470"/>
      <c r="O322" s="470"/>
      <c r="P322" s="470"/>
      <c r="Q322" s="470"/>
      <c r="R322" s="470"/>
      <c r="S322" s="470"/>
      <c r="T322" s="470"/>
    </row>
    <row r="323" spans="1:20" x14ac:dyDescent="0.2">
      <c r="A323" s="481"/>
      <c r="B323" s="481"/>
      <c r="C323" s="470"/>
      <c r="D323" s="488"/>
      <c r="E323" s="470"/>
      <c r="F323" s="470"/>
      <c r="G323" s="488"/>
      <c r="H323" s="470"/>
      <c r="I323" s="737"/>
      <c r="J323" s="470"/>
      <c r="K323" s="488"/>
      <c r="L323" s="470"/>
      <c r="M323" s="470"/>
      <c r="N323" s="470"/>
      <c r="O323" s="470"/>
      <c r="P323" s="470"/>
      <c r="Q323" s="470"/>
      <c r="R323" s="470"/>
      <c r="S323" s="470"/>
      <c r="T323" s="470"/>
    </row>
    <row r="324" spans="1:20" x14ac:dyDescent="0.2">
      <c r="A324" s="481"/>
      <c r="B324" s="481"/>
      <c r="C324" s="470"/>
      <c r="D324" s="488"/>
      <c r="E324" s="470"/>
      <c r="F324" s="470"/>
      <c r="G324" s="470"/>
      <c r="H324" s="470"/>
      <c r="I324" s="470"/>
      <c r="J324" s="470"/>
      <c r="K324" s="470"/>
      <c r="L324" s="470"/>
      <c r="M324" s="470"/>
      <c r="N324" s="470"/>
      <c r="O324" s="470"/>
      <c r="P324" s="470"/>
      <c r="Q324" s="470"/>
      <c r="R324" s="470"/>
      <c r="S324" s="470"/>
      <c r="T324" s="470"/>
    </row>
    <row r="325" spans="1:20" x14ac:dyDescent="0.2">
      <c r="A325" s="481"/>
      <c r="B325" s="481"/>
      <c r="C325" s="470"/>
      <c r="D325" s="488"/>
      <c r="E325" s="470"/>
      <c r="F325" s="470"/>
      <c r="G325" s="488"/>
      <c r="H325" s="470"/>
      <c r="I325" s="737"/>
      <c r="J325" s="470"/>
      <c r="K325" s="488"/>
      <c r="L325" s="470"/>
      <c r="M325" s="470"/>
      <c r="N325" s="470"/>
      <c r="O325" s="470"/>
      <c r="P325" s="470"/>
      <c r="Q325" s="470"/>
      <c r="R325" s="470"/>
      <c r="S325" s="470"/>
      <c r="T325" s="470"/>
    </row>
    <row r="326" spans="1:20" x14ac:dyDescent="0.2">
      <c r="A326" s="481"/>
      <c r="B326" s="481"/>
      <c r="C326" s="470"/>
      <c r="D326" s="488"/>
      <c r="E326" s="470"/>
      <c r="F326" s="470"/>
      <c r="G326" s="470"/>
      <c r="H326" s="470"/>
      <c r="I326" s="470"/>
      <c r="J326" s="470"/>
      <c r="K326" s="470"/>
      <c r="L326" s="470"/>
      <c r="M326" s="470"/>
      <c r="N326" s="470"/>
      <c r="O326" s="470"/>
      <c r="P326" s="470"/>
      <c r="Q326" s="470"/>
      <c r="R326" s="470"/>
      <c r="S326" s="470"/>
      <c r="T326" s="470"/>
    </row>
    <row r="327" spans="1:20" x14ac:dyDescent="0.2">
      <c r="A327" s="481"/>
      <c r="B327" s="481"/>
      <c r="C327" s="470"/>
      <c r="D327" s="488"/>
      <c r="E327" s="470"/>
      <c r="F327" s="470"/>
      <c r="G327" s="488"/>
      <c r="H327" s="470"/>
      <c r="I327" s="737"/>
      <c r="J327" s="470"/>
      <c r="K327" s="488"/>
      <c r="L327" s="470"/>
      <c r="M327" s="470"/>
      <c r="N327" s="470"/>
      <c r="O327" s="470"/>
      <c r="P327" s="470"/>
      <c r="Q327" s="470"/>
      <c r="R327" s="470"/>
      <c r="S327" s="470"/>
      <c r="T327" s="470"/>
    </row>
    <row r="328" spans="1:20" x14ac:dyDescent="0.2">
      <c r="A328" s="481"/>
      <c r="B328" s="481"/>
      <c r="C328" s="470"/>
      <c r="D328" s="488"/>
      <c r="E328" s="470"/>
      <c r="F328" s="470"/>
      <c r="G328" s="488"/>
      <c r="H328" s="470"/>
      <c r="I328" s="737"/>
      <c r="J328" s="470"/>
      <c r="K328" s="488"/>
      <c r="L328" s="470"/>
      <c r="M328" s="470"/>
      <c r="N328" s="470"/>
      <c r="O328" s="470"/>
      <c r="P328" s="470"/>
      <c r="Q328" s="470"/>
      <c r="R328" s="470"/>
      <c r="S328" s="470"/>
      <c r="T328" s="470"/>
    </row>
    <row r="329" spans="1:20" x14ac:dyDescent="0.2">
      <c r="A329" s="481"/>
      <c r="B329" s="481"/>
      <c r="C329" s="470"/>
      <c r="D329" s="488"/>
      <c r="E329" s="470"/>
      <c r="F329" s="470"/>
      <c r="G329" s="488"/>
      <c r="H329" s="470"/>
      <c r="I329" s="737"/>
      <c r="J329" s="470"/>
      <c r="K329" s="488"/>
      <c r="L329" s="470"/>
      <c r="M329" s="470"/>
      <c r="N329" s="470"/>
      <c r="O329" s="470"/>
      <c r="P329" s="470"/>
      <c r="Q329" s="470"/>
      <c r="R329" s="470"/>
      <c r="S329" s="470"/>
      <c r="T329" s="470"/>
    </row>
    <row r="330" spans="1:20" x14ac:dyDescent="0.2">
      <c r="A330" s="481"/>
      <c r="B330" s="481"/>
      <c r="C330" s="470"/>
      <c r="D330" s="488"/>
      <c r="E330" s="470"/>
      <c r="F330" s="470"/>
      <c r="G330" s="488"/>
      <c r="H330" s="470"/>
      <c r="I330" s="737"/>
      <c r="J330" s="470"/>
      <c r="K330" s="488"/>
      <c r="L330" s="470"/>
      <c r="M330" s="470"/>
      <c r="N330" s="470"/>
      <c r="O330" s="470"/>
      <c r="P330" s="470"/>
      <c r="Q330" s="470"/>
      <c r="R330" s="470"/>
      <c r="S330" s="470"/>
      <c r="T330" s="470"/>
    </row>
    <row r="331" spans="1:20" x14ac:dyDescent="0.2">
      <c r="A331" s="481"/>
      <c r="B331" s="481"/>
      <c r="C331" s="470"/>
      <c r="D331" s="488"/>
      <c r="E331" s="470"/>
      <c r="F331" s="470"/>
      <c r="G331" s="470"/>
      <c r="H331" s="470"/>
      <c r="I331" s="737"/>
      <c r="J331" s="470"/>
      <c r="K331" s="470"/>
      <c r="L331" s="470"/>
      <c r="M331" s="470"/>
      <c r="N331" s="470"/>
      <c r="O331" s="470"/>
      <c r="P331" s="470"/>
      <c r="Q331" s="470"/>
      <c r="R331" s="470"/>
      <c r="S331" s="470"/>
      <c r="T331" s="470"/>
    </row>
    <row r="332" spans="1:20" x14ac:dyDescent="0.2">
      <c r="A332" s="481"/>
      <c r="B332" s="481"/>
      <c r="C332" s="470"/>
      <c r="D332" s="488"/>
      <c r="E332" s="470"/>
      <c r="F332" s="470"/>
      <c r="G332" s="488"/>
      <c r="H332" s="470"/>
      <c r="I332" s="737"/>
      <c r="J332" s="470"/>
      <c r="K332" s="488"/>
      <c r="L332" s="470"/>
      <c r="M332" s="470"/>
      <c r="N332" s="470"/>
      <c r="O332" s="470"/>
      <c r="P332" s="470"/>
      <c r="Q332" s="470"/>
      <c r="R332" s="470"/>
      <c r="S332" s="470"/>
      <c r="T332" s="470"/>
    </row>
    <row r="333" spans="1:20" x14ac:dyDescent="0.2">
      <c r="A333" s="481"/>
      <c r="B333" s="481"/>
      <c r="C333" s="470"/>
      <c r="D333" s="488"/>
      <c r="E333" s="470"/>
      <c r="F333" s="470"/>
      <c r="G333" s="470"/>
      <c r="H333" s="470"/>
      <c r="I333" s="470"/>
      <c r="J333" s="470"/>
      <c r="K333" s="470"/>
      <c r="L333" s="470"/>
      <c r="M333" s="470"/>
      <c r="N333" s="470"/>
      <c r="O333" s="470"/>
      <c r="P333" s="470"/>
      <c r="Q333" s="470"/>
      <c r="R333" s="470"/>
      <c r="S333" s="470"/>
      <c r="T333" s="470"/>
    </row>
    <row r="334" spans="1:20" x14ac:dyDescent="0.2">
      <c r="A334" s="481"/>
      <c r="B334" s="481"/>
      <c r="C334" s="470"/>
      <c r="D334" s="488"/>
      <c r="E334" s="470"/>
      <c r="F334" s="470"/>
      <c r="G334" s="470"/>
      <c r="H334" s="470"/>
      <c r="I334" s="470"/>
      <c r="J334" s="470"/>
      <c r="K334" s="470"/>
      <c r="L334" s="470"/>
      <c r="M334" s="470"/>
      <c r="N334" s="470"/>
      <c r="O334" s="470"/>
      <c r="P334" s="470"/>
      <c r="Q334" s="470"/>
      <c r="R334" s="470"/>
      <c r="S334" s="470"/>
      <c r="T334" s="470"/>
    </row>
    <row r="335" spans="1:20" x14ac:dyDescent="0.2">
      <c r="A335" s="470"/>
      <c r="B335" s="470"/>
      <c r="C335" s="470"/>
      <c r="D335" s="488"/>
      <c r="E335" s="470"/>
      <c r="F335" s="470"/>
      <c r="G335" s="470"/>
      <c r="H335" s="470"/>
      <c r="I335" s="470"/>
      <c r="J335" s="470"/>
      <c r="K335" s="470"/>
      <c r="L335" s="470"/>
      <c r="M335" s="470"/>
      <c r="N335" s="470"/>
      <c r="O335" s="470"/>
      <c r="P335" s="470"/>
      <c r="Q335" s="470"/>
      <c r="R335" s="470"/>
      <c r="S335" s="470"/>
      <c r="T335" s="470"/>
    </row>
    <row r="336" spans="1:20" x14ac:dyDescent="0.2">
      <c r="A336" s="470"/>
      <c r="B336" s="470"/>
      <c r="C336" s="470"/>
      <c r="D336" s="488"/>
      <c r="E336" s="470"/>
      <c r="F336" s="470"/>
      <c r="G336" s="470"/>
      <c r="H336" s="470"/>
      <c r="I336" s="470"/>
      <c r="J336" s="470"/>
      <c r="K336" s="470"/>
      <c r="L336" s="470"/>
      <c r="M336" s="470"/>
      <c r="N336" s="470"/>
      <c r="O336" s="470"/>
      <c r="P336" s="470"/>
      <c r="Q336" s="470"/>
      <c r="R336" s="470"/>
      <c r="S336" s="470"/>
      <c r="T336" s="470"/>
    </row>
    <row r="337" spans="1:20" x14ac:dyDescent="0.2">
      <c r="A337" s="470"/>
      <c r="B337" s="470"/>
      <c r="C337" s="470"/>
      <c r="D337" s="488"/>
      <c r="E337" s="470"/>
      <c r="F337" s="470"/>
      <c r="G337" s="470"/>
      <c r="H337" s="470"/>
      <c r="I337" s="470"/>
      <c r="J337" s="470"/>
      <c r="K337" s="470"/>
      <c r="L337" s="470"/>
      <c r="M337" s="470"/>
      <c r="N337" s="470"/>
      <c r="O337" s="470"/>
      <c r="P337" s="470"/>
      <c r="Q337" s="470"/>
      <c r="R337" s="470"/>
      <c r="S337" s="470"/>
      <c r="T337" s="470"/>
    </row>
    <row r="338" spans="1:20" x14ac:dyDescent="0.2">
      <c r="A338" s="470"/>
      <c r="B338" s="470"/>
      <c r="C338" s="470"/>
      <c r="D338" s="488"/>
      <c r="E338" s="470"/>
      <c r="F338" s="470"/>
      <c r="G338" s="470"/>
      <c r="H338" s="470"/>
      <c r="I338" s="470"/>
      <c r="J338" s="470"/>
      <c r="K338" s="470"/>
      <c r="L338" s="470"/>
      <c r="M338" s="470"/>
      <c r="N338" s="470"/>
      <c r="O338" s="470"/>
      <c r="P338" s="470"/>
      <c r="Q338" s="470"/>
      <c r="R338" s="470"/>
      <c r="S338" s="470"/>
      <c r="T338" s="470"/>
    </row>
    <row r="339" spans="1:20" x14ac:dyDescent="0.2">
      <c r="A339" s="470"/>
      <c r="B339" s="470"/>
      <c r="C339" s="470"/>
      <c r="D339" s="488"/>
      <c r="E339" s="470"/>
      <c r="F339" s="470"/>
      <c r="G339" s="470"/>
      <c r="H339" s="470"/>
      <c r="I339" s="470"/>
      <c r="J339" s="470"/>
      <c r="K339" s="470"/>
      <c r="L339" s="470"/>
      <c r="M339" s="470"/>
      <c r="N339" s="470"/>
      <c r="O339" s="470"/>
      <c r="P339" s="470"/>
      <c r="Q339" s="470"/>
      <c r="R339" s="470"/>
      <c r="S339" s="470"/>
      <c r="T339" s="470"/>
    </row>
    <row r="340" spans="1:20" x14ac:dyDescent="0.2">
      <c r="A340" s="470"/>
      <c r="B340" s="470"/>
      <c r="C340" s="470"/>
      <c r="D340" s="488"/>
      <c r="E340" s="470"/>
      <c r="F340" s="470"/>
      <c r="G340" s="470"/>
      <c r="H340" s="470"/>
      <c r="I340" s="470"/>
      <c r="J340" s="470"/>
      <c r="K340" s="470"/>
      <c r="L340" s="470"/>
      <c r="M340" s="470"/>
      <c r="N340" s="470"/>
      <c r="O340" s="470"/>
      <c r="P340" s="470"/>
      <c r="Q340" s="470"/>
      <c r="R340" s="470"/>
      <c r="S340" s="470"/>
      <c r="T340" s="470"/>
    </row>
    <row r="341" spans="1:20" x14ac:dyDescent="0.2">
      <c r="A341" s="470"/>
      <c r="B341" s="470"/>
      <c r="C341" s="470"/>
      <c r="D341" s="488"/>
      <c r="E341" s="470"/>
      <c r="F341" s="470"/>
      <c r="G341" s="470"/>
      <c r="H341" s="470"/>
      <c r="I341" s="470"/>
      <c r="J341" s="470"/>
      <c r="K341" s="470"/>
      <c r="L341" s="470"/>
      <c r="M341" s="470"/>
      <c r="N341" s="470"/>
      <c r="O341" s="470"/>
      <c r="P341" s="470"/>
      <c r="Q341" s="470"/>
      <c r="R341" s="470"/>
      <c r="S341" s="470"/>
      <c r="T341" s="470"/>
    </row>
    <row r="342" spans="1:20" x14ac:dyDescent="0.2">
      <c r="A342" s="470"/>
      <c r="B342" s="470"/>
      <c r="C342" s="470"/>
      <c r="D342" s="488"/>
      <c r="E342" s="470"/>
      <c r="F342" s="470"/>
      <c r="G342" s="470"/>
      <c r="H342" s="470"/>
      <c r="I342" s="470"/>
      <c r="J342" s="470"/>
      <c r="K342" s="470"/>
      <c r="L342" s="470"/>
      <c r="M342" s="470"/>
      <c r="N342" s="470"/>
      <c r="O342" s="470"/>
      <c r="P342" s="470"/>
      <c r="Q342" s="470"/>
      <c r="R342" s="470"/>
      <c r="S342" s="470"/>
      <c r="T342" s="470"/>
    </row>
    <row r="343" spans="1:20" x14ac:dyDescent="0.2">
      <c r="A343" s="470"/>
      <c r="B343" s="470"/>
      <c r="C343" s="470"/>
      <c r="D343" s="488"/>
      <c r="E343" s="470"/>
      <c r="F343" s="470"/>
      <c r="G343" s="470"/>
      <c r="H343" s="470"/>
      <c r="I343" s="470"/>
      <c r="J343" s="470"/>
      <c r="K343" s="470"/>
      <c r="L343" s="470"/>
      <c r="M343" s="470"/>
      <c r="N343" s="470"/>
      <c r="O343" s="470"/>
      <c r="P343" s="470"/>
      <c r="Q343" s="470"/>
      <c r="R343" s="470"/>
      <c r="S343" s="470"/>
      <c r="T343" s="470"/>
    </row>
    <row r="344" spans="1:20" x14ac:dyDescent="0.2">
      <c r="A344" s="470"/>
      <c r="B344" s="470"/>
      <c r="C344" s="470"/>
      <c r="D344" s="488"/>
      <c r="E344" s="470"/>
      <c r="F344" s="470"/>
      <c r="G344" s="470"/>
      <c r="H344" s="470"/>
      <c r="I344" s="470"/>
      <c r="J344" s="470"/>
      <c r="K344" s="470"/>
      <c r="L344" s="470"/>
      <c r="M344" s="470"/>
      <c r="N344" s="470"/>
      <c r="O344" s="470"/>
      <c r="P344" s="470"/>
      <c r="Q344" s="470"/>
      <c r="R344" s="470"/>
      <c r="S344" s="470"/>
      <c r="T344" s="470"/>
    </row>
    <row r="345" spans="1:20" x14ac:dyDescent="0.2">
      <c r="A345" s="470"/>
      <c r="B345" s="470"/>
      <c r="C345" s="470"/>
      <c r="D345" s="488"/>
      <c r="E345" s="470"/>
      <c r="F345" s="47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70"/>
      <c r="R345" s="470"/>
      <c r="S345" s="470"/>
      <c r="T345" s="470"/>
    </row>
    <row r="346" spans="1:20" x14ac:dyDescent="0.2">
      <c r="A346" s="470"/>
      <c r="B346" s="470"/>
      <c r="C346" s="470"/>
      <c r="D346" s="488"/>
      <c r="E346" s="470"/>
      <c r="F346" s="47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70"/>
      <c r="R346" s="470"/>
      <c r="S346" s="470"/>
      <c r="T346" s="470"/>
    </row>
    <row r="347" spans="1:20" x14ac:dyDescent="0.2">
      <c r="A347" s="470"/>
      <c r="B347" s="470"/>
      <c r="C347" s="470"/>
      <c r="D347" s="488"/>
      <c r="E347" s="470"/>
      <c r="F347" s="470"/>
      <c r="G347" s="470"/>
      <c r="H347" s="470"/>
      <c r="I347" s="470"/>
      <c r="J347" s="470"/>
      <c r="K347" s="470"/>
      <c r="L347" s="470"/>
      <c r="M347" s="470"/>
      <c r="N347" s="470"/>
      <c r="O347" s="470"/>
      <c r="P347" s="470"/>
      <c r="Q347" s="470"/>
      <c r="R347" s="470"/>
      <c r="S347" s="470"/>
      <c r="T347" s="470"/>
    </row>
    <row r="348" spans="1:20" x14ac:dyDescent="0.2">
      <c r="A348" s="470"/>
      <c r="B348" s="470"/>
      <c r="C348" s="470"/>
      <c r="D348" s="488"/>
      <c r="E348" s="470"/>
      <c r="F348" s="470"/>
      <c r="G348" s="470"/>
      <c r="H348" s="470"/>
      <c r="I348" s="470"/>
      <c r="J348" s="470"/>
      <c r="K348" s="470"/>
      <c r="L348" s="470"/>
      <c r="M348" s="470"/>
      <c r="N348" s="470"/>
      <c r="O348" s="470"/>
      <c r="P348" s="470"/>
      <c r="Q348" s="470"/>
      <c r="R348" s="470"/>
      <c r="S348" s="470"/>
      <c r="T348" s="470"/>
    </row>
    <row r="349" spans="1:20" x14ac:dyDescent="0.2">
      <c r="A349" s="470"/>
      <c r="B349" s="470"/>
      <c r="C349" s="470"/>
      <c r="D349" s="488"/>
      <c r="E349" s="470"/>
      <c r="F349" s="470"/>
      <c r="G349" s="470"/>
      <c r="H349" s="470"/>
      <c r="I349" s="470"/>
      <c r="J349" s="470"/>
      <c r="K349" s="470"/>
      <c r="L349" s="470"/>
      <c r="M349" s="470"/>
      <c r="N349" s="470"/>
      <c r="O349" s="470"/>
      <c r="P349" s="470"/>
      <c r="Q349" s="470"/>
      <c r="R349" s="470"/>
      <c r="S349" s="470"/>
      <c r="T349" s="470"/>
    </row>
    <row r="350" spans="1:20" x14ac:dyDescent="0.2">
      <c r="A350" s="470"/>
      <c r="B350" s="470"/>
      <c r="C350" s="470"/>
      <c r="D350" s="488"/>
      <c r="E350" s="470"/>
      <c r="F350" s="470"/>
      <c r="G350" s="470"/>
      <c r="H350" s="470"/>
      <c r="I350" s="470"/>
      <c r="J350" s="470"/>
      <c r="K350" s="470"/>
      <c r="L350" s="470"/>
      <c r="M350" s="470"/>
      <c r="N350" s="470"/>
      <c r="O350" s="470"/>
      <c r="P350" s="470"/>
      <c r="Q350" s="470"/>
      <c r="R350" s="470"/>
      <c r="S350" s="470"/>
      <c r="T350" s="470"/>
    </row>
    <row r="351" spans="1:20" x14ac:dyDescent="0.2">
      <c r="A351" s="470"/>
      <c r="B351" s="470"/>
      <c r="C351" s="470"/>
      <c r="D351" s="488"/>
      <c r="E351" s="470"/>
      <c r="F351" s="470"/>
      <c r="G351" s="470"/>
      <c r="H351" s="470"/>
      <c r="I351" s="470"/>
      <c r="J351" s="470"/>
      <c r="K351" s="470"/>
      <c r="L351" s="470"/>
      <c r="M351" s="470"/>
      <c r="N351" s="470"/>
      <c r="O351" s="470"/>
      <c r="P351" s="470"/>
      <c r="Q351" s="470"/>
      <c r="R351" s="470"/>
      <c r="S351" s="470"/>
      <c r="T351" s="470"/>
    </row>
    <row r="352" spans="1:20" x14ac:dyDescent="0.2">
      <c r="A352" s="470"/>
      <c r="B352" s="470"/>
      <c r="C352" s="470"/>
      <c r="D352" s="488"/>
      <c r="E352" s="470"/>
      <c r="F352" s="470"/>
      <c r="G352" s="470"/>
      <c r="H352" s="470"/>
      <c r="I352" s="470"/>
      <c r="J352" s="470"/>
      <c r="K352" s="470"/>
      <c r="L352" s="470"/>
      <c r="M352" s="470"/>
      <c r="N352" s="470"/>
      <c r="O352" s="470"/>
      <c r="P352" s="470"/>
      <c r="Q352" s="470"/>
      <c r="R352" s="470"/>
      <c r="S352" s="470"/>
      <c r="T352" s="470"/>
    </row>
    <row r="353" spans="1:20" x14ac:dyDescent="0.2">
      <c r="A353" s="470"/>
      <c r="B353" s="470"/>
      <c r="C353" s="470"/>
      <c r="D353" s="488"/>
      <c r="E353" s="470"/>
      <c r="F353" s="470"/>
      <c r="G353" s="470"/>
      <c r="H353" s="470"/>
      <c r="I353" s="470"/>
      <c r="J353" s="470"/>
      <c r="K353" s="470"/>
      <c r="L353" s="470"/>
      <c r="M353" s="470"/>
      <c r="N353" s="470"/>
      <c r="O353" s="470"/>
      <c r="P353" s="470"/>
      <c r="Q353" s="470"/>
      <c r="R353" s="470"/>
      <c r="S353" s="470"/>
      <c r="T353" s="470"/>
    </row>
    <row r="354" spans="1:20" x14ac:dyDescent="0.2">
      <c r="A354" s="470"/>
      <c r="B354" s="470"/>
      <c r="C354" s="470"/>
      <c r="D354" s="488"/>
      <c r="E354" s="470"/>
      <c r="F354" s="470"/>
      <c r="G354" s="470"/>
      <c r="H354" s="470"/>
      <c r="I354" s="470"/>
      <c r="J354" s="470"/>
      <c r="K354" s="470"/>
      <c r="L354" s="470"/>
      <c r="M354" s="470"/>
      <c r="N354" s="470"/>
      <c r="O354" s="470"/>
      <c r="P354" s="470"/>
      <c r="Q354" s="470"/>
      <c r="R354" s="470"/>
      <c r="S354" s="470"/>
      <c r="T354" s="470"/>
    </row>
    <row r="355" spans="1:20" x14ac:dyDescent="0.2">
      <c r="A355" s="470"/>
      <c r="B355" s="470"/>
      <c r="C355" s="470"/>
      <c r="D355" s="470"/>
      <c r="E355" s="470"/>
      <c r="F355" s="470"/>
      <c r="G355" s="470"/>
      <c r="H355" s="470"/>
      <c r="I355" s="470"/>
      <c r="J355" s="470"/>
      <c r="K355" s="470"/>
      <c r="L355" s="470"/>
      <c r="M355" s="470"/>
      <c r="N355" s="470"/>
      <c r="O355" s="470"/>
      <c r="P355" s="470"/>
      <c r="Q355" s="470"/>
      <c r="R355" s="470"/>
      <c r="S355" s="470"/>
      <c r="T355" s="470"/>
    </row>
    <row r="356" spans="1:20" x14ac:dyDescent="0.2">
      <c r="A356" s="470"/>
      <c r="B356" s="470"/>
      <c r="C356" s="470"/>
      <c r="D356" s="470"/>
      <c r="E356" s="470"/>
      <c r="F356" s="470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70"/>
      <c r="R356" s="470"/>
      <c r="S356" s="470"/>
      <c r="T356" s="470"/>
    </row>
    <row r="357" spans="1:20" x14ac:dyDescent="0.2">
      <c r="A357" s="470"/>
      <c r="B357" s="470"/>
      <c r="C357" s="470"/>
      <c r="D357" s="470"/>
      <c r="E357" s="470"/>
      <c r="F357" s="470"/>
      <c r="G357" s="470"/>
      <c r="H357" s="470"/>
      <c r="I357" s="470"/>
      <c r="J357" s="470"/>
      <c r="K357" s="470"/>
      <c r="L357" s="470"/>
      <c r="M357" s="470"/>
      <c r="N357" s="470"/>
      <c r="O357" s="470"/>
      <c r="P357" s="470"/>
      <c r="Q357" s="470"/>
      <c r="R357" s="470"/>
      <c r="S357" s="470"/>
      <c r="T357" s="470"/>
    </row>
    <row r="358" spans="1:20" x14ac:dyDescent="0.2">
      <c r="A358" s="470"/>
      <c r="B358" s="470"/>
      <c r="C358" s="470"/>
      <c r="D358" s="470"/>
      <c r="E358" s="470"/>
      <c r="F358" s="470"/>
      <c r="G358" s="470"/>
      <c r="H358" s="470"/>
      <c r="I358" s="470"/>
      <c r="J358" s="470"/>
      <c r="K358" s="470"/>
      <c r="L358" s="470"/>
      <c r="M358" s="470"/>
      <c r="N358" s="470"/>
      <c r="O358" s="470"/>
      <c r="P358" s="470"/>
      <c r="Q358" s="470"/>
      <c r="R358" s="470"/>
      <c r="S358" s="470"/>
      <c r="T358" s="470"/>
    </row>
    <row r="359" spans="1:20" x14ac:dyDescent="0.2">
      <c r="A359" s="470"/>
      <c r="B359" s="470"/>
      <c r="C359" s="470"/>
      <c r="D359" s="470"/>
      <c r="E359" s="470"/>
      <c r="F359" s="470"/>
      <c r="G359" s="470"/>
      <c r="H359" s="470"/>
      <c r="I359" s="470"/>
      <c r="J359" s="470"/>
      <c r="K359" s="470"/>
      <c r="L359" s="470"/>
      <c r="M359" s="470"/>
      <c r="N359" s="470"/>
      <c r="O359" s="470"/>
      <c r="P359" s="470"/>
      <c r="Q359" s="470"/>
      <c r="R359" s="470"/>
      <c r="S359" s="470"/>
      <c r="T359" s="470"/>
    </row>
    <row r="360" spans="1:20" x14ac:dyDescent="0.2">
      <c r="A360" s="470"/>
      <c r="B360" s="470"/>
      <c r="C360" s="470"/>
      <c r="D360" s="470"/>
      <c r="E360" s="470"/>
      <c r="F360" s="470"/>
      <c r="G360" s="470"/>
      <c r="H360" s="470"/>
      <c r="I360" s="470"/>
      <c r="J360" s="470"/>
      <c r="K360" s="470"/>
      <c r="L360" s="470"/>
      <c r="M360" s="470"/>
      <c r="N360" s="470"/>
      <c r="O360" s="470"/>
      <c r="P360" s="470"/>
      <c r="Q360" s="470"/>
      <c r="R360" s="470"/>
      <c r="S360" s="470"/>
      <c r="T360" s="470"/>
    </row>
    <row r="361" spans="1:20" x14ac:dyDescent="0.2">
      <c r="A361" s="470"/>
      <c r="B361" s="470"/>
      <c r="C361" s="470"/>
      <c r="D361" s="470"/>
      <c r="E361" s="470"/>
      <c r="F361" s="470"/>
      <c r="G361" s="470"/>
      <c r="H361" s="470"/>
      <c r="I361" s="470"/>
      <c r="J361" s="470"/>
      <c r="K361" s="470"/>
      <c r="L361" s="470"/>
      <c r="M361" s="470"/>
      <c r="N361" s="470"/>
      <c r="O361" s="470"/>
      <c r="P361" s="470"/>
      <c r="Q361" s="470"/>
      <c r="R361" s="470"/>
      <c r="S361" s="470"/>
      <c r="T361" s="470"/>
    </row>
    <row r="362" spans="1:20" x14ac:dyDescent="0.2">
      <c r="A362" s="470"/>
      <c r="B362" s="470"/>
      <c r="C362" s="470"/>
      <c r="D362" s="470"/>
      <c r="E362" s="470"/>
      <c r="F362" s="470"/>
      <c r="G362" s="470"/>
      <c r="H362" s="470"/>
      <c r="I362" s="470"/>
      <c r="J362" s="470"/>
      <c r="K362" s="470"/>
      <c r="L362" s="470"/>
      <c r="M362" s="470"/>
      <c r="N362" s="470"/>
      <c r="O362" s="470"/>
      <c r="P362" s="470"/>
      <c r="Q362" s="470"/>
      <c r="R362" s="470"/>
      <c r="S362" s="470"/>
      <c r="T362" s="470"/>
    </row>
    <row r="363" spans="1:20" x14ac:dyDescent="0.2">
      <c r="A363" s="470"/>
      <c r="B363" s="470"/>
      <c r="C363" s="470"/>
      <c r="D363" s="470"/>
      <c r="E363" s="470"/>
      <c r="F363" s="470"/>
      <c r="G363" s="470"/>
      <c r="H363" s="470"/>
      <c r="I363" s="470"/>
      <c r="J363" s="470"/>
      <c r="K363" s="470"/>
      <c r="L363" s="470"/>
      <c r="M363" s="470"/>
      <c r="N363" s="470"/>
      <c r="O363" s="470"/>
      <c r="P363" s="470"/>
      <c r="Q363" s="470"/>
      <c r="R363" s="470"/>
      <c r="S363" s="470"/>
      <c r="T363" s="470"/>
    </row>
    <row r="364" spans="1:20" x14ac:dyDescent="0.2">
      <c r="A364" s="470"/>
      <c r="B364" s="470"/>
      <c r="C364" s="470"/>
      <c r="D364" s="470"/>
      <c r="E364" s="470"/>
      <c r="F364" s="470"/>
      <c r="G364" s="470"/>
      <c r="H364" s="470"/>
      <c r="I364" s="470"/>
      <c r="J364" s="470"/>
      <c r="K364" s="470"/>
      <c r="L364" s="470"/>
      <c r="M364" s="470"/>
      <c r="N364" s="470"/>
      <c r="O364" s="470"/>
      <c r="P364" s="470"/>
      <c r="Q364" s="470"/>
      <c r="R364" s="470"/>
      <c r="S364" s="470"/>
      <c r="T364" s="470"/>
    </row>
    <row r="365" spans="1:20" x14ac:dyDescent="0.2">
      <c r="A365" s="470"/>
      <c r="B365" s="470"/>
      <c r="C365" s="470"/>
      <c r="D365" s="470"/>
      <c r="E365" s="470"/>
      <c r="F365" s="470"/>
      <c r="G365" s="470"/>
      <c r="H365" s="470"/>
      <c r="I365" s="470"/>
      <c r="J365" s="470"/>
      <c r="K365" s="470"/>
      <c r="L365" s="470"/>
      <c r="M365" s="470"/>
      <c r="N365" s="470"/>
      <c r="O365" s="470"/>
      <c r="P365" s="470"/>
      <c r="Q365" s="470"/>
      <c r="R365" s="470"/>
      <c r="S365" s="470"/>
      <c r="T365" s="470"/>
    </row>
    <row r="366" spans="1:20" x14ac:dyDescent="0.2">
      <c r="A366" s="470"/>
      <c r="B366" s="470"/>
      <c r="C366" s="470"/>
      <c r="D366" s="470"/>
      <c r="E366" s="470"/>
      <c r="F366" s="470"/>
      <c r="G366" s="470"/>
      <c r="H366" s="470"/>
      <c r="I366" s="470"/>
      <c r="J366" s="470"/>
      <c r="K366" s="470"/>
      <c r="L366" s="470"/>
      <c r="M366" s="470"/>
      <c r="N366" s="470"/>
      <c r="O366" s="470"/>
      <c r="P366" s="470"/>
      <c r="Q366" s="470"/>
      <c r="R366" s="470"/>
      <c r="S366" s="470"/>
      <c r="T366" s="470"/>
    </row>
    <row r="367" spans="1:20" x14ac:dyDescent="0.2">
      <c r="A367" s="470"/>
      <c r="B367" s="470"/>
      <c r="C367" s="470"/>
      <c r="D367" s="470"/>
      <c r="E367" s="470"/>
      <c r="F367" s="470"/>
      <c r="G367" s="470"/>
      <c r="H367" s="470"/>
      <c r="I367" s="470"/>
      <c r="J367" s="470"/>
      <c r="K367" s="470"/>
      <c r="L367" s="470"/>
      <c r="M367" s="470"/>
      <c r="N367" s="470"/>
      <c r="O367" s="470"/>
      <c r="P367" s="470"/>
      <c r="Q367" s="470"/>
      <c r="R367" s="470"/>
      <c r="S367" s="470"/>
      <c r="T367" s="470"/>
    </row>
    <row r="368" spans="1:20" x14ac:dyDescent="0.2">
      <c r="A368" s="470"/>
      <c r="B368" s="470"/>
      <c r="C368" s="470"/>
      <c r="D368" s="470"/>
      <c r="E368" s="470"/>
      <c r="F368" s="470"/>
      <c r="G368" s="470"/>
      <c r="H368" s="470"/>
      <c r="I368" s="470"/>
      <c r="J368" s="470"/>
      <c r="K368" s="470"/>
      <c r="L368" s="470"/>
      <c r="M368" s="470"/>
      <c r="N368" s="470"/>
      <c r="O368" s="470"/>
      <c r="P368" s="470"/>
      <c r="Q368" s="470"/>
      <c r="R368" s="470"/>
      <c r="S368" s="470"/>
      <c r="T368" s="470"/>
    </row>
    <row r="369" spans="1:20" x14ac:dyDescent="0.2">
      <c r="A369" s="470"/>
      <c r="B369" s="470"/>
      <c r="C369" s="470"/>
      <c r="D369" s="470"/>
      <c r="E369" s="470"/>
      <c r="F369" s="470"/>
      <c r="G369" s="470"/>
      <c r="H369" s="470"/>
      <c r="I369" s="470"/>
      <c r="J369" s="470"/>
      <c r="K369" s="470"/>
      <c r="L369" s="470"/>
      <c r="M369" s="470"/>
      <c r="N369" s="470"/>
      <c r="O369" s="470"/>
      <c r="P369" s="470"/>
      <c r="Q369" s="470"/>
      <c r="R369" s="470"/>
      <c r="S369" s="470"/>
      <c r="T369" s="470"/>
    </row>
    <row r="370" spans="1:20" x14ac:dyDescent="0.2">
      <c r="A370" s="470"/>
      <c r="B370" s="470"/>
      <c r="C370" s="470"/>
      <c r="D370" s="470"/>
      <c r="E370" s="470"/>
      <c r="F370" s="470"/>
      <c r="G370" s="470"/>
      <c r="H370" s="470"/>
      <c r="I370" s="470"/>
      <c r="J370" s="470"/>
      <c r="K370" s="470"/>
      <c r="L370" s="470"/>
      <c r="M370" s="470"/>
      <c r="N370" s="470"/>
      <c r="O370" s="470"/>
      <c r="P370" s="470"/>
      <c r="Q370" s="470"/>
      <c r="R370" s="470"/>
      <c r="S370" s="470"/>
      <c r="T370" s="470"/>
    </row>
    <row r="371" spans="1:20" x14ac:dyDescent="0.2">
      <c r="A371" s="470"/>
      <c r="B371" s="470"/>
      <c r="C371" s="470"/>
      <c r="D371" s="470"/>
      <c r="E371" s="470"/>
      <c r="F371" s="470"/>
      <c r="G371" s="470"/>
      <c r="H371" s="470"/>
      <c r="I371" s="470"/>
      <c r="J371" s="470"/>
      <c r="K371" s="470"/>
      <c r="L371" s="470"/>
      <c r="M371" s="470"/>
      <c r="N371" s="470"/>
      <c r="O371" s="470"/>
      <c r="P371" s="470"/>
      <c r="Q371" s="470"/>
      <c r="R371" s="470"/>
      <c r="S371" s="470"/>
      <c r="T371" s="470"/>
    </row>
    <row r="372" spans="1:20" x14ac:dyDescent="0.2">
      <c r="A372" s="470"/>
      <c r="B372" s="470"/>
      <c r="C372" s="470"/>
      <c r="D372" s="470"/>
      <c r="E372" s="470"/>
      <c r="F372" s="470"/>
      <c r="G372" s="470"/>
      <c r="H372" s="470"/>
      <c r="I372" s="470"/>
      <c r="J372" s="470"/>
      <c r="K372" s="470"/>
      <c r="L372" s="470"/>
      <c r="M372" s="470"/>
      <c r="N372" s="470"/>
      <c r="O372" s="470"/>
      <c r="P372" s="470"/>
      <c r="Q372" s="470"/>
      <c r="R372" s="470"/>
      <c r="S372" s="470"/>
      <c r="T372" s="470"/>
    </row>
    <row r="373" spans="1:20" x14ac:dyDescent="0.2">
      <c r="A373" s="470"/>
      <c r="B373" s="470"/>
      <c r="C373" s="470"/>
      <c r="D373" s="470"/>
      <c r="E373" s="470"/>
      <c r="F373" s="470"/>
      <c r="G373" s="470"/>
      <c r="H373" s="470"/>
      <c r="I373" s="470"/>
      <c r="J373" s="470"/>
      <c r="K373" s="470"/>
      <c r="L373" s="470"/>
      <c r="M373" s="470"/>
      <c r="N373" s="470"/>
      <c r="O373" s="470"/>
      <c r="P373" s="470"/>
      <c r="Q373" s="470"/>
      <c r="R373" s="470"/>
      <c r="S373" s="470"/>
      <c r="T373" s="470"/>
    </row>
    <row r="374" spans="1:20" x14ac:dyDescent="0.2">
      <c r="A374" s="470"/>
      <c r="B374" s="470"/>
      <c r="C374" s="470"/>
      <c r="D374" s="470"/>
      <c r="E374" s="470"/>
      <c r="F374" s="470"/>
      <c r="G374" s="470"/>
      <c r="H374" s="470"/>
      <c r="I374" s="470"/>
      <c r="J374" s="470"/>
      <c r="K374" s="470"/>
      <c r="L374" s="470"/>
      <c r="M374" s="470"/>
      <c r="N374" s="470"/>
      <c r="O374" s="470"/>
      <c r="P374" s="470"/>
      <c r="Q374" s="470"/>
      <c r="R374" s="470"/>
      <c r="S374" s="470"/>
      <c r="T374" s="470"/>
    </row>
    <row r="375" spans="1:20" x14ac:dyDescent="0.2">
      <c r="A375" s="470"/>
      <c r="B375" s="470"/>
      <c r="C375" s="470"/>
      <c r="D375" s="470"/>
      <c r="E375" s="470"/>
      <c r="F375" s="470"/>
      <c r="G375" s="470"/>
      <c r="H375" s="470"/>
      <c r="I375" s="470"/>
      <c r="J375" s="470"/>
      <c r="K375" s="470"/>
      <c r="L375" s="470"/>
      <c r="M375" s="470"/>
      <c r="N375" s="470"/>
      <c r="O375" s="470"/>
      <c r="P375" s="470"/>
      <c r="Q375" s="470"/>
      <c r="R375" s="470"/>
      <c r="S375" s="470"/>
      <c r="T375" s="470"/>
    </row>
    <row r="376" spans="1:20" x14ac:dyDescent="0.2">
      <c r="A376" s="470"/>
      <c r="B376" s="470"/>
      <c r="C376" s="470"/>
      <c r="D376" s="470"/>
      <c r="E376" s="470"/>
      <c r="F376" s="470"/>
      <c r="G376" s="470"/>
      <c r="H376" s="470"/>
      <c r="I376" s="470"/>
      <c r="J376" s="470"/>
      <c r="K376" s="470"/>
      <c r="L376" s="470"/>
      <c r="M376" s="470"/>
      <c r="N376" s="470"/>
      <c r="O376" s="470"/>
      <c r="P376" s="470"/>
      <c r="Q376" s="470"/>
      <c r="R376" s="470"/>
      <c r="S376" s="470"/>
      <c r="T376" s="470"/>
    </row>
    <row r="377" spans="1:20" x14ac:dyDescent="0.2">
      <c r="A377" s="470"/>
      <c r="B377" s="470"/>
      <c r="C377" s="470"/>
      <c r="D377" s="470"/>
      <c r="E377" s="470"/>
      <c r="F377" s="470"/>
      <c r="G377" s="470"/>
      <c r="H377" s="470"/>
      <c r="I377" s="470"/>
      <c r="J377" s="470"/>
      <c r="K377" s="470"/>
      <c r="L377" s="470"/>
      <c r="M377" s="470"/>
      <c r="N377" s="470"/>
      <c r="O377" s="470"/>
      <c r="P377" s="470"/>
      <c r="Q377" s="470"/>
      <c r="R377" s="470"/>
      <c r="S377" s="470"/>
      <c r="T377" s="470"/>
    </row>
    <row r="378" spans="1:20" x14ac:dyDescent="0.2">
      <c r="A378" s="470"/>
      <c r="B378" s="470"/>
      <c r="C378" s="470"/>
      <c r="D378" s="470"/>
      <c r="E378" s="470"/>
      <c r="F378" s="470"/>
      <c r="G378" s="470"/>
      <c r="H378" s="470"/>
      <c r="I378" s="470"/>
      <c r="J378" s="470"/>
      <c r="K378" s="470"/>
      <c r="L378" s="470"/>
      <c r="M378" s="470"/>
      <c r="N378" s="470"/>
      <c r="O378" s="470"/>
      <c r="P378" s="470"/>
      <c r="Q378" s="470"/>
      <c r="R378" s="470"/>
      <c r="S378" s="470"/>
      <c r="T378" s="470"/>
    </row>
    <row r="379" spans="1:20" x14ac:dyDescent="0.2">
      <c r="A379" s="470"/>
      <c r="B379" s="470"/>
      <c r="C379" s="470"/>
      <c r="D379" s="470"/>
      <c r="E379" s="470"/>
      <c r="F379" s="470"/>
      <c r="G379" s="470"/>
      <c r="H379" s="470"/>
      <c r="I379" s="470"/>
      <c r="J379" s="470"/>
      <c r="K379" s="470"/>
      <c r="L379" s="470"/>
      <c r="M379" s="470"/>
      <c r="N379" s="470"/>
      <c r="O379" s="470"/>
      <c r="P379" s="470"/>
      <c r="Q379" s="470"/>
      <c r="R379" s="470"/>
      <c r="S379" s="470"/>
      <c r="T379" s="470"/>
    </row>
    <row r="380" spans="1:20" x14ac:dyDescent="0.2">
      <c r="A380" s="470"/>
      <c r="B380" s="470"/>
      <c r="C380" s="470"/>
      <c r="D380" s="470"/>
      <c r="E380" s="470"/>
      <c r="F380" s="470"/>
      <c r="G380" s="470"/>
      <c r="H380" s="470"/>
      <c r="I380" s="470"/>
      <c r="J380" s="470"/>
      <c r="K380" s="470"/>
      <c r="L380" s="470"/>
      <c r="M380" s="470"/>
      <c r="N380" s="470"/>
      <c r="O380" s="470"/>
      <c r="P380" s="470"/>
      <c r="Q380" s="470"/>
      <c r="R380" s="470"/>
      <c r="S380" s="470"/>
      <c r="T380" s="470"/>
    </row>
    <row r="381" spans="1:20" x14ac:dyDescent="0.2">
      <c r="A381" s="470"/>
      <c r="B381" s="470"/>
      <c r="C381" s="470"/>
      <c r="D381" s="470"/>
      <c r="E381" s="470"/>
      <c r="F381" s="470"/>
      <c r="G381" s="470"/>
      <c r="H381" s="470"/>
      <c r="I381" s="470"/>
      <c r="J381" s="470"/>
      <c r="K381" s="470"/>
      <c r="L381" s="470"/>
      <c r="M381" s="470"/>
      <c r="N381" s="470"/>
      <c r="O381" s="470"/>
      <c r="P381" s="470"/>
      <c r="Q381" s="470"/>
      <c r="R381" s="470"/>
      <c r="S381" s="470"/>
      <c r="T381" s="470"/>
    </row>
    <row r="382" spans="1:20" x14ac:dyDescent="0.2">
      <c r="A382" s="470"/>
      <c r="B382" s="470"/>
      <c r="C382" s="470"/>
      <c r="D382" s="470"/>
      <c r="E382" s="470"/>
      <c r="F382" s="470"/>
      <c r="G382" s="470"/>
      <c r="H382" s="470"/>
      <c r="I382" s="470"/>
      <c r="J382" s="470"/>
      <c r="K382" s="470"/>
      <c r="L382" s="470"/>
      <c r="M382" s="470"/>
      <c r="N382" s="470"/>
      <c r="O382" s="470"/>
      <c r="P382" s="470"/>
      <c r="Q382" s="470"/>
      <c r="R382" s="470"/>
      <c r="S382" s="470"/>
      <c r="T382" s="470"/>
    </row>
    <row r="383" spans="1:20" x14ac:dyDescent="0.2">
      <c r="A383" s="470"/>
      <c r="B383" s="470"/>
      <c r="C383" s="470"/>
      <c r="D383" s="470"/>
      <c r="E383" s="470"/>
      <c r="F383" s="470"/>
      <c r="G383" s="470"/>
      <c r="H383" s="470"/>
      <c r="I383" s="470"/>
      <c r="J383" s="470"/>
      <c r="K383" s="470"/>
      <c r="L383" s="470"/>
      <c r="M383" s="470"/>
      <c r="N383" s="470"/>
      <c r="O383" s="470"/>
      <c r="P383" s="470"/>
      <c r="Q383" s="470"/>
      <c r="R383" s="470"/>
      <c r="S383" s="470"/>
      <c r="T383" s="470"/>
    </row>
    <row r="384" spans="1:20" x14ac:dyDescent="0.2">
      <c r="A384" s="470"/>
      <c r="B384" s="470"/>
      <c r="C384" s="470"/>
      <c r="D384" s="470"/>
      <c r="E384" s="470"/>
      <c r="F384" s="470"/>
      <c r="G384" s="470"/>
      <c r="H384" s="470"/>
      <c r="I384" s="470"/>
      <c r="J384" s="470"/>
      <c r="K384" s="470"/>
      <c r="L384" s="470"/>
      <c r="M384" s="470"/>
      <c r="N384" s="470"/>
      <c r="O384" s="470"/>
      <c r="P384" s="470"/>
      <c r="Q384" s="470"/>
      <c r="R384" s="470"/>
      <c r="S384" s="470"/>
      <c r="T384" s="470"/>
    </row>
    <row r="385" spans="1:20" x14ac:dyDescent="0.2">
      <c r="A385" s="470"/>
      <c r="B385" s="470"/>
      <c r="C385" s="470"/>
      <c r="D385" s="470"/>
      <c r="E385" s="470"/>
      <c r="F385" s="470"/>
      <c r="G385" s="470"/>
      <c r="H385" s="470"/>
      <c r="I385" s="470"/>
      <c r="J385" s="470"/>
      <c r="K385" s="470"/>
      <c r="L385" s="470"/>
      <c r="M385" s="470"/>
      <c r="N385" s="470"/>
      <c r="O385" s="470"/>
      <c r="P385" s="470"/>
      <c r="Q385" s="470"/>
      <c r="R385" s="470"/>
      <c r="S385" s="470"/>
      <c r="T385" s="470"/>
    </row>
    <row r="386" spans="1:20" x14ac:dyDescent="0.2">
      <c r="A386" s="470"/>
      <c r="B386" s="470"/>
      <c r="C386" s="470"/>
      <c r="D386" s="470"/>
      <c r="E386" s="470"/>
      <c r="F386" s="470"/>
      <c r="G386" s="470"/>
      <c r="H386" s="470"/>
      <c r="I386" s="470"/>
      <c r="J386" s="470"/>
      <c r="K386" s="470"/>
      <c r="L386" s="470"/>
      <c r="M386" s="470"/>
      <c r="N386" s="470"/>
      <c r="O386" s="470"/>
      <c r="P386" s="470"/>
      <c r="Q386" s="470"/>
      <c r="R386" s="470"/>
      <c r="S386" s="470"/>
      <c r="T386" s="470"/>
    </row>
    <row r="387" spans="1:20" x14ac:dyDescent="0.2">
      <c r="A387" s="470"/>
      <c r="B387" s="470"/>
      <c r="C387" s="470"/>
      <c r="D387" s="470"/>
      <c r="E387" s="470"/>
      <c r="F387" s="470"/>
      <c r="G387" s="470"/>
      <c r="H387" s="470"/>
      <c r="I387" s="470"/>
      <c r="J387" s="470"/>
      <c r="K387" s="470"/>
      <c r="L387" s="470"/>
      <c r="M387" s="470"/>
      <c r="N387" s="470"/>
      <c r="O387" s="470"/>
      <c r="P387" s="470"/>
      <c r="Q387" s="470"/>
      <c r="R387" s="470"/>
      <c r="S387" s="470"/>
      <c r="T387" s="470"/>
    </row>
    <row r="388" spans="1:20" x14ac:dyDescent="0.2">
      <c r="A388" s="470"/>
      <c r="B388" s="470"/>
      <c r="C388" s="470"/>
      <c r="D388" s="470"/>
      <c r="E388" s="470"/>
      <c r="F388" s="470"/>
      <c r="G388" s="470"/>
      <c r="H388" s="470"/>
      <c r="I388" s="470"/>
      <c r="J388" s="470"/>
      <c r="K388" s="470"/>
      <c r="L388" s="470"/>
      <c r="M388" s="470"/>
      <c r="N388" s="470"/>
      <c r="O388" s="470"/>
      <c r="P388" s="470"/>
      <c r="Q388" s="470"/>
      <c r="R388" s="470"/>
      <c r="S388" s="470"/>
      <c r="T388" s="470"/>
    </row>
    <row r="389" spans="1:20" x14ac:dyDescent="0.2">
      <c r="A389" s="470"/>
      <c r="B389" s="470"/>
      <c r="C389" s="470"/>
      <c r="D389" s="470"/>
      <c r="E389" s="470"/>
      <c r="F389" s="470"/>
      <c r="G389" s="470"/>
      <c r="H389" s="470"/>
      <c r="I389" s="470"/>
      <c r="J389" s="470"/>
      <c r="K389" s="470"/>
      <c r="L389" s="470"/>
      <c r="M389" s="470"/>
      <c r="N389" s="470"/>
      <c r="O389" s="470"/>
      <c r="P389" s="470"/>
      <c r="Q389" s="470"/>
      <c r="R389" s="470"/>
      <c r="S389" s="470"/>
      <c r="T389" s="470"/>
    </row>
    <row r="390" spans="1:20" x14ac:dyDescent="0.2">
      <c r="A390" s="470"/>
      <c r="B390" s="470"/>
      <c r="C390" s="470"/>
      <c r="D390" s="470"/>
      <c r="E390" s="470"/>
      <c r="F390" s="470"/>
      <c r="G390" s="470"/>
      <c r="H390" s="470"/>
      <c r="I390" s="470"/>
      <c r="J390" s="470"/>
      <c r="K390" s="470"/>
      <c r="L390" s="470"/>
      <c r="M390" s="470"/>
      <c r="N390" s="470"/>
      <c r="O390" s="470"/>
      <c r="P390" s="470"/>
      <c r="Q390" s="470"/>
      <c r="R390" s="470"/>
      <c r="S390" s="470"/>
      <c r="T390" s="470"/>
    </row>
    <row r="391" spans="1:20" x14ac:dyDescent="0.2">
      <c r="A391" s="470"/>
      <c r="B391" s="470"/>
      <c r="C391" s="470"/>
      <c r="D391" s="470"/>
      <c r="E391" s="470"/>
      <c r="F391" s="470"/>
      <c r="G391" s="470"/>
      <c r="H391" s="470"/>
      <c r="I391" s="470"/>
      <c r="J391" s="470"/>
      <c r="K391" s="470"/>
      <c r="L391" s="470"/>
      <c r="M391" s="470"/>
      <c r="N391" s="470"/>
      <c r="O391" s="470"/>
      <c r="P391" s="470"/>
      <c r="Q391" s="470"/>
      <c r="R391" s="470"/>
      <c r="S391" s="470"/>
      <c r="T391" s="470"/>
    </row>
    <row r="392" spans="1:20" x14ac:dyDescent="0.2">
      <c r="A392" s="470"/>
      <c r="B392" s="470"/>
      <c r="C392" s="470"/>
      <c r="D392" s="470"/>
      <c r="E392" s="470"/>
      <c r="F392" s="470"/>
      <c r="G392" s="470"/>
      <c r="H392" s="470"/>
      <c r="I392" s="470"/>
      <c r="J392" s="470"/>
      <c r="K392" s="470"/>
      <c r="L392" s="470"/>
      <c r="M392" s="470"/>
      <c r="N392" s="470"/>
      <c r="O392" s="470"/>
      <c r="P392" s="470"/>
      <c r="Q392" s="470"/>
      <c r="R392" s="470"/>
      <c r="S392" s="470"/>
      <c r="T392" s="470"/>
    </row>
    <row r="393" spans="1:20" x14ac:dyDescent="0.2">
      <c r="A393" s="470"/>
      <c r="B393" s="470"/>
      <c r="C393" s="470"/>
      <c r="D393" s="470"/>
      <c r="E393" s="470"/>
      <c r="F393" s="470"/>
      <c r="G393" s="470"/>
      <c r="H393" s="470"/>
      <c r="I393" s="470"/>
      <c r="J393" s="470"/>
      <c r="K393" s="470"/>
      <c r="L393" s="470"/>
      <c r="M393" s="470"/>
      <c r="N393" s="470"/>
      <c r="O393" s="470"/>
      <c r="P393" s="470"/>
      <c r="Q393" s="470"/>
      <c r="R393" s="470"/>
      <c r="S393" s="470"/>
      <c r="T393" s="470"/>
    </row>
    <row r="394" spans="1:20" x14ac:dyDescent="0.2">
      <c r="A394" s="470"/>
      <c r="B394" s="470"/>
      <c r="C394" s="470"/>
      <c r="D394" s="470"/>
      <c r="E394" s="470"/>
      <c r="F394" s="470"/>
      <c r="G394" s="470"/>
      <c r="H394" s="470"/>
      <c r="I394" s="470"/>
      <c r="J394" s="470"/>
      <c r="K394" s="470"/>
      <c r="L394" s="470"/>
      <c r="M394" s="470"/>
      <c r="N394" s="470"/>
      <c r="O394" s="470"/>
      <c r="P394" s="470"/>
      <c r="Q394" s="470"/>
      <c r="R394" s="470"/>
      <c r="S394" s="470"/>
      <c r="T394" s="470"/>
    </row>
    <row r="395" spans="1:20" x14ac:dyDescent="0.2">
      <c r="A395" s="470"/>
      <c r="B395" s="470"/>
      <c r="C395" s="470"/>
      <c r="D395" s="470"/>
      <c r="E395" s="470"/>
      <c r="F395" s="470"/>
      <c r="G395" s="470"/>
      <c r="H395" s="470"/>
      <c r="I395" s="470"/>
      <c r="J395" s="470"/>
      <c r="K395" s="470"/>
      <c r="L395" s="470"/>
      <c r="M395" s="470"/>
      <c r="N395" s="470"/>
      <c r="O395" s="470"/>
      <c r="P395" s="470"/>
      <c r="Q395" s="470"/>
      <c r="R395" s="470"/>
      <c r="S395" s="470"/>
      <c r="T395" s="470"/>
    </row>
    <row r="396" spans="1:20" x14ac:dyDescent="0.2">
      <c r="A396" s="470"/>
      <c r="B396" s="470"/>
      <c r="C396" s="470"/>
      <c r="D396" s="470"/>
      <c r="E396" s="470"/>
      <c r="F396" s="470"/>
      <c r="G396" s="470"/>
      <c r="H396" s="470"/>
      <c r="I396" s="470"/>
      <c r="J396" s="470"/>
      <c r="K396" s="470"/>
      <c r="L396" s="470"/>
      <c r="M396" s="470"/>
      <c r="N396" s="470"/>
      <c r="O396" s="470"/>
      <c r="P396" s="470"/>
      <c r="Q396" s="470"/>
      <c r="R396" s="470"/>
      <c r="S396" s="470"/>
      <c r="T396" s="470"/>
    </row>
    <row r="397" spans="1:20" x14ac:dyDescent="0.2">
      <c r="A397" s="470"/>
      <c r="B397" s="470"/>
      <c r="C397" s="470"/>
      <c r="D397" s="470"/>
      <c r="E397" s="470"/>
      <c r="F397" s="470"/>
      <c r="G397" s="470"/>
      <c r="H397" s="470"/>
      <c r="I397" s="470"/>
      <c r="J397" s="470"/>
      <c r="K397" s="470"/>
      <c r="L397" s="470"/>
      <c r="M397" s="470"/>
      <c r="N397" s="470"/>
      <c r="O397" s="470"/>
      <c r="P397" s="470"/>
      <c r="Q397" s="470"/>
      <c r="R397" s="470"/>
      <c r="S397" s="470"/>
      <c r="T397" s="470"/>
    </row>
    <row r="398" spans="1:20" x14ac:dyDescent="0.2">
      <c r="A398" s="470"/>
      <c r="B398" s="470"/>
      <c r="C398" s="470"/>
      <c r="D398" s="470"/>
      <c r="E398" s="470"/>
      <c r="F398" s="470"/>
      <c r="G398" s="470"/>
      <c r="H398" s="470"/>
      <c r="I398" s="470"/>
      <c r="J398" s="470"/>
      <c r="K398" s="470"/>
      <c r="L398" s="470"/>
      <c r="M398" s="470"/>
      <c r="N398" s="470"/>
      <c r="O398" s="470"/>
      <c r="P398" s="470"/>
      <c r="Q398" s="470"/>
      <c r="R398" s="470"/>
      <c r="S398" s="470"/>
      <c r="T398" s="470"/>
    </row>
    <row r="399" spans="1:20" x14ac:dyDescent="0.2">
      <c r="A399" s="470"/>
      <c r="B399" s="470"/>
      <c r="C399" s="470"/>
      <c r="D399" s="470"/>
      <c r="E399" s="470"/>
      <c r="F399" s="470"/>
      <c r="G399" s="470"/>
      <c r="H399" s="470"/>
      <c r="I399" s="470"/>
      <c r="J399" s="470"/>
      <c r="K399" s="470"/>
      <c r="L399" s="470"/>
      <c r="M399" s="470"/>
      <c r="N399" s="470"/>
      <c r="O399" s="470"/>
      <c r="P399" s="470"/>
      <c r="Q399" s="470"/>
      <c r="R399" s="470"/>
      <c r="S399" s="470"/>
      <c r="T399" s="470"/>
    </row>
    <row r="400" spans="1:20" x14ac:dyDescent="0.2">
      <c r="A400" s="470"/>
      <c r="B400" s="470"/>
      <c r="C400" s="470"/>
      <c r="D400" s="470"/>
      <c r="E400" s="470"/>
      <c r="F400" s="470"/>
      <c r="G400" s="470"/>
      <c r="H400" s="470"/>
      <c r="I400" s="470"/>
      <c r="J400" s="470"/>
      <c r="K400" s="470"/>
      <c r="L400" s="470"/>
      <c r="M400" s="470"/>
      <c r="N400" s="470"/>
      <c r="O400" s="470"/>
      <c r="P400" s="470"/>
      <c r="Q400" s="470"/>
      <c r="R400" s="470"/>
      <c r="S400" s="470"/>
      <c r="T400" s="470"/>
    </row>
    <row r="401" spans="1:20" x14ac:dyDescent="0.2">
      <c r="A401" s="470"/>
      <c r="B401" s="470"/>
      <c r="C401" s="470"/>
      <c r="D401" s="470"/>
      <c r="E401" s="470"/>
      <c r="F401" s="470"/>
      <c r="G401" s="470"/>
      <c r="H401" s="470"/>
      <c r="I401" s="470"/>
      <c r="J401" s="470"/>
      <c r="K401" s="470"/>
      <c r="L401" s="470"/>
      <c r="M401" s="470"/>
      <c r="N401" s="470"/>
      <c r="O401" s="470"/>
      <c r="P401" s="470"/>
      <c r="Q401" s="470"/>
      <c r="R401" s="470"/>
      <c r="S401" s="470"/>
      <c r="T401" s="470"/>
    </row>
    <row r="402" spans="1:20" x14ac:dyDescent="0.2">
      <c r="A402" s="470"/>
      <c r="B402" s="470"/>
      <c r="C402" s="470"/>
      <c r="D402" s="470"/>
      <c r="E402" s="470"/>
      <c r="F402" s="470"/>
      <c r="G402" s="470"/>
      <c r="H402" s="470"/>
      <c r="I402" s="470"/>
      <c r="J402" s="470"/>
      <c r="K402" s="470"/>
      <c r="L402" s="470"/>
      <c r="M402" s="470"/>
      <c r="N402" s="470"/>
      <c r="O402" s="470"/>
      <c r="P402" s="470"/>
      <c r="Q402" s="470"/>
      <c r="R402" s="470"/>
      <c r="S402" s="470"/>
      <c r="T402" s="470"/>
    </row>
    <row r="403" spans="1:20" x14ac:dyDescent="0.2">
      <c r="A403" s="470"/>
      <c r="B403" s="470"/>
      <c r="C403" s="470"/>
      <c r="D403" s="470"/>
      <c r="E403" s="470"/>
      <c r="F403" s="470"/>
      <c r="G403" s="470"/>
      <c r="H403" s="470"/>
      <c r="I403" s="470"/>
      <c r="J403" s="470"/>
      <c r="K403" s="470"/>
      <c r="L403" s="470"/>
      <c r="M403" s="470"/>
      <c r="N403" s="470"/>
      <c r="O403" s="470"/>
      <c r="P403" s="470"/>
      <c r="Q403" s="470"/>
      <c r="R403" s="470"/>
      <c r="S403" s="470"/>
      <c r="T403" s="470"/>
    </row>
    <row r="404" spans="1:20" x14ac:dyDescent="0.2">
      <c r="A404" s="470"/>
      <c r="B404" s="470"/>
      <c r="C404" s="470"/>
      <c r="D404" s="470"/>
      <c r="E404" s="470"/>
      <c r="F404" s="470"/>
      <c r="G404" s="470"/>
      <c r="H404" s="470"/>
      <c r="I404" s="470"/>
      <c r="J404" s="470"/>
      <c r="K404" s="470"/>
      <c r="L404" s="470"/>
      <c r="M404" s="470"/>
      <c r="N404" s="470"/>
      <c r="O404" s="470"/>
      <c r="P404" s="470"/>
      <c r="Q404" s="470"/>
      <c r="R404" s="470"/>
      <c r="S404" s="470"/>
      <c r="T404" s="470"/>
    </row>
    <row r="405" spans="1:20" x14ac:dyDescent="0.2">
      <c r="A405" s="470"/>
      <c r="B405" s="470"/>
      <c r="C405" s="470"/>
      <c r="D405" s="470"/>
      <c r="E405" s="470"/>
      <c r="F405" s="470"/>
      <c r="G405" s="470"/>
      <c r="H405" s="470"/>
      <c r="I405" s="470"/>
      <c r="J405" s="470"/>
      <c r="K405" s="470"/>
      <c r="L405" s="470"/>
      <c r="M405" s="470"/>
      <c r="N405" s="470"/>
      <c r="O405" s="470"/>
      <c r="P405" s="470"/>
      <c r="Q405" s="470"/>
      <c r="R405" s="470"/>
      <c r="S405" s="470"/>
      <c r="T405" s="470"/>
    </row>
    <row r="406" spans="1:20" x14ac:dyDescent="0.2">
      <c r="A406" s="470"/>
      <c r="B406" s="470"/>
      <c r="C406" s="470"/>
      <c r="D406" s="470"/>
      <c r="E406" s="470"/>
      <c r="F406" s="470"/>
      <c r="G406" s="470"/>
      <c r="H406" s="470"/>
      <c r="I406" s="470"/>
      <c r="J406" s="470"/>
      <c r="K406" s="470"/>
      <c r="L406" s="470"/>
      <c r="M406" s="470"/>
      <c r="N406" s="470"/>
      <c r="O406" s="470"/>
      <c r="P406" s="470"/>
      <c r="Q406" s="470"/>
      <c r="R406" s="470"/>
      <c r="S406" s="470"/>
      <c r="T406" s="470"/>
    </row>
    <row r="407" spans="1:20" x14ac:dyDescent="0.2">
      <c r="A407" s="470"/>
      <c r="B407" s="470"/>
      <c r="C407" s="470"/>
      <c r="D407" s="470"/>
      <c r="E407" s="470"/>
      <c r="F407" s="470"/>
      <c r="G407" s="470"/>
      <c r="H407" s="470"/>
      <c r="I407" s="470"/>
      <c r="J407" s="470"/>
      <c r="K407" s="470"/>
      <c r="L407" s="470"/>
      <c r="M407" s="470"/>
      <c r="N407" s="470"/>
      <c r="O407" s="470"/>
      <c r="P407" s="470"/>
      <c r="Q407" s="470"/>
      <c r="R407" s="470"/>
      <c r="S407" s="470"/>
      <c r="T407" s="470"/>
    </row>
    <row r="408" spans="1:20" x14ac:dyDescent="0.2">
      <c r="A408" s="470"/>
      <c r="B408" s="470"/>
      <c r="C408" s="470"/>
      <c r="D408" s="470"/>
      <c r="E408" s="470"/>
      <c r="F408" s="470"/>
      <c r="G408" s="470"/>
      <c r="H408" s="470"/>
      <c r="I408" s="470"/>
      <c r="J408" s="470"/>
      <c r="K408" s="470"/>
      <c r="L408" s="470"/>
      <c r="M408" s="470"/>
      <c r="N408" s="470"/>
      <c r="O408" s="470"/>
      <c r="P408" s="470"/>
      <c r="Q408" s="470"/>
      <c r="R408" s="470"/>
      <c r="S408" s="470"/>
      <c r="T408" s="470"/>
    </row>
    <row r="409" spans="1:20" x14ac:dyDescent="0.2">
      <c r="A409" s="470"/>
      <c r="B409" s="470"/>
      <c r="C409" s="470"/>
      <c r="D409" s="470"/>
      <c r="E409" s="470"/>
      <c r="F409" s="470"/>
      <c r="G409" s="470"/>
      <c r="H409" s="470"/>
      <c r="I409" s="470"/>
      <c r="J409" s="470"/>
      <c r="K409" s="470"/>
      <c r="L409" s="470"/>
      <c r="M409" s="470"/>
      <c r="N409" s="470"/>
      <c r="O409" s="470"/>
      <c r="P409" s="470"/>
      <c r="Q409" s="470"/>
      <c r="R409" s="470"/>
      <c r="S409" s="470"/>
      <c r="T409" s="470"/>
    </row>
    <row r="410" spans="1:20" x14ac:dyDescent="0.2">
      <c r="A410" s="470"/>
      <c r="B410" s="470"/>
      <c r="C410" s="470"/>
      <c r="D410" s="470"/>
      <c r="E410" s="470"/>
      <c r="F410" s="470"/>
      <c r="G410" s="470"/>
      <c r="H410" s="470"/>
      <c r="I410" s="470"/>
      <c r="J410" s="470"/>
      <c r="K410" s="470"/>
      <c r="L410" s="470"/>
      <c r="M410" s="470"/>
      <c r="N410" s="470"/>
      <c r="O410" s="470"/>
      <c r="P410" s="470"/>
      <c r="Q410" s="470"/>
      <c r="R410" s="470"/>
      <c r="S410" s="470"/>
      <c r="T410" s="470"/>
    </row>
    <row r="411" spans="1:20" x14ac:dyDescent="0.2">
      <c r="A411" s="470"/>
      <c r="B411" s="470"/>
      <c r="C411" s="470"/>
      <c r="D411" s="470"/>
      <c r="E411" s="470"/>
      <c r="F411" s="470"/>
      <c r="G411" s="470"/>
      <c r="H411" s="470"/>
      <c r="I411" s="470"/>
      <c r="J411" s="470"/>
      <c r="K411" s="470"/>
      <c r="L411" s="470"/>
      <c r="M411" s="470"/>
      <c r="N411" s="470"/>
      <c r="O411" s="470"/>
      <c r="P411" s="470"/>
      <c r="Q411" s="470"/>
      <c r="R411" s="470"/>
      <c r="S411" s="470"/>
      <c r="T411" s="470"/>
    </row>
    <row r="412" spans="1:20" x14ac:dyDescent="0.2">
      <c r="A412" s="470"/>
      <c r="B412" s="470"/>
      <c r="C412" s="470"/>
      <c r="D412" s="470"/>
      <c r="E412" s="470"/>
      <c r="F412" s="470"/>
      <c r="G412" s="470"/>
      <c r="H412" s="470"/>
      <c r="I412" s="470"/>
      <c r="J412" s="470"/>
      <c r="K412" s="470"/>
      <c r="L412" s="470"/>
      <c r="M412" s="470"/>
      <c r="N412" s="470"/>
      <c r="O412" s="470"/>
      <c r="P412" s="470"/>
      <c r="Q412" s="470"/>
      <c r="R412" s="470"/>
      <c r="S412" s="470"/>
      <c r="T412" s="470"/>
    </row>
    <row r="413" spans="1:20" x14ac:dyDescent="0.2">
      <c r="A413" s="470"/>
      <c r="B413" s="470"/>
      <c r="C413" s="470"/>
      <c r="D413" s="470"/>
      <c r="E413" s="470"/>
      <c r="F413" s="470"/>
      <c r="G413" s="470"/>
      <c r="H413" s="470"/>
      <c r="I413" s="470"/>
      <c r="J413" s="470"/>
      <c r="K413" s="470"/>
      <c r="L413" s="470"/>
      <c r="M413" s="470"/>
      <c r="N413" s="470"/>
      <c r="O413" s="470"/>
      <c r="P413" s="470"/>
      <c r="Q413" s="470"/>
      <c r="R413" s="470"/>
      <c r="S413" s="470"/>
      <c r="T413" s="470"/>
    </row>
    <row r="414" spans="1:20" x14ac:dyDescent="0.2">
      <c r="A414" s="470"/>
      <c r="B414" s="470"/>
      <c r="C414" s="470"/>
      <c r="D414" s="470"/>
      <c r="E414" s="470"/>
      <c r="F414" s="470"/>
      <c r="G414" s="470"/>
      <c r="H414" s="470"/>
      <c r="I414" s="470"/>
      <c r="J414" s="470"/>
      <c r="K414" s="470"/>
      <c r="L414" s="470"/>
      <c r="M414" s="470"/>
      <c r="N414" s="470"/>
      <c r="O414" s="470"/>
      <c r="P414" s="470"/>
      <c r="Q414" s="470"/>
      <c r="R414" s="470"/>
      <c r="S414" s="470"/>
      <c r="T414" s="470"/>
    </row>
    <row r="415" spans="1:20" x14ac:dyDescent="0.2">
      <c r="A415" s="470"/>
      <c r="B415" s="470"/>
      <c r="C415" s="470"/>
      <c r="D415" s="470"/>
      <c r="E415" s="470"/>
      <c r="F415" s="470"/>
      <c r="G415" s="470"/>
      <c r="H415" s="470"/>
      <c r="I415" s="470"/>
      <c r="J415" s="470"/>
      <c r="K415" s="470"/>
      <c r="L415" s="470"/>
      <c r="M415" s="470"/>
      <c r="N415" s="470"/>
      <c r="O415" s="470"/>
      <c r="P415" s="470"/>
      <c r="Q415" s="470"/>
      <c r="R415" s="470"/>
      <c r="S415" s="470"/>
      <c r="T415" s="470"/>
    </row>
    <row r="416" spans="1:20" x14ac:dyDescent="0.2">
      <c r="A416" s="470"/>
      <c r="B416" s="470"/>
      <c r="C416" s="470"/>
      <c r="D416" s="470"/>
      <c r="E416" s="470"/>
      <c r="F416" s="470"/>
      <c r="G416" s="470"/>
      <c r="H416" s="470"/>
      <c r="I416" s="470"/>
      <c r="J416" s="470"/>
      <c r="K416" s="470"/>
      <c r="L416" s="470"/>
      <c r="M416" s="470"/>
      <c r="N416" s="470"/>
      <c r="O416" s="470"/>
      <c r="P416" s="470"/>
      <c r="Q416" s="470"/>
      <c r="R416" s="470"/>
      <c r="S416" s="470"/>
      <c r="T416" s="470"/>
    </row>
    <row r="417" spans="1:20" x14ac:dyDescent="0.2">
      <c r="A417" s="470"/>
      <c r="B417" s="470"/>
      <c r="C417" s="470"/>
      <c r="D417" s="470"/>
      <c r="E417" s="470"/>
      <c r="F417" s="470"/>
      <c r="G417" s="470"/>
      <c r="H417" s="470"/>
      <c r="I417" s="470"/>
      <c r="J417" s="470"/>
      <c r="K417" s="470"/>
      <c r="L417" s="470"/>
      <c r="M417" s="470"/>
      <c r="N417" s="470"/>
      <c r="O417" s="470"/>
      <c r="P417" s="470"/>
      <c r="Q417" s="470"/>
      <c r="R417" s="470"/>
      <c r="S417" s="470"/>
      <c r="T417" s="470"/>
    </row>
    <row r="418" spans="1:20" x14ac:dyDescent="0.2">
      <c r="A418" s="470"/>
      <c r="B418" s="470"/>
      <c r="C418" s="470"/>
      <c r="D418" s="470"/>
      <c r="E418" s="470"/>
      <c r="F418" s="470"/>
      <c r="G418" s="470"/>
      <c r="H418" s="470"/>
      <c r="I418" s="470"/>
      <c r="J418" s="470"/>
      <c r="K418" s="470"/>
      <c r="L418" s="470"/>
      <c r="M418" s="470"/>
      <c r="N418" s="470"/>
      <c r="O418" s="470"/>
      <c r="P418" s="470"/>
      <c r="Q418" s="470"/>
      <c r="R418" s="470"/>
      <c r="S418" s="470"/>
      <c r="T418" s="470"/>
    </row>
    <row r="419" spans="1:20" x14ac:dyDescent="0.2">
      <c r="A419" s="470"/>
      <c r="B419" s="470"/>
      <c r="C419" s="470"/>
      <c r="D419" s="470"/>
      <c r="E419" s="470"/>
      <c r="F419" s="470"/>
      <c r="G419" s="470"/>
      <c r="H419" s="470"/>
      <c r="I419" s="470"/>
      <c r="J419" s="470"/>
      <c r="K419" s="470"/>
      <c r="L419" s="470"/>
      <c r="M419" s="470"/>
      <c r="N419" s="470"/>
      <c r="O419" s="470"/>
      <c r="P419" s="470"/>
      <c r="Q419" s="470"/>
      <c r="R419" s="470"/>
      <c r="S419" s="470"/>
      <c r="T419" s="470"/>
    </row>
    <row r="420" spans="1:20" x14ac:dyDescent="0.2">
      <c r="A420" s="470"/>
      <c r="B420" s="470"/>
      <c r="C420" s="470"/>
      <c r="D420" s="470"/>
      <c r="E420" s="470"/>
      <c r="F420" s="470"/>
      <c r="G420" s="470"/>
      <c r="H420" s="470"/>
      <c r="I420" s="470"/>
      <c r="J420" s="470"/>
      <c r="K420" s="470"/>
      <c r="L420" s="470"/>
      <c r="M420" s="470"/>
      <c r="N420" s="470"/>
      <c r="O420" s="470"/>
      <c r="P420" s="470"/>
      <c r="Q420" s="470"/>
      <c r="R420" s="470"/>
      <c r="S420" s="470"/>
      <c r="T420" s="470"/>
    </row>
    <row r="421" spans="1:20" x14ac:dyDescent="0.2">
      <c r="A421" s="470"/>
      <c r="B421" s="470"/>
      <c r="C421" s="470"/>
      <c r="D421" s="470"/>
      <c r="E421" s="470"/>
      <c r="F421" s="470"/>
      <c r="G421" s="470"/>
      <c r="H421" s="470"/>
      <c r="I421" s="470"/>
      <c r="J421" s="470"/>
      <c r="K421" s="470"/>
      <c r="L421" s="470"/>
      <c r="M421" s="470"/>
      <c r="N421" s="470"/>
      <c r="O421" s="470"/>
      <c r="P421" s="470"/>
      <c r="Q421" s="470"/>
      <c r="R421" s="470"/>
      <c r="S421" s="470"/>
      <c r="T421" s="470"/>
    </row>
    <row r="422" spans="1:20" x14ac:dyDescent="0.2">
      <c r="A422" s="470"/>
      <c r="B422" s="470"/>
      <c r="C422" s="470"/>
      <c r="D422" s="470"/>
      <c r="E422" s="470"/>
      <c r="F422" s="470"/>
      <c r="G422" s="470"/>
      <c r="H422" s="470"/>
      <c r="I422" s="470"/>
      <c r="J422" s="470"/>
      <c r="K422" s="470"/>
      <c r="L422" s="470"/>
      <c r="M422" s="470"/>
      <c r="N422" s="470"/>
      <c r="O422" s="470"/>
      <c r="P422" s="470"/>
      <c r="Q422" s="470"/>
      <c r="R422" s="470"/>
      <c r="S422" s="470"/>
      <c r="T422" s="470"/>
    </row>
    <row r="423" spans="1:20" x14ac:dyDescent="0.2">
      <c r="A423" s="470"/>
      <c r="B423" s="470"/>
      <c r="C423" s="470"/>
      <c r="D423" s="470"/>
      <c r="E423" s="470"/>
      <c r="F423" s="470"/>
      <c r="G423" s="470"/>
      <c r="H423" s="470"/>
      <c r="I423" s="470"/>
      <c r="J423" s="470"/>
      <c r="K423" s="470"/>
      <c r="L423" s="470"/>
      <c r="M423" s="470"/>
      <c r="N423" s="470"/>
      <c r="O423" s="470"/>
      <c r="P423" s="470"/>
      <c r="Q423" s="470"/>
      <c r="R423" s="470"/>
      <c r="S423" s="470"/>
      <c r="T423" s="470"/>
    </row>
    <row r="424" spans="1:20" x14ac:dyDescent="0.2">
      <c r="A424" s="470"/>
      <c r="B424" s="470"/>
      <c r="C424" s="470"/>
      <c r="D424" s="470"/>
      <c r="E424" s="470"/>
      <c r="F424" s="470"/>
      <c r="G424" s="470"/>
      <c r="H424" s="470"/>
      <c r="I424" s="470"/>
      <c r="J424" s="470"/>
      <c r="K424" s="470"/>
      <c r="L424" s="470"/>
      <c r="M424" s="470"/>
      <c r="N424" s="470"/>
      <c r="O424" s="470"/>
      <c r="P424" s="470"/>
      <c r="Q424" s="470"/>
      <c r="R424" s="470"/>
      <c r="S424" s="470"/>
      <c r="T424" s="470"/>
    </row>
    <row r="425" spans="1:20" x14ac:dyDescent="0.2">
      <c r="A425" s="470"/>
      <c r="B425" s="470"/>
      <c r="C425" s="470"/>
      <c r="D425" s="470"/>
      <c r="E425" s="470"/>
      <c r="F425" s="470"/>
      <c r="G425" s="470"/>
      <c r="H425" s="470"/>
      <c r="I425" s="470"/>
      <c r="J425" s="470"/>
      <c r="K425" s="470"/>
      <c r="L425" s="470"/>
      <c r="M425" s="470"/>
      <c r="N425" s="470"/>
      <c r="O425" s="470"/>
      <c r="P425" s="470"/>
      <c r="Q425" s="470"/>
      <c r="R425" s="470"/>
      <c r="S425" s="470"/>
      <c r="T425" s="470"/>
    </row>
    <row r="426" spans="1:20" x14ac:dyDescent="0.2">
      <c r="A426" s="470"/>
      <c r="B426" s="470"/>
      <c r="C426" s="470"/>
      <c r="D426" s="470"/>
      <c r="E426" s="470"/>
      <c r="F426" s="470"/>
      <c r="G426" s="470"/>
      <c r="H426" s="470"/>
      <c r="I426" s="470"/>
      <c r="J426" s="470"/>
      <c r="K426" s="470"/>
      <c r="L426" s="470"/>
      <c r="M426" s="470"/>
      <c r="N426" s="470"/>
      <c r="O426" s="470"/>
      <c r="P426" s="470"/>
      <c r="Q426" s="470"/>
      <c r="R426" s="470"/>
      <c r="S426" s="470"/>
      <c r="T426" s="470"/>
    </row>
    <row r="427" spans="1:20" x14ac:dyDescent="0.2">
      <c r="A427" s="470"/>
      <c r="B427" s="470"/>
      <c r="C427" s="470"/>
      <c r="D427" s="470"/>
      <c r="E427" s="470"/>
      <c r="F427" s="470"/>
      <c r="G427" s="470"/>
      <c r="H427" s="470"/>
      <c r="I427" s="470"/>
      <c r="J427" s="470"/>
      <c r="K427" s="470"/>
      <c r="L427" s="470"/>
      <c r="M427" s="470"/>
      <c r="N427" s="470"/>
      <c r="O427" s="470"/>
      <c r="P427" s="470"/>
      <c r="Q427" s="470"/>
      <c r="R427" s="470"/>
      <c r="S427" s="470"/>
      <c r="T427" s="470"/>
    </row>
    <row r="428" spans="1:20" x14ac:dyDescent="0.2">
      <c r="A428" s="470"/>
      <c r="B428" s="470"/>
      <c r="C428" s="470"/>
      <c r="D428" s="470"/>
      <c r="E428" s="470"/>
      <c r="F428" s="470"/>
      <c r="G428" s="470"/>
      <c r="H428" s="470"/>
      <c r="I428" s="470"/>
      <c r="J428" s="470"/>
      <c r="K428" s="470"/>
      <c r="L428" s="470"/>
      <c r="M428" s="470"/>
      <c r="N428" s="470"/>
      <c r="O428" s="470"/>
      <c r="P428" s="470"/>
      <c r="Q428" s="470"/>
      <c r="R428" s="470"/>
      <c r="S428" s="470"/>
      <c r="T428" s="470"/>
    </row>
    <row r="429" spans="1:20" x14ac:dyDescent="0.2">
      <c r="A429" s="470"/>
      <c r="B429" s="470"/>
      <c r="C429" s="470"/>
      <c r="D429" s="470"/>
      <c r="E429" s="470"/>
      <c r="F429" s="470"/>
      <c r="G429" s="470"/>
      <c r="H429" s="470"/>
      <c r="I429" s="470"/>
      <c r="J429" s="470"/>
      <c r="K429" s="470"/>
      <c r="L429" s="470"/>
      <c r="M429" s="470"/>
      <c r="N429" s="470"/>
      <c r="O429" s="470"/>
      <c r="P429" s="470"/>
      <c r="Q429" s="470"/>
      <c r="R429" s="470"/>
      <c r="S429" s="470"/>
      <c r="T429" s="470"/>
    </row>
    <row r="430" spans="1:20" x14ac:dyDescent="0.2">
      <c r="A430" s="470"/>
      <c r="B430" s="470"/>
      <c r="C430" s="470"/>
      <c r="D430" s="470"/>
      <c r="E430" s="470"/>
      <c r="F430" s="470"/>
      <c r="G430" s="470"/>
      <c r="H430" s="470"/>
      <c r="I430" s="470"/>
      <c r="J430" s="470"/>
      <c r="K430" s="470"/>
      <c r="L430" s="470"/>
      <c r="M430" s="470"/>
      <c r="N430" s="470"/>
      <c r="O430" s="470"/>
      <c r="P430" s="470"/>
      <c r="Q430" s="470"/>
      <c r="R430" s="470"/>
      <c r="S430" s="470"/>
      <c r="T430" s="470"/>
    </row>
    <row r="431" spans="1:20" x14ac:dyDescent="0.2">
      <c r="A431" s="470"/>
      <c r="B431" s="470"/>
      <c r="C431" s="470"/>
      <c r="D431" s="470"/>
      <c r="E431" s="470"/>
      <c r="F431" s="470"/>
      <c r="G431" s="470"/>
      <c r="H431" s="470"/>
      <c r="I431" s="470"/>
      <c r="J431" s="470"/>
      <c r="K431" s="470"/>
      <c r="L431" s="470"/>
      <c r="M431" s="470"/>
      <c r="N431" s="470"/>
      <c r="O431" s="470"/>
      <c r="P431" s="470"/>
      <c r="Q431" s="470"/>
      <c r="R431" s="470"/>
      <c r="S431" s="470"/>
      <c r="T431" s="470"/>
    </row>
    <row r="432" spans="1:20" x14ac:dyDescent="0.2">
      <c r="A432" s="470"/>
      <c r="B432" s="470"/>
      <c r="C432" s="470"/>
      <c r="D432" s="470"/>
      <c r="E432" s="470"/>
      <c r="F432" s="470"/>
      <c r="G432" s="470"/>
      <c r="H432" s="470"/>
      <c r="I432" s="470"/>
      <c r="J432" s="470"/>
      <c r="K432" s="470"/>
      <c r="L432" s="470"/>
      <c r="M432" s="470"/>
      <c r="N432" s="470"/>
      <c r="O432" s="470"/>
      <c r="P432" s="470"/>
      <c r="Q432" s="470"/>
      <c r="R432" s="470"/>
      <c r="S432" s="470"/>
      <c r="T432" s="470"/>
    </row>
    <row r="433" spans="1:20" x14ac:dyDescent="0.2">
      <c r="A433" s="470"/>
      <c r="B433" s="470"/>
      <c r="C433" s="470"/>
      <c r="D433" s="470"/>
      <c r="E433" s="470"/>
      <c r="F433" s="470"/>
      <c r="G433" s="470"/>
      <c r="H433" s="470"/>
      <c r="I433" s="470"/>
      <c r="J433" s="470"/>
      <c r="K433" s="470"/>
      <c r="L433" s="470"/>
      <c r="M433" s="470"/>
      <c r="N433" s="470"/>
      <c r="O433" s="470"/>
      <c r="P433" s="470"/>
      <c r="Q433" s="470"/>
      <c r="R433" s="470"/>
      <c r="S433" s="470"/>
      <c r="T433" s="470"/>
    </row>
    <row r="434" spans="1:20" x14ac:dyDescent="0.2">
      <c r="A434" s="470"/>
      <c r="B434" s="470"/>
      <c r="C434" s="470"/>
      <c r="D434" s="470"/>
      <c r="E434" s="470"/>
      <c r="F434" s="470"/>
      <c r="G434" s="470"/>
      <c r="H434" s="470"/>
      <c r="I434" s="470"/>
      <c r="J434" s="470"/>
      <c r="K434" s="470"/>
      <c r="L434" s="470"/>
      <c r="M434" s="470"/>
      <c r="N434" s="470"/>
      <c r="O434" s="470"/>
      <c r="P434" s="470"/>
      <c r="Q434" s="470"/>
      <c r="R434" s="470"/>
      <c r="S434" s="470"/>
      <c r="T434" s="470"/>
    </row>
    <row r="435" spans="1:20" x14ac:dyDescent="0.2">
      <c r="A435" s="470"/>
      <c r="B435" s="470"/>
      <c r="C435" s="470"/>
      <c r="D435" s="470"/>
      <c r="E435" s="470"/>
      <c r="F435" s="470"/>
      <c r="G435" s="470"/>
      <c r="H435" s="470"/>
      <c r="I435" s="470"/>
      <c r="J435" s="470"/>
      <c r="K435" s="470"/>
      <c r="L435" s="470"/>
      <c r="M435" s="470"/>
      <c r="N435" s="470"/>
      <c r="O435" s="470"/>
      <c r="P435" s="470"/>
      <c r="Q435" s="470"/>
      <c r="R435" s="470"/>
      <c r="S435" s="470"/>
      <c r="T435" s="470"/>
    </row>
    <row r="436" spans="1:20" x14ac:dyDescent="0.2">
      <c r="A436" s="470"/>
      <c r="B436" s="470"/>
      <c r="C436" s="470"/>
      <c r="D436" s="470"/>
      <c r="E436" s="470"/>
      <c r="F436" s="470"/>
      <c r="G436" s="470"/>
      <c r="H436" s="470"/>
      <c r="I436" s="470"/>
      <c r="J436" s="470"/>
      <c r="K436" s="470"/>
      <c r="L436" s="470"/>
      <c r="M436" s="470"/>
      <c r="N436" s="470"/>
      <c r="O436" s="470"/>
      <c r="P436" s="470"/>
      <c r="Q436" s="470"/>
      <c r="R436" s="470"/>
      <c r="S436" s="470"/>
      <c r="T436" s="470"/>
    </row>
    <row r="437" spans="1:20" x14ac:dyDescent="0.2">
      <c r="A437" s="470"/>
      <c r="B437" s="470"/>
      <c r="C437" s="470"/>
      <c r="D437" s="470"/>
      <c r="E437" s="470"/>
      <c r="F437" s="470"/>
      <c r="G437" s="470"/>
      <c r="H437" s="470"/>
      <c r="I437" s="470"/>
      <c r="J437" s="470"/>
      <c r="K437" s="470"/>
      <c r="L437" s="470"/>
      <c r="M437" s="470"/>
      <c r="N437" s="470"/>
      <c r="O437" s="470"/>
      <c r="P437" s="470"/>
      <c r="Q437" s="470"/>
      <c r="R437" s="470"/>
      <c r="S437" s="470"/>
      <c r="T437" s="470"/>
    </row>
    <row r="438" spans="1:20" x14ac:dyDescent="0.2">
      <c r="A438" s="470"/>
      <c r="B438" s="470"/>
      <c r="C438" s="470"/>
      <c r="D438" s="470"/>
      <c r="E438" s="470"/>
      <c r="F438" s="470"/>
      <c r="G438" s="470"/>
      <c r="H438" s="470"/>
      <c r="I438" s="470"/>
      <c r="J438" s="470"/>
      <c r="K438" s="470"/>
      <c r="L438" s="470"/>
      <c r="M438" s="470"/>
      <c r="N438" s="470"/>
      <c r="O438" s="470"/>
      <c r="P438" s="470"/>
      <c r="Q438" s="470"/>
      <c r="R438" s="470"/>
      <c r="S438" s="470"/>
      <c r="T438" s="470"/>
    </row>
    <row r="439" spans="1:20" x14ac:dyDescent="0.2">
      <c r="A439" s="470"/>
      <c r="B439" s="470"/>
      <c r="C439" s="470"/>
      <c r="D439" s="470"/>
      <c r="E439" s="470"/>
      <c r="F439" s="470"/>
      <c r="G439" s="470"/>
      <c r="H439" s="470"/>
      <c r="I439" s="470"/>
      <c r="J439" s="470"/>
      <c r="K439" s="470"/>
      <c r="L439" s="470"/>
      <c r="M439" s="470"/>
      <c r="N439" s="470"/>
      <c r="O439" s="470"/>
      <c r="P439" s="470"/>
      <c r="Q439" s="470"/>
      <c r="R439" s="470"/>
      <c r="S439" s="470"/>
      <c r="T439" s="470"/>
    </row>
    <row r="440" spans="1:20" x14ac:dyDescent="0.2">
      <c r="A440" s="470"/>
      <c r="B440" s="470"/>
      <c r="C440" s="470"/>
      <c r="D440" s="470"/>
      <c r="E440" s="470"/>
      <c r="F440" s="470"/>
      <c r="G440" s="470"/>
      <c r="H440" s="470"/>
      <c r="I440" s="470"/>
      <c r="J440" s="470"/>
      <c r="K440" s="470"/>
      <c r="L440" s="470"/>
      <c r="M440" s="470"/>
      <c r="N440" s="470"/>
      <c r="O440" s="470"/>
      <c r="P440" s="470"/>
      <c r="Q440" s="470"/>
      <c r="R440" s="470"/>
      <c r="S440" s="470"/>
      <c r="T440" s="470"/>
    </row>
    <row r="441" spans="1:20" x14ac:dyDescent="0.2">
      <c r="A441" s="470"/>
      <c r="B441" s="470"/>
      <c r="C441" s="470"/>
      <c r="D441" s="470"/>
      <c r="E441" s="470"/>
      <c r="F441" s="470"/>
      <c r="G441" s="470"/>
      <c r="H441" s="470"/>
      <c r="I441" s="470"/>
      <c r="J441" s="470"/>
      <c r="K441" s="470"/>
      <c r="L441" s="470"/>
      <c r="M441" s="470"/>
      <c r="N441" s="470"/>
      <c r="O441" s="470"/>
      <c r="P441" s="470"/>
      <c r="Q441" s="470"/>
      <c r="R441" s="470"/>
      <c r="S441" s="470"/>
      <c r="T441" s="470"/>
    </row>
    <row r="442" spans="1:20" x14ac:dyDescent="0.2">
      <c r="A442" s="470"/>
      <c r="B442" s="470"/>
      <c r="C442" s="470"/>
      <c r="D442" s="470"/>
      <c r="E442" s="470"/>
      <c r="F442" s="470"/>
      <c r="G442" s="470"/>
      <c r="H442" s="470"/>
      <c r="I442" s="470"/>
      <c r="J442" s="470"/>
      <c r="K442" s="470"/>
      <c r="L442" s="470"/>
      <c r="M442" s="470"/>
      <c r="N442" s="470"/>
      <c r="O442" s="470"/>
      <c r="P442" s="470"/>
      <c r="Q442" s="470"/>
      <c r="R442" s="470"/>
      <c r="S442" s="470"/>
      <c r="T442" s="470"/>
    </row>
    <row r="443" spans="1:20" x14ac:dyDescent="0.2">
      <c r="A443" s="470"/>
      <c r="B443" s="470"/>
      <c r="C443" s="470"/>
      <c r="D443" s="470"/>
      <c r="E443" s="470"/>
      <c r="F443" s="470"/>
      <c r="G443" s="470"/>
      <c r="H443" s="470"/>
      <c r="I443" s="470"/>
      <c r="J443" s="470"/>
      <c r="K443" s="470"/>
      <c r="L443" s="470"/>
      <c r="M443" s="470"/>
      <c r="N443" s="470"/>
      <c r="O443" s="470"/>
      <c r="P443" s="470"/>
      <c r="Q443" s="470"/>
      <c r="R443" s="470"/>
      <c r="S443" s="470"/>
      <c r="T443" s="470"/>
    </row>
    <row r="444" spans="1:20" x14ac:dyDescent="0.2">
      <c r="A444" s="470"/>
      <c r="B444" s="470"/>
      <c r="C444" s="470"/>
      <c r="D444" s="470"/>
      <c r="E444" s="470"/>
      <c r="F444" s="470"/>
      <c r="G444" s="470"/>
      <c r="H444" s="470"/>
      <c r="I444" s="470"/>
      <c r="J444" s="470"/>
      <c r="K444" s="470"/>
      <c r="L444" s="470"/>
      <c r="M444" s="470"/>
      <c r="N444" s="470"/>
      <c r="O444" s="470"/>
      <c r="P444" s="470"/>
      <c r="Q444" s="470"/>
      <c r="R444" s="470"/>
      <c r="S444" s="470"/>
      <c r="T444" s="470"/>
    </row>
    <row r="445" spans="1:20" x14ac:dyDescent="0.2">
      <c r="A445" s="470"/>
      <c r="B445" s="470"/>
      <c r="C445" s="470"/>
      <c r="D445" s="470"/>
      <c r="E445" s="470"/>
      <c r="F445" s="470"/>
      <c r="G445" s="470"/>
      <c r="H445" s="470"/>
      <c r="I445" s="470"/>
      <c r="J445" s="470"/>
      <c r="K445" s="470"/>
      <c r="L445" s="470"/>
      <c r="M445" s="470"/>
      <c r="N445" s="470"/>
      <c r="O445" s="470"/>
      <c r="P445" s="470"/>
      <c r="Q445" s="470"/>
      <c r="R445" s="470"/>
      <c r="S445" s="470"/>
      <c r="T445" s="470"/>
    </row>
    <row r="446" spans="1:20" x14ac:dyDescent="0.2">
      <c r="A446" s="470"/>
      <c r="B446" s="470"/>
      <c r="C446" s="470"/>
      <c r="D446" s="470"/>
      <c r="E446" s="470"/>
      <c r="F446" s="470"/>
      <c r="G446" s="470"/>
      <c r="H446" s="470"/>
      <c r="I446" s="470"/>
      <c r="J446" s="470"/>
      <c r="K446" s="470"/>
      <c r="L446" s="470"/>
      <c r="M446" s="470"/>
      <c r="N446" s="470"/>
      <c r="O446" s="470"/>
      <c r="P446" s="470"/>
      <c r="Q446" s="470"/>
      <c r="R446" s="470"/>
      <c r="S446" s="470"/>
      <c r="T446" s="470"/>
    </row>
    <row r="447" spans="1:20" x14ac:dyDescent="0.2">
      <c r="A447" s="470"/>
      <c r="B447" s="470"/>
      <c r="C447" s="470"/>
      <c r="D447" s="470"/>
      <c r="E447" s="470"/>
      <c r="F447" s="470"/>
      <c r="G447" s="470"/>
      <c r="H447" s="470"/>
      <c r="I447" s="470"/>
      <c r="J447" s="470"/>
      <c r="K447" s="470"/>
      <c r="L447" s="470"/>
      <c r="M447" s="470"/>
      <c r="N447" s="470"/>
      <c r="O447" s="470"/>
      <c r="P447" s="470"/>
      <c r="Q447" s="470"/>
      <c r="R447" s="470"/>
      <c r="S447" s="470"/>
      <c r="T447" s="470"/>
    </row>
    <row r="448" spans="1:20" x14ac:dyDescent="0.2">
      <c r="A448" s="470"/>
      <c r="B448" s="470"/>
      <c r="C448" s="470"/>
      <c r="D448" s="470"/>
      <c r="E448" s="470"/>
      <c r="F448" s="470"/>
      <c r="G448" s="470"/>
      <c r="H448" s="470"/>
      <c r="I448" s="470"/>
      <c r="J448" s="470"/>
      <c r="K448" s="470"/>
      <c r="L448" s="470"/>
      <c r="M448" s="470"/>
      <c r="N448" s="470"/>
      <c r="O448" s="470"/>
      <c r="P448" s="470"/>
      <c r="Q448" s="470"/>
      <c r="R448" s="470"/>
      <c r="S448" s="470"/>
      <c r="T448" s="470"/>
    </row>
    <row r="449" spans="1:20" x14ac:dyDescent="0.2">
      <c r="A449" s="470"/>
      <c r="B449" s="470"/>
      <c r="C449" s="470"/>
      <c r="D449" s="470"/>
      <c r="E449" s="470"/>
      <c r="F449" s="470"/>
      <c r="G449" s="470"/>
      <c r="H449" s="470"/>
      <c r="I449" s="470"/>
      <c r="J449" s="470"/>
      <c r="K449" s="470"/>
      <c r="L449" s="470"/>
      <c r="M449" s="470"/>
      <c r="N449" s="470"/>
      <c r="O449" s="470"/>
      <c r="P449" s="470"/>
      <c r="Q449" s="470"/>
      <c r="R449" s="470"/>
      <c r="S449" s="470"/>
      <c r="T449" s="470"/>
    </row>
    <row r="450" spans="1:20" x14ac:dyDescent="0.2">
      <c r="A450" s="470"/>
      <c r="B450" s="470"/>
      <c r="C450" s="470"/>
      <c r="D450" s="470"/>
      <c r="E450" s="470"/>
      <c r="F450" s="470"/>
      <c r="G450" s="470"/>
      <c r="H450" s="470"/>
      <c r="I450" s="470"/>
      <c r="J450" s="470"/>
      <c r="K450" s="470"/>
      <c r="L450" s="470"/>
      <c r="M450" s="470"/>
      <c r="N450" s="470"/>
      <c r="O450" s="470"/>
      <c r="P450" s="470"/>
      <c r="Q450" s="470"/>
      <c r="R450" s="470"/>
      <c r="S450" s="470"/>
      <c r="T450" s="470"/>
    </row>
    <row r="451" spans="1:20" x14ac:dyDescent="0.2">
      <c r="A451" s="470"/>
      <c r="B451" s="470"/>
      <c r="C451" s="470"/>
      <c r="D451" s="470"/>
      <c r="E451" s="470"/>
      <c r="F451" s="470"/>
      <c r="G451" s="470"/>
      <c r="H451" s="470"/>
      <c r="I451" s="470"/>
      <c r="J451" s="470"/>
      <c r="K451" s="470"/>
      <c r="L451" s="470"/>
      <c r="M451" s="470"/>
      <c r="N451" s="470"/>
      <c r="O451" s="470"/>
      <c r="P451" s="470"/>
      <c r="Q451" s="470"/>
      <c r="R451" s="470"/>
      <c r="S451" s="470"/>
      <c r="T451" s="470"/>
    </row>
    <row r="452" spans="1:20" x14ac:dyDescent="0.2">
      <c r="A452" s="470"/>
      <c r="B452" s="470"/>
      <c r="C452" s="470"/>
      <c r="D452" s="470"/>
      <c r="E452" s="470"/>
      <c r="F452" s="470"/>
      <c r="G452" s="470"/>
      <c r="H452" s="470"/>
      <c r="I452" s="470"/>
      <c r="J452" s="470"/>
      <c r="K452" s="470"/>
      <c r="L452" s="470"/>
      <c r="M452" s="470"/>
      <c r="N452" s="470"/>
      <c r="O452" s="470"/>
      <c r="P452" s="470"/>
      <c r="Q452" s="470"/>
      <c r="R452" s="470"/>
      <c r="S452" s="470"/>
      <c r="T452" s="470"/>
    </row>
    <row r="453" spans="1:20" x14ac:dyDescent="0.2">
      <c r="A453" s="470"/>
      <c r="B453" s="470"/>
      <c r="C453" s="470"/>
      <c r="D453" s="470"/>
      <c r="E453" s="470"/>
      <c r="F453" s="470"/>
      <c r="G453" s="470"/>
      <c r="H453" s="470"/>
      <c r="I453" s="470"/>
      <c r="J453" s="470"/>
      <c r="K453" s="470"/>
      <c r="L453" s="470"/>
      <c r="M453" s="470"/>
      <c r="N453" s="470"/>
      <c r="O453" s="470"/>
      <c r="P453" s="470"/>
      <c r="Q453" s="470"/>
      <c r="R453" s="470"/>
      <c r="S453" s="470"/>
      <c r="T453" s="470"/>
    </row>
    <row r="454" spans="1:20" x14ac:dyDescent="0.2">
      <c r="A454" s="470"/>
      <c r="B454" s="470"/>
      <c r="C454" s="470"/>
      <c r="D454" s="470"/>
      <c r="E454" s="470"/>
      <c r="F454" s="470"/>
      <c r="G454" s="470"/>
      <c r="H454" s="470"/>
      <c r="I454" s="470"/>
      <c r="J454" s="470"/>
      <c r="K454" s="470"/>
      <c r="L454" s="470"/>
      <c r="M454" s="470"/>
      <c r="N454" s="470"/>
      <c r="O454" s="470"/>
      <c r="P454" s="470"/>
      <c r="Q454" s="470"/>
      <c r="R454" s="470"/>
      <c r="S454" s="470"/>
      <c r="T454" s="470"/>
    </row>
    <row r="455" spans="1:20" x14ac:dyDescent="0.2">
      <c r="A455" s="470"/>
      <c r="B455" s="470"/>
      <c r="C455" s="470"/>
      <c r="D455" s="470"/>
      <c r="E455" s="470"/>
      <c r="F455" s="470"/>
      <c r="G455" s="470"/>
      <c r="H455" s="470"/>
      <c r="I455" s="470"/>
      <c r="J455" s="470"/>
      <c r="K455" s="470"/>
      <c r="L455" s="470"/>
      <c r="M455" s="470"/>
      <c r="N455" s="470"/>
      <c r="O455" s="470"/>
      <c r="P455" s="470"/>
      <c r="Q455" s="470"/>
      <c r="R455" s="470"/>
      <c r="S455" s="470"/>
      <c r="T455" s="470"/>
    </row>
    <row r="456" spans="1:20" x14ac:dyDescent="0.2">
      <c r="A456" s="470"/>
      <c r="B456" s="470"/>
      <c r="C456" s="470"/>
      <c r="D456" s="470"/>
      <c r="E456" s="470"/>
      <c r="F456" s="470"/>
      <c r="G456" s="470"/>
      <c r="H456" s="470"/>
      <c r="I456" s="470"/>
      <c r="J456" s="470"/>
      <c r="K456" s="470"/>
      <c r="L456" s="470"/>
      <c r="M456" s="470"/>
      <c r="N456" s="470"/>
      <c r="O456" s="470"/>
      <c r="P456" s="470"/>
      <c r="Q456" s="470"/>
      <c r="R456" s="470"/>
      <c r="S456" s="470"/>
      <c r="T456" s="470"/>
    </row>
    <row r="457" spans="1:20" x14ac:dyDescent="0.2">
      <c r="A457" s="470"/>
      <c r="B457" s="470"/>
      <c r="C457" s="470"/>
      <c r="D457" s="470"/>
      <c r="E457" s="470"/>
      <c r="F457" s="470"/>
      <c r="G457" s="470"/>
      <c r="H457" s="470"/>
      <c r="I457" s="470"/>
      <c r="J457" s="470"/>
      <c r="K457" s="470"/>
      <c r="L457" s="470"/>
      <c r="M457" s="470"/>
      <c r="N457" s="470"/>
      <c r="O457" s="470"/>
      <c r="P457" s="470"/>
      <c r="Q457" s="470"/>
      <c r="R457" s="470"/>
      <c r="S457" s="470"/>
      <c r="T457" s="470"/>
    </row>
    <row r="458" spans="1:20" x14ac:dyDescent="0.2">
      <c r="A458" s="470"/>
      <c r="B458" s="470"/>
      <c r="C458" s="470"/>
      <c r="D458" s="470"/>
      <c r="E458" s="470"/>
      <c r="F458" s="470"/>
      <c r="G458" s="470"/>
      <c r="H458" s="470"/>
      <c r="I458" s="470"/>
      <c r="J458" s="470"/>
      <c r="K458" s="470"/>
      <c r="L458" s="470"/>
      <c r="M458" s="470"/>
      <c r="N458" s="470"/>
      <c r="O458" s="470"/>
      <c r="P458" s="470"/>
      <c r="Q458" s="470"/>
      <c r="R458" s="470"/>
      <c r="S458" s="470"/>
      <c r="T458" s="470"/>
    </row>
    <row r="459" spans="1:20" x14ac:dyDescent="0.2">
      <c r="A459" s="470"/>
      <c r="B459" s="470"/>
      <c r="C459" s="470"/>
      <c r="D459" s="470"/>
      <c r="E459" s="470"/>
      <c r="F459" s="470"/>
      <c r="G459" s="470"/>
      <c r="H459" s="470"/>
      <c r="I459" s="470"/>
      <c r="J459" s="470"/>
      <c r="K459" s="470"/>
      <c r="L459" s="470"/>
      <c r="M459" s="470"/>
      <c r="N459" s="470"/>
      <c r="O459" s="470"/>
      <c r="P459" s="470"/>
      <c r="Q459" s="470"/>
      <c r="R459" s="470"/>
      <c r="S459" s="470"/>
      <c r="T459" s="470"/>
    </row>
    <row r="460" spans="1:20" x14ac:dyDescent="0.2">
      <c r="A460" s="470"/>
      <c r="B460" s="470"/>
      <c r="C460" s="470"/>
      <c r="D460" s="470"/>
      <c r="E460" s="470"/>
      <c r="F460" s="470"/>
      <c r="G460" s="470"/>
      <c r="H460" s="470"/>
      <c r="I460" s="470"/>
      <c r="J460" s="470"/>
      <c r="K460" s="470"/>
      <c r="L460" s="470"/>
      <c r="M460" s="470"/>
      <c r="N460" s="470"/>
      <c r="O460" s="470"/>
      <c r="P460" s="470"/>
      <c r="Q460" s="470"/>
      <c r="R460" s="470"/>
      <c r="S460" s="470"/>
      <c r="T460" s="470"/>
    </row>
    <row r="461" spans="1:20" x14ac:dyDescent="0.2">
      <c r="A461" s="470"/>
      <c r="B461" s="470"/>
      <c r="C461" s="470"/>
      <c r="D461" s="470"/>
      <c r="E461" s="470"/>
      <c r="F461" s="470"/>
      <c r="G461" s="470"/>
      <c r="H461" s="470"/>
      <c r="I461" s="470"/>
      <c r="J461" s="470"/>
      <c r="K461" s="470"/>
      <c r="L461" s="470"/>
      <c r="M461" s="470"/>
      <c r="N461" s="470"/>
      <c r="O461" s="470"/>
      <c r="P461" s="470"/>
      <c r="Q461" s="470"/>
      <c r="R461" s="470"/>
      <c r="S461" s="470"/>
      <c r="T461" s="470"/>
    </row>
    <row r="462" spans="1:20" x14ac:dyDescent="0.2">
      <c r="A462" s="470"/>
      <c r="B462" s="470"/>
      <c r="C462" s="470"/>
      <c r="D462" s="470"/>
      <c r="E462" s="470"/>
      <c r="F462" s="470"/>
      <c r="G462" s="470"/>
      <c r="H462" s="470"/>
      <c r="I462" s="470"/>
      <c r="J462" s="470"/>
      <c r="K462" s="470"/>
      <c r="L462" s="470"/>
      <c r="M462" s="470"/>
      <c r="N462" s="470"/>
      <c r="O462" s="470"/>
      <c r="P462" s="470"/>
      <c r="Q462" s="470"/>
      <c r="R462" s="470"/>
      <c r="S462" s="470"/>
      <c r="T462" s="470"/>
    </row>
    <row r="463" spans="1:20" x14ac:dyDescent="0.2">
      <c r="A463" s="470"/>
      <c r="B463" s="470"/>
      <c r="C463" s="470"/>
      <c r="D463" s="470"/>
      <c r="E463" s="470"/>
      <c r="F463" s="470"/>
      <c r="G463" s="470"/>
      <c r="H463" s="470"/>
      <c r="I463" s="470"/>
      <c r="J463" s="470"/>
      <c r="K463" s="470"/>
      <c r="L463" s="470"/>
      <c r="M463" s="470"/>
      <c r="N463" s="470"/>
      <c r="O463" s="470"/>
      <c r="P463" s="470"/>
      <c r="Q463" s="470"/>
      <c r="R463" s="470"/>
      <c r="S463" s="470"/>
      <c r="T463" s="470"/>
    </row>
    <row r="464" spans="1:20" x14ac:dyDescent="0.2">
      <c r="A464" s="470"/>
      <c r="B464" s="470"/>
      <c r="C464" s="470"/>
      <c r="D464" s="470"/>
      <c r="E464" s="470"/>
      <c r="F464" s="470"/>
      <c r="G464" s="470"/>
      <c r="H464" s="470"/>
      <c r="I464" s="470"/>
      <c r="J464" s="470"/>
      <c r="K464" s="470"/>
      <c r="L464" s="470"/>
      <c r="M464" s="470"/>
      <c r="N464" s="470"/>
      <c r="O464" s="470"/>
      <c r="P464" s="470"/>
      <c r="Q464" s="470"/>
      <c r="R464" s="470"/>
      <c r="S464" s="470"/>
      <c r="T464" s="470"/>
    </row>
    <row r="465" spans="1:20" x14ac:dyDescent="0.2">
      <c r="A465" s="470"/>
      <c r="B465" s="470"/>
      <c r="C465" s="470"/>
      <c r="D465" s="470"/>
      <c r="E465" s="470"/>
      <c r="F465" s="470"/>
      <c r="G465" s="470"/>
      <c r="H465" s="470"/>
      <c r="I465" s="470"/>
      <c r="J465" s="470"/>
      <c r="K465" s="470"/>
      <c r="L465" s="470"/>
      <c r="M465" s="470"/>
      <c r="N465" s="470"/>
      <c r="O465" s="470"/>
      <c r="P465" s="470"/>
      <c r="Q465" s="470"/>
      <c r="R465" s="470"/>
      <c r="S465" s="470"/>
      <c r="T465" s="470"/>
    </row>
    <row r="466" spans="1:20" x14ac:dyDescent="0.2">
      <c r="A466" s="470"/>
      <c r="B466" s="470"/>
      <c r="C466" s="470"/>
      <c r="D466" s="470"/>
      <c r="E466" s="470"/>
      <c r="F466" s="470"/>
      <c r="G466" s="470"/>
      <c r="H466" s="470"/>
      <c r="I466" s="470"/>
      <c r="J466" s="470"/>
      <c r="K466" s="470"/>
      <c r="L466" s="470"/>
      <c r="M466" s="470"/>
      <c r="N466" s="470"/>
      <c r="O466" s="470"/>
      <c r="P466" s="470"/>
      <c r="Q466" s="470"/>
      <c r="R466" s="470"/>
      <c r="S466" s="470"/>
      <c r="T466" s="470"/>
    </row>
    <row r="467" spans="1:20" x14ac:dyDescent="0.2">
      <c r="A467" s="470"/>
      <c r="B467" s="470"/>
      <c r="C467" s="470"/>
      <c r="D467" s="470"/>
      <c r="E467" s="470"/>
      <c r="F467" s="470"/>
      <c r="G467" s="470"/>
      <c r="H467" s="470"/>
      <c r="I467" s="470"/>
      <c r="J467" s="470"/>
      <c r="K467" s="470"/>
      <c r="L467" s="470"/>
      <c r="M467" s="470"/>
      <c r="N467" s="470"/>
      <c r="O467" s="470"/>
      <c r="P467" s="470"/>
      <c r="Q467" s="470"/>
      <c r="R467" s="470"/>
      <c r="S467" s="470"/>
      <c r="T467" s="470"/>
    </row>
    <row r="468" spans="1:20" x14ac:dyDescent="0.2">
      <c r="A468" s="470"/>
      <c r="B468" s="470"/>
      <c r="C468" s="470"/>
      <c r="D468" s="470"/>
      <c r="E468" s="470"/>
      <c r="F468" s="470"/>
      <c r="G468" s="470"/>
      <c r="H468" s="470"/>
      <c r="I468" s="470"/>
      <c r="J468" s="470"/>
      <c r="K468" s="470"/>
      <c r="L468" s="470"/>
      <c r="M468" s="470"/>
      <c r="N468" s="470"/>
      <c r="O468" s="470"/>
      <c r="P468" s="470"/>
      <c r="Q468" s="470"/>
      <c r="R468" s="470"/>
      <c r="S468" s="470"/>
      <c r="T468" s="470"/>
    </row>
    <row r="469" spans="1:20" x14ac:dyDescent="0.2">
      <c r="A469" s="470"/>
      <c r="B469" s="470"/>
      <c r="C469" s="470"/>
      <c r="D469" s="470"/>
      <c r="E469" s="470"/>
      <c r="F469" s="470"/>
      <c r="G469" s="470"/>
      <c r="H469" s="470"/>
      <c r="I469" s="470"/>
      <c r="J469" s="470"/>
      <c r="K469" s="470"/>
      <c r="L469" s="470"/>
      <c r="M469" s="470"/>
      <c r="N469" s="470"/>
      <c r="O469" s="470"/>
      <c r="P469" s="470"/>
      <c r="Q469" s="470"/>
      <c r="R469" s="470"/>
      <c r="S469" s="470"/>
      <c r="T469" s="470"/>
    </row>
    <row r="470" spans="1:20" x14ac:dyDescent="0.2">
      <c r="A470" s="470"/>
      <c r="B470" s="470"/>
      <c r="C470" s="470"/>
      <c r="D470" s="470"/>
      <c r="E470" s="470"/>
      <c r="F470" s="470"/>
      <c r="G470" s="470"/>
      <c r="H470" s="470"/>
      <c r="I470" s="470"/>
      <c r="J470" s="470"/>
      <c r="K470" s="470"/>
      <c r="L470" s="470"/>
      <c r="M470" s="470"/>
      <c r="N470" s="470"/>
      <c r="O470" s="470"/>
      <c r="P470" s="470"/>
      <c r="Q470" s="470"/>
      <c r="R470" s="470"/>
      <c r="S470" s="470"/>
      <c r="T470" s="470"/>
    </row>
    <row r="471" spans="1:20" x14ac:dyDescent="0.2">
      <c r="A471" s="470"/>
      <c r="B471" s="470"/>
      <c r="C471" s="470"/>
      <c r="D471" s="470"/>
      <c r="E471" s="470"/>
      <c r="F471" s="470"/>
      <c r="G471" s="470"/>
      <c r="H471" s="470"/>
      <c r="I471" s="470"/>
      <c r="J471" s="470"/>
      <c r="K471" s="470"/>
      <c r="L471" s="470"/>
      <c r="M471" s="470"/>
      <c r="N471" s="470"/>
      <c r="O471" s="470"/>
      <c r="P471" s="470"/>
      <c r="Q471" s="470"/>
      <c r="R471" s="470"/>
      <c r="S471" s="470"/>
      <c r="T471" s="470"/>
    </row>
    <row r="472" spans="1:20" x14ac:dyDescent="0.2">
      <c r="A472" s="470"/>
      <c r="B472" s="470"/>
      <c r="C472" s="470"/>
      <c r="D472" s="470"/>
      <c r="E472" s="470"/>
      <c r="F472" s="470"/>
      <c r="G472" s="470"/>
      <c r="H472" s="470"/>
      <c r="I472" s="470"/>
      <c r="J472" s="470"/>
      <c r="K472" s="470"/>
      <c r="L472" s="470"/>
      <c r="M472" s="470"/>
      <c r="N472" s="470"/>
      <c r="O472" s="470"/>
      <c r="P472" s="470"/>
      <c r="Q472" s="470"/>
      <c r="R472" s="470"/>
      <c r="S472" s="470"/>
      <c r="T472" s="470"/>
    </row>
    <row r="473" spans="1:20" x14ac:dyDescent="0.2">
      <c r="A473" s="470"/>
      <c r="B473" s="470"/>
      <c r="C473" s="470"/>
      <c r="D473" s="470"/>
      <c r="E473" s="470"/>
      <c r="F473" s="470"/>
      <c r="G473" s="470"/>
      <c r="H473" s="470"/>
      <c r="I473" s="470"/>
      <c r="J473" s="470"/>
      <c r="K473" s="470"/>
      <c r="L473" s="470"/>
      <c r="M473" s="470"/>
      <c r="N473" s="470"/>
      <c r="O473" s="470"/>
      <c r="P473" s="470"/>
      <c r="Q473" s="470"/>
      <c r="R473" s="470"/>
      <c r="S473" s="470"/>
      <c r="T473" s="470"/>
    </row>
    <row r="474" spans="1:20" x14ac:dyDescent="0.2">
      <c r="A474" s="470"/>
      <c r="B474" s="470"/>
      <c r="C474" s="470"/>
      <c r="D474" s="470"/>
      <c r="E474" s="470"/>
      <c r="F474" s="470"/>
      <c r="G474" s="470"/>
      <c r="H474" s="470"/>
      <c r="I474" s="470"/>
      <c r="J474" s="470"/>
      <c r="K474" s="470"/>
      <c r="L474" s="470"/>
      <c r="M474" s="470"/>
      <c r="N474" s="470"/>
      <c r="O474" s="470"/>
      <c r="P474" s="470"/>
      <c r="Q474" s="470"/>
      <c r="R474" s="470"/>
      <c r="S474" s="470"/>
      <c r="T474" s="470"/>
    </row>
    <row r="475" spans="1:20" x14ac:dyDescent="0.2">
      <c r="A475" s="470"/>
      <c r="B475" s="470"/>
      <c r="C475" s="470"/>
      <c r="D475" s="470"/>
      <c r="E475" s="470"/>
      <c r="F475" s="470"/>
      <c r="G475" s="470"/>
      <c r="H475" s="470"/>
      <c r="I475" s="470"/>
      <c r="J475" s="470"/>
      <c r="K475" s="470"/>
      <c r="L475" s="470"/>
      <c r="M475" s="470"/>
      <c r="N475" s="470"/>
      <c r="O475" s="470"/>
      <c r="P475" s="470"/>
      <c r="Q475" s="470"/>
      <c r="R475" s="470"/>
      <c r="S475" s="470"/>
      <c r="T475" s="470"/>
    </row>
    <row r="476" spans="1:20" x14ac:dyDescent="0.2">
      <c r="A476" s="470"/>
      <c r="B476" s="470"/>
      <c r="C476" s="470"/>
      <c r="D476" s="470"/>
      <c r="E476" s="470"/>
      <c r="F476" s="470"/>
      <c r="G476" s="470"/>
      <c r="H476" s="470"/>
      <c r="I476" s="470"/>
      <c r="J476" s="470"/>
      <c r="K476" s="470"/>
      <c r="L476" s="470"/>
      <c r="M476" s="470"/>
      <c r="N476" s="470"/>
      <c r="O476" s="470"/>
      <c r="P476" s="470"/>
      <c r="Q476" s="470"/>
      <c r="R476" s="470"/>
      <c r="S476" s="470"/>
      <c r="T476" s="470"/>
    </row>
    <row r="477" spans="1:20" x14ac:dyDescent="0.2">
      <c r="A477" s="470"/>
      <c r="B477" s="470"/>
      <c r="C477" s="470"/>
      <c r="D477" s="470"/>
      <c r="E477" s="470"/>
      <c r="F477" s="470"/>
      <c r="G477" s="470"/>
      <c r="H477" s="470"/>
      <c r="I477" s="470"/>
      <c r="J477" s="470"/>
      <c r="K477" s="470"/>
      <c r="L477" s="470"/>
      <c r="M477" s="470"/>
      <c r="N477" s="470"/>
      <c r="O477" s="470"/>
      <c r="P477" s="470"/>
      <c r="Q477" s="470"/>
      <c r="R477" s="470"/>
      <c r="S477" s="470"/>
      <c r="T477" s="470"/>
    </row>
    <row r="478" spans="1:20" x14ac:dyDescent="0.2">
      <c r="A478" s="470"/>
      <c r="B478" s="470"/>
      <c r="C478" s="470"/>
      <c r="D478" s="470"/>
      <c r="E478" s="470"/>
      <c r="F478" s="470"/>
      <c r="G478" s="470"/>
      <c r="H478" s="470"/>
      <c r="I478" s="470"/>
      <c r="J478" s="470"/>
      <c r="K478" s="470"/>
      <c r="L478" s="470"/>
      <c r="M478" s="470"/>
      <c r="N478" s="470"/>
      <c r="O478" s="470"/>
      <c r="P478" s="470"/>
      <c r="Q478" s="470"/>
      <c r="R478" s="470"/>
      <c r="S478" s="470"/>
      <c r="T478" s="470"/>
    </row>
    <row r="479" spans="1:20" x14ac:dyDescent="0.2">
      <c r="A479" s="470"/>
      <c r="B479" s="470"/>
      <c r="C479" s="470"/>
      <c r="D479" s="470"/>
      <c r="E479" s="470"/>
      <c r="F479" s="470"/>
      <c r="G479" s="470"/>
      <c r="H479" s="470"/>
      <c r="I479" s="470"/>
      <c r="J479" s="470"/>
      <c r="K479" s="470"/>
      <c r="L479" s="470"/>
      <c r="M479" s="470"/>
      <c r="N479" s="470"/>
      <c r="O479" s="470"/>
      <c r="P479" s="470"/>
      <c r="Q479" s="470"/>
      <c r="R479" s="470"/>
      <c r="S479" s="470"/>
      <c r="T479" s="470"/>
    </row>
    <row r="480" spans="1:20" x14ac:dyDescent="0.2">
      <c r="A480" s="470"/>
      <c r="B480" s="470"/>
      <c r="C480" s="470"/>
      <c r="D480" s="470"/>
      <c r="E480" s="470"/>
      <c r="F480" s="470"/>
      <c r="G480" s="470"/>
      <c r="H480" s="470"/>
      <c r="I480" s="470"/>
      <c r="J480" s="470"/>
      <c r="K480" s="470"/>
      <c r="L480" s="470"/>
      <c r="M480" s="470"/>
      <c r="N480" s="470"/>
      <c r="O480" s="470"/>
      <c r="P480" s="470"/>
      <c r="Q480" s="470"/>
      <c r="R480" s="470"/>
      <c r="S480" s="470"/>
      <c r="T480" s="470"/>
    </row>
    <row r="481" spans="1:20" x14ac:dyDescent="0.2">
      <c r="A481" s="470"/>
      <c r="B481" s="470"/>
      <c r="C481" s="470"/>
      <c r="D481" s="470"/>
      <c r="E481" s="470"/>
      <c r="F481" s="470"/>
      <c r="G481" s="470"/>
      <c r="H481" s="470"/>
      <c r="I481" s="470"/>
      <c r="J481" s="470"/>
      <c r="K481" s="470"/>
      <c r="L481" s="470"/>
      <c r="M481" s="470"/>
      <c r="N481" s="470"/>
      <c r="O481" s="470"/>
      <c r="P481" s="470"/>
      <c r="Q481" s="470"/>
      <c r="R481" s="470"/>
      <c r="S481" s="470"/>
      <c r="T481" s="470"/>
    </row>
    <row r="482" spans="1:20" x14ac:dyDescent="0.2">
      <c r="A482" s="470"/>
      <c r="B482" s="470"/>
      <c r="C482" s="470"/>
      <c r="D482" s="470"/>
      <c r="E482" s="470"/>
      <c r="F482" s="470"/>
      <c r="G482" s="470"/>
      <c r="H482" s="470"/>
      <c r="I482" s="470"/>
      <c r="J482" s="470"/>
      <c r="K482" s="470"/>
      <c r="L482" s="470"/>
      <c r="M482" s="470"/>
      <c r="N482" s="470"/>
      <c r="O482" s="470"/>
      <c r="P482" s="470"/>
      <c r="Q482" s="470"/>
      <c r="R482" s="470"/>
      <c r="S482" s="470"/>
      <c r="T482" s="470"/>
    </row>
    <row r="483" spans="1:20" x14ac:dyDescent="0.2">
      <c r="A483" s="470"/>
      <c r="B483" s="470"/>
      <c r="C483" s="470"/>
      <c r="D483" s="470"/>
      <c r="E483" s="470"/>
      <c r="F483" s="470"/>
      <c r="G483" s="470"/>
      <c r="H483" s="470"/>
      <c r="I483" s="470"/>
      <c r="J483" s="470"/>
      <c r="K483" s="470"/>
      <c r="L483" s="470"/>
      <c r="M483" s="470"/>
      <c r="N483" s="470"/>
      <c r="O483" s="470"/>
      <c r="P483" s="470"/>
      <c r="Q483" s="470"/>
      <c r="R483" s="470"/>
      <c r="S483" s="470"/>
      <c r="T483" s="470"/>
    </row>
    <row r="484" spans="1:20" x14ac:dyDescent="0.2">
      <c r="A484" s="470"/>
      <c r="B484" s="470"/>
      <c r="C484" s="470"/>
      <c r="D484" s="470"/>
      <c r="E484" s="470"/>
      <c r="F484" s="470"/>
      <c r="G484" s="470"/>
      <c r="H484" s="470"/>
      <c r="I484" s="470"/>
      <c r="J484" s="470"/>
      <c r="K484" s="470"/>
      <c r="L484" s="470"/>
      <c r="M484" s="470"/>
      <c r="N484" s="470"/>
      <c r="O484" s="470"/>
      <c r="P484" s="470"/>
      <c r="Q484" s="470"/>
      <c r="R484" s="470"/>
      <c r="S484" s="470"/>
      <c r="T484" s="470"/>
    </row>
    <row r="485" spans="1:20" x14ac:dyDescent="0.2">
      <c r="A485" s="470"/>
      <c r="B485" s="470"/>
      <c r="C485" s="470"/>
      <c r="D485" s="470"/>
      <c r="E485" s="470"/>
      <c r="F485" s="470"/>
      <c r="G485" s="470"/>
      <c r="H485" s="470"/>
      <c r="I485" s="470"/>
      <c r="J485" s="470"/>
      <c r="K485" s="470"/>
      <c r="L485" s="470"/>
      <c r="M485" s="470"/>
      <c r="N485" s="470"/>
      <c r="O485" s="470"/>
      <c r="P485" s="470"/>
      <c r="Q485" s="470"/>
      <c r="R485" s="470"/>
      <c r="S485" s="470"/>
      <c r="T485" s="470"/>
    </row>
    <row r="486" spans="1:20" x14ac:dyDescent="0.2">
      <c r="A486" s="470"/>
      <c r="B486" s="470"/>
      <c r="C486" s="470"/>
      <c r="D486" s="470"/>
      <c r="E486" s="470"/>
      <c r="F486" s="470"/>
      <c r="G486" s="470"/>
      <c r="H486" s="470"/>
      <c r="I486" s="470"/>
      <c r="J486" s="470"/>
      <c r="K486" s="470"/>
      <c r="L486" s="470"/>
      <c r="M486" s="470"/>
      <c r="N486" s="470"/>
      <c r="O486" s="470"/>
      <c r="P486" s="470"/>
      <c r="Q486" s="470"/>
      <c r="R486" s="470"/>
      <c r="S486" s="470"/>
      <c r="T486" s="470"/>
    </row>
    <row r="487" spans="1:20" x14ac:dyDescent="0.2">
      <c r="A487" s="470"/>
      <c r="B487" s="470"/>
      <c r="C487" s="470"/>
      <c r="D487" s="470"/>
      <c r="E487" s="470"/>
      <c r="F487" s="470"/>
      <c r="G487" s="470"/>
      <c r="H487" s="470"/>
      <c r="I487" s="470"/>
      <c r="J487" s="470"/>
      <c r="K487" s="470"/>
      <c r="L487" s="470"/>
      <c r="M487" s="470"/>
      <c r="N487" s="470"/>
      <c r="O487" s="470"/>
      <c r="P487" s="470"/>
      <c r="Q487" s="470"/>
      <c r="R487" s="470"/>
      <c r="S487" s="470"/>
      <c r="T487" s="470"/>
    </row>
    <row r="488" spans="1:20" x14ac:dyDescent="0.2">
      <c r="A488" s="470"/>
      <c r="B488" s="470"/>
      <c r="C488" s="470"/>
      <c r="D488" s="470"/>
      <c r="E488" s="470"/>
      <c r="F488" s="470"/>
      <c r="G488" s="470"/>
      <c r="H488" s="470"/>
      <c r="I488" s="470"/>
      <c r="J488" s="470"/>
      <c r="K488" s="470"/>
      <c r="L488" s="470"/>
      <c r="M488" s="470"/>
      <c r="N488" s="470"/>
      <c r="O488" s="470"/>
      <c r="P488" s="470"/>
      <c r="Q488" s="470"/>
      <c r="R488" s="470"/>
      <c r="S488" s="470"/>
      <c r="T488" s="470"/>
    </row>
    <row r="489" spans="1:20" x14ac:dyDescent="0.2">
      <c r="A489" s="470"/>
      <c r="B489" s="470"/>
      <c r="C489" s="470"/>
      <c r="D489" s="470"/>
      <c r="E489" s="470"/>
      <c r="F489" s="470"/>
      <c r="G489" s="470"/>
      <c r="H489" s="470"/>
      <c r="I489" s="470"/>
      <c r="J489" s="470"/>
      <c r="K489" s="470"/>
      <c r="L489" s="470"/>
      <c r="M489" s="470"/>
      <c r="N489" s="470"/>
      <c r="O489" s="470"/>
      <c r="P489" s="470"/>
      <c r="Q489" s="470"/>
      <c r="R489" s="470"/>
      <c r="S489" s="470"/>
      <c r="T489" s="470"/>
    </row>
    <row r="490" spans="1:20" x14ac:dyDescent="0.2">
      <c r="A490" s="470"/>
      <c r="B490" s="470"/>
      <c r="C490" s="470"/>
      <c r="D490" s="470"/>
      <c r="E490" s="470"/>
      <c r="F490" s="470"/>
      <c r="G490" s="470"/>
      <c r="H490" s="470"/>
      <c r="I490" s="470"/>
      <c r="J490" s="470"/>
      <c r="K490" s="470"/>
      <c r="L490" s="470"/>
      <c r="M490" s="470"/>
      <c r="N490" s="470"/>
      <c r="O490" s="470"/>
      <c r="P490" s="470"/>
      <c r="Q490" s="470"/>
      <c r="R490" s="470"/>
      <c r="S490" s="470"/>
      <c r="T490" s="470"/>
    </row>
    <row r="491" spans="1:20" x14ac:dyDescent="0.2">
      <c r="A491" s="470"/>
      <c r="B491" s="470"/>
      <c r="C491" s="470"/>
      <c r="D491" s="470"/>
      <c r="E491" s="470"/>
      <c r="F491" s="470"/>
      <c r="G491" s="470"/>
      <c r="H491" s="470"/>
      <c r="I491" s="470"/>
      <c r="J491" s="470"/>
      <c r="K491" s="470"/>
      <c r="L491" s="470"/>
      <c r="M491" s="470"/>
      <c r="N491" s="470"/>
      <c r="O491" s="470"/>
      <c r="P491" s="470"/>
      <c r="Q491" s="470"/>
      <c r="R491" s="470"/>
      <c r="S491" s="470"/>
      <c r="T491" s="470"/>
    </row>
    <row r="492" spans="1:20" x14ac:dyDescent="0.2">
      <c r="A492" s="470"/>
      <c r="B492" s="470"/>
      <c r="C492" s="470"/>
      <c r="D492" s="470"/>
      <c r="E492" s="470"/>
      <c r="F492" s="470"/>
      <c r="G492" s="470"/>
      <c r="H492" s="470"/>
      <c r="I492" s="470"/>
      <c r="J492" s="470"/>
      <c r="K492" s="470"/>
      <c r="L492" s="470"/>
      <c r="M492" s="470"/>
      <c r="N492" s="470"/>
      <c r="O492" s="470"/>
      <c r="P492" s="470"/>
      <c r="Q492" s="470"/>
      <c r="R492" s="470"/>
      <c r="S492" s="470"/>
      <c r="T492" s="470"/>
    </row>
    <row r="493" spans="1:20" x14ac:dyDescent="0.2">
      <c r="A493" s="470"/>
      <c r="B493" s="470"/>
      <c r="C493" s="470"/>
      <c r="D493" s="470"/>
      <c r="E493" s="470"/>
      <c r="F493" s="470"/>
      <c r="G493" s="470"/>
      <c r="H493" s="470"/>
      <c r="I493" s="470"/>
      <c r="J493" s="470"/>
      <c r="K493" s="470"/>
      <c r="L493" s="470"/>
      <c r="M493" s="470"/>
      <c r="N493" s="470"/>
      <c r="O493" s="470"/>
      <c r="P493" s="470"/>
      <c r="Q493" s="470"/>
      <c r="R493" s="470"/>
      <c r="S493" s="470"/>
      <c r="T493" s="470"/>
    </row>
    <row r="494" spans="1:20" x14ac:dyDescent="0.2">
      <c r="A494" s="470"/>
      <c r="B494" s="470"/>
      <c r="C494" s="470"/>
      <c r="D494" s="470"/>
      <c r="E494" s="470"/>
      <c r="F494" s="470"/>
      <c r="G494" s="470"/>
      <c r="H494" s="470"/>
      <c r="I494" s="470"/>
      <c r="J494" s="470"/>
      <c r="K494" s="470"/>
      <c r="L494" s="470"/>
      <c r="M494" s="470"/>
      <c r="N494" s="470"/>
      <c r="O494" s="470"/>
      <c r="P494" s="470"/>
      <c r="Q494" s="470"/>
      <c r="R494" s="470"/>
      <c r="S494" s="470"/>
      <c r="T494" s="470"/>
    </row>
    <row r="495" spans="1:20" x14ac:dyDescent="0.2">
      <c r="A495" s="470"/>
      <c r="B495" s="470"/>
      <c r="C495" s="470"/>
      <c r="D495" s="470"/>
      <c r="E495" s="470"/>
      <c r="F495" s="470"/>
      <c r="G495" s="470"/>
      <c r="H495" s="470"/>
      <c r="I495" s="470"/>
      <c r="J495" s="470"/>
      <c r="K495" s="470"/>
      <c r="L495" s="470"/>
      <c r="M495" s="470"/>
      <c r="N495" s="470"/>
      <c r="O495" s="470"/>
      <c r="P495" s="470"/>
      <c r="Q495" s="470"/>
      <c r="R495" s="470"/>
      <c r="S495" s="470"/>
      <c r="T495" s="470"/>
    </row>
    <row r="496" spans="1:20" x14ac:dyDescent="0.2">
      <c r="A496" s="470"/>
      <c r="B496" s="470"/>
      <c r="C496" s="470"/>
      <c r="D496" s="470"/>
      <c r="E496" s="470"/>
      <c r="F496" s="470"/>
      <c r="G496" s="470"/>
      <c r="H496" s="470"/>
      <c r="I496" s="470"/>
      <c r="J496" s="470"/>
      <c r="K496" s="470"/>
      <c r="L496" s="470"/>
      <c r="M496" s="470"/>
      <c r="N496" s="470"/>
      <c r="O496" s="470"/>
      <c r="P496" s="470"/>
      <c r="Q496" s="470"/>
      <c r="R496" s="470"/>
      <c r="S496" s="470"/>
      <c r="T496" s="470"/>
    </row>
    <row r="497" spans="1:20" x14ac:dyDescent="0.2">
      <c r="A497" s="470"/>
      <c r="B497" s="470"/>
      <c r="C497" s="470"/>
      <c r="D497" s="470"/>
      <c r="E497" s="470"/>
      <c r="F497" s="470"/>
      <c r="G497" s="470"/>
      <c r="H497" s="470"/>
      <c r="I497" s="470"/>
      <c r="J497" s="470"/>
      <c r="K497" s="470"/>
      <c r="L497" s="470"/>
      <c r="M497" s="470"/>
      <c r="N497" s="470"/>
      <c r="O497" s="470"/>
      <c r="P497" s="470"/>
      <c r="Q497" s="470"/>
      <c r="R497" s="470"/>
      <c r="S497" s="470"/>
      <c r="T497" s="470"/>
    </row>
    <row r="498" spans="1:20" x14ac:dyDescent="0.2">
      <c r="A498" s="470"/>
      <c r="B498" s="470"/>
      <c r="C498" s="470"/>
      <c r="D498" s="470"/>
      <c r="E498" s="470"/>
      <c r="F498" s="470"/>
      <c r="G498" s="470"/>
      <c r="H498" s="470"/>
      <c r="I498" s="470"/>
      <c r="J498" s="470"/>
      <c r="K498" s="470"/>
      <c r="L498" s="470"/>
      <c r="M498" s="470"/>
      <c r="N498" s="470"/>
      <c r="O498" s="470"/>
      <c r="P498" s="470"/>
      <c r="Q498" s="470"/>
      <c r="R498" s="470"/>
      <c r="S498" s="470"/>
      <c r="T498" s="470"/>
    </row>
    <row r="499" spans="1:20" x14ac:dyDescent="0.2">
      <c r="A499" s="470"/>
      <c r="B499" s="470"/>
      <c r="C499" s="470"/>
      <c r="D499" s="470"/>
      <c r="E499" s="470"/>
      <c r="F499" s="470"/>
      <c r="G499" s="470"/>
      <c r="H499" s="470"/>
      <c r="I499" s="470"/>
      <c r="J499" s="470"/>
      <c r="K499" s="470"/>
      <c r="L499" s="470"/>
      <c r="M499" s="470"/>
      <c r="N499" s="470"/>
      <c r="O499" s="470"/>
      <c r="P499" s="470"/>
      <c r="Q499" s="470"/>
      <c r="R499" s="470"/>
      <c r="S499" s="470"/>
      <c r="T499" s="470"/>
    </row>
    <row r="500" spans="1:20" x14ac:dyDescent="0.2">
      <c r="A500" s="470"/>
      <c r="B500" s="470"/>
      <c r="C500" s="470"/>
      <c r="D500" s="470"/>
      <c r="E500" s="470"/>
      <c r="F500" s="470"/>
      <c r="G500" s="470"/>
      <c r="H500" s="470"/>
      <c r="I500" s="470"/>
      <c r="J500" s="470"/>
      <c r="K500" s="470"/>
      <c r="L500" s="470"/>
      <c r="M500" s="470"/>
      <c r="N500" s="470"/>
      <c r="O500" s="470"/>
      <c r="P500" s="470"/>
      <c r="Q500" s="470"/>
      <c r="R500" s="470"/>
      <c r="S500" s="470"/>
      <c r="T500" s="470"/>
    </row>
    <row r="501" spans="1:20" x14ac:dyDescent="0.2">
      <c r="A501" s="470"/>
      <c r="B501" s="470"/>
      <c r="C501" s="470"/>
      <c r="D501" s="470"/>
      <c r="E501" s="470"/>
      <c r="F501" s="470"/>
      <c r="G501" s="470"/>
      <c r="H501" s="470"/>
      <c r="I501" s="470"/>
      <c r="J501" s="470"/>
      <c r="K501" s="470"/>
      <c r="L501" s="470"/>
      <c r="M501" s="470"/>
      <c r="N501" s="470"/>
      <c r="O501" s="470"/>
      <c r="P501" s="470"/>
      <c r="Q501" s="470"/>
      <c r="R501" s="470"/>
      <c r="S501" s="470"/>
      <c r="T501" s="470"/>
    </row>
    <row r="502" spans="1:20" x14ac:dyDescent="0.2">
      <c r="A502" s="470"/>
      <c r="B502" s="470"/>
      <c r="C502" s="470"/>
      <c r="D502" s="470"/>
      <c r="E502" s="470"/>
      <c r="F502" s="470"/>
      <c r="G502" s="470"/>
      <c r="H502" s="470"/>
      <c r="I502" s="470"/>
      <c r="J502" s="470"/>
      <c r="K502" s="470"/>
      <c r="L502" s="470"/>
      <c r="M502" s="470"/>
      <c r="N502" s="470"/>
      <c r="O502" s="470"/>
      <c r="P502" s="470"/>
      <c r="Q502" s="470"/>
      <c r="R502" s="470"/>
      <c r="S502" s="470"/>
      <c r="T502" s="470"/>
    </row>
    <row r="503" spans="1:20" x14ac:dyDescent="0.2">
      <c r="A503" s="470"/>
      <c r="B503" s="470"/>
      <c r="C503" s="470"/>
      <c r="D503" s="470"/>
      <c r="E503" s="470"/>
      <c r="F503" s="470"/>
      <c r="G503" s="470"/>
      <c r="H503" s="470"/>
      <c r="I503" s="470"/>
      <c r="J503" s="470"/>
      <c r="K503" s="470"/>
      <c r="L503" s="470"/>
      <c r="M503" s="470"/>
      <c r="N503" s="470"/>
      <c r="O503" s="470"/>
      <c r="P503" s="470"/>
      <c r="Q503" s="470"/>
      <c r="R503" s="470"/>
      <c r="S503" s="470"/>
      <c r="T503" s="470"/>
    </row>
    <row r="504" spans="1:20" x14ac:dyDescent="0.2">
      <c r="A504" s="470"/>
      <c r="B504" s="470"/>
      <c r="C504" s="470"/>
      <c r="D504" s="470"/>
      <c r="E504" s="470"/>
      <c r="F504" s="470"/>
      <c r="G504" s="470"/>
      <c r="H504" s="470"/>
      <c r="I504" s="470"/>
      <c r="J504" s="470"/>
      <c r="K504" s="470"/>
      <c r="L504" s="470"/>
      <c r="M504" s="470"/>
      <c r="N504" s="470"/>
      <c r="O504" s="470"/>
      <c r="P504" s="470"/>
      <c r="Q504" s="470"/>
      <c r="R504" s="470"/>
      <c r="S504" s="470"/>
      <c r="T504" s="470"/>
    </row>
    <row r="505" spans="1:20" x14ac:dyDescent="0.2">
      <c r="A505" s="470"/>
      <c r="B505" s="470"/>
      <c r="C505" s="470"/>
      <c r="D505" s="470"/>
      <c r="E505" s="470"/>
      <c r="F505" s="470"/>
      <c r="G505" s="470"/>
      <c r="H505" s="470"/>
      <c r="I505" s="470"/>
      <c r="J505" s="470"/>
      <c r="K505" s="470"/>
      <c r="L505" s="470"/>
      <c r="M505" s="470"/>
      <c r="N505" s="470"/>
      <c r="O505" s="470"/>
      <c r="P505" s="470"/>
      <c r="Q505" s="470"/>
      <c r="R505" s="470"/>
      <c r="S505" s="470"/>
      <c r="T505" s="470"/>
    </row>
    <row r="506" spans="1:20" x14ac:dyDescent="0.2">
      <c r="A506" s="470"/>
      <c r="B506" s="470"/>
      <c r="C506" s="470"/>
      <c r="D506" s="470"/>
      <c r="E506" s="470"/>
      <c r="F506" s="470"/>
      <c r="G506" s="470"/>
      <c r="H506" s="470"/>
      <c r="I506" s="470"/>
      <c r="J506" s="470"/>
      <c r="K506" s="470"/>
      <c r="L506" s="470"/>
      <c r="M506" s="470"/>
      <c r="N506" s="470"/>
      <c r="O506" s="470"/>
      <c r="P506" s="470"/>
      <c r="Q506" s="470"/>
      <c r="R506" s="470"/>
      <c r="S506" s="470"/>
      <c r="T506" s="470"/>
    </row>
    <row r="507" spans="1:20" x14ac:dyDescent="0.2">
      <c r="A507" s="470"/>
      <c r="B507" s="470"/>
      <c r="C507" s="470"/>
      <c r="D507" s="470"/>
      <c r="E507" s="470"/>
      <c r="F507" s="470"/>
      <c r="G507" s="470"/>
      <c r="H507" s="470"/>
      <c r="I507" s="470"/>
      <c r="J507" s="470"/>
      <c r="K507" s="470"/>
      <c r="L507" s="470"/>
      <c r="M507" s="470"/>
      <c r="N507" s="470"/>
      <c r="O507" s="470"/>
      <c r="P507" s="470"/>
      <c r="Q507" s="470"/>
      <c r="R507" s="470"/>
      <c r="S507" s="470"/>
      <c r="T507" s="470"/>
    </row>
    <row r="508" spans="1:20" x14ac:dyDescent="0.2">
      <c r="A508" s="470"/>
      <c r="B508" s="470"/>
      <c r="C508" s="470"/>
      <c r="D508" s="470"/>
      <c r="E508" s="470"/>
      <c r="F508" s="470"/>
      <c r="G508" s="470"/>
      <c r="H508" s="470"/>
      <c r="I508" s="470"/>
      <c r="J508" s="470"/>
      <c r="K508" s="470"/>
      <c r="L508" s="470"/>
      <c r="M508" s="470"/>
      <c r="N508" s="470"/>
      <c r="O508" s="470"/>
      <c r="P508" s="470"/>
      <c r="Q508" s="470"/>
      <c r="R508" s="470"/>
      <c r="S508" s="470"/>
      <c r="T508" s="470"/>
    </row>
    <row r="509" spans="1:20" x14ac:dyDescent="0.2">
      <c r="A509" s="470"/>
      <c r="B509" s="470"/>
      <c r="C509" s="470"/>
      <c r="D509" s="470"/>
      <c r="E509" s="470"/>
      <c r="F509" s="470"/>
      <c r="G509" s="470"/>
      <c r="H509" s="470"/>
      <c r="I509" s="470"/>
      <c r="J509" s="470"/>
      <c r="K509" s="470"/>
      <c r="L509" s="470"/>
      <c r="M509" s="470"/>
      <c r="N509" s="470"/>
      <c r="O509" s="470"/>
      <c r="P509" s="470"/>
      <c r="Q509" s="470"/>
      <c r="R509" s="470"/>
      <c r="S509" s="470"/>
      <c r="T509" s="470"/>
    </row>
    <row r="510" spans="1:20" x14ac:dyDescent="0.2">
      <c r="A510" s="470"/>
      <c r="B510" s="470"/>
      <c r="C510" s="470"/>
      <c r="D510" s="470"/>
      <c r="E510" s="470"/>
      <c r="F510" s="470"/>
      <c r="G510" s="470"/>
      <c r="H510" s="470"/>
      <c r="I510" s="470"/>
      <c r="J510" s="470"/>
      <c r="K510" s="470"/>
      <c r="L510" s="470"/>
      <c r="M510" s="470"/>
      <c r="N510" s="470"/>
      <c r="O510" s="470"/>
      <c r="P510" s="470"/>
      <c r="Q510" s="470"/>
      <c r="R510" s="470"/>
      <c r="S510" s="470"/>
      <c r="T510" s="470"/>
    </row>
    <row r="511" spans="1:20" x14ac:dyDescent="0.2">
      <c r="A511" s="470"/>
      <c r="B511" s="470"/>
      <c r="C511" s="470"/>
      <c r="D511" s="470"/>
      <c r="E511" s="470"/>
      <c r="F511" s="470"/>
      <c r="G511" s="470"/>
      <c r="H511" s="470"/>
      <c r="I511" s="470"/>
      <c r="J511" s="470"/>
      <c r="K511" s="470"/>
      <c r="L511" s="470"/>
      <c r="M511" s="470"/>
      <c r="N511" s="470"/>
      <c r="O511" s="470"/>
      <c r="P511" s="470"/>
      <c r="Q511" s="470"/>
      <c r="R511" s="470"/>
      <c r="S511" s="470"/>
      <c r="T511" s="470"/>
    </row>
    <row r="512" spans="1:20" x14ac:dyDescent="0.2">
      <c r="A512" s="470"/>
      <c r="B512" s="470"/>
      <c r="C512" s="470"/>
      <c r="D512" s="470"/>
      <c r="E512" s="470"/>
      <c r="F512" s="470"/>
      <c r="G512" s="470"/>
      <c r="H512" s="470"/>
      <c r="I512" s="470"/>
      <c r="J512" s="470"/>
      <c r="K512" s="470"/>
      <c r="L512" s="470"/>
      <c r="M512" s="470"/>
      <c r="N512" s="470"/>
      <c r="O512" s="470"/>
      <c r="P512" s="470"/>
      <c r="Q512" s="470"/>
      <c r="R512" s="470"/>
      <c r="S512" s="470"/>
      <c r="T512" s="470"/>
    </row>
    <row r="513" spans="1:20" x14ac:dyDescent="0.2">
      <c r="A513" s="470"/>
      <c r="B513" s="470"/>
      <c r="C513" s="470"/>
      <c r="D513" s="470"/>
      <c r="E513" s="470"/>
      <c r="F513" s="470"/>
      <c r="G513" s="470"/>
      <c r="H513" s="470"/>
      <c r="I513" s="470"/>
      <c r="J513" s="470"/>
      <c r="K513" s="470"/>
      <c r="L513" s="470"/>
      <c r="M513" s="470"/>
      <c r="N513" s="470"/>
      <c r="O513" s="470"/>
      <c r="P513" s="470"/>
      <c r="Q513" s="470"/>
      <c r="R513" s="470"/>
      <c r="S513" s="470"/>
      <c r="T513" s="470"/>
    </row>
    <row r="514" spans="1:20" x14ac:dyDescent="0.2">
      <c r="A514" s="470"/>
      <c r="B514" s="470"/>
      <c r="C514" s="470"/>
      <c r="D514" s="470"/>
      <c r="E514" s="470"/>
      <c r="F514" s="470"/>
      <c r="G514" s="470"/>
      <c r="H514" s="470"/>
      <c r="I514" s="470"/>
      <c r="J514" s="470"/>
      <c r="K514" s="470"/>
      <c r="L514" s="470"/>
      <c r="M514" s="470"/>
      <c r="N514" s="470"/>
      <c r="O514" s="470"/>
      <c r="P514" s="470"/>
      <c r="Q514" s="470"/>
      <c r="R514" s="470"/>
      <c r="S514" s="470"/>
      <c r="T514" s="470"/>
    </row>
    <row r="515" spans="1:20" x14ac:dyDescent="0.2">
      <c r="A515" s="470"/>
      <c r="B515" s="470"/>
      <c r="C515" s="470"/>
      <c r="D515" s="470"/>
      <c r="E515" s="470"/>
      <c r="F515" s="470"/>
      <c r="G515" s="470"/>
      <c r="H515" s="470"/>
      <c r="I515" s="470"/>
      <c r="J515" s="470"/>
      <c r="K515" s="470"/>
      <c r="L515" s="470"/>
      <c r="M515" s="470"/>
      <c r="N515" s="470"/>
      <c r="O515" s="470"/>
      <c r="P515" s="470"/>
      <c r="Q515" s="470"/>
      <c r="R515" s="470"/>
      <c r="S515" s="470"/>
      <c r="T515" s="470"/>
    </row>
    <row r="516" spans="1:20" x14ac:dyDescent="0.2">
      <c r="A516" s="470"/>
      <c r="B516" s="470"/>
      <c r="C516" s="470"/>
      <c r="D516" s="470"/>
      <c r="E516" s="470"/>
      <c r="F516" s="470"/>
      <c r="G516" s="470"/>
      <c r="H516" s="470"/>
      <c r="I516" s="470"/>
      <c r="J516" s="470"/>
      <c r="K516" s="470"/>
      <c r="L516" s="470"/>
      <c r="M516" s="470"/>
      <c r="N516" s="470"/>
      <c r="O516" s="470"/>
      <c r="P516" s="470"/>
      <c r="Q516" s="470"/>
      <c r="R516" s="470"/>
      <c r="S516" s="470"/>
      <c r="T516" s="470"/>
    </row>
    <row r="517" spans="1:20" x14ac:dyDescent="0.2">
      <c r="A517" s="470"/>
      <c r="B517" s="470"/>
      <c r="C517" s="470"/>
      <c r="D517" s="470"/>
      <c r="E517" s="470"/>
      <c r="F517" s="470"/>
      <c r="G517" s="470"/>
      <c r="H517" s="470"/>
      <c r="I517" s="470"/>
      <c r="J517" s="470"/>
      <c r="K517" s="470"/>
      <c r="L517" s="470"/>
      <c r="M517" s="470"/>
      <c r="N517" s="470"/>
      <c r="O517" s="470"/>
      <c r="P517" s="470"/>
      <c r="Q517" s="470"/>
      <c r="R517" s="470"/>
      <c r="S517" s="470"/>
      <c r="T517" s="470"/>
    </row>
    <row r="518" spans="1:20" x14ac:dyDescent="0.2">
      <c r="A518" s="470"/>
      <c r="B518" s="470"/>
      <c r="C518" s="470"/>
      <c r="D518" s="470"/>
      <c r="E518" s="470"/>
      <c r="F518" s="470"/>
      <c r="G518" s="470"/>
      <c r="H518" s="470"/>
      <c r="I518" s="470"/>
      <c r="J518" s="470"/>
      <c r="K518" s="470"/>
      <c r="L518" s="470"/>
      <c r="M518" s="470"/>
      <c r="N518" s="470"/>
      <c r="O518" s="470"/>
      <c r="P518" s="470"/>
      <c r="Q518" s="470"/>
      <c r="R518" s="470"/>
      <c r="S518" s="470"/>
      <c r="T518" s="470"/>
    </row>
    <row r="519" spans="1:20" x14ac:dyDescent="0.2">
      <c r="A519" s="470"/>
      <c r="B519" s="470"/>
      <c r="C519" s="470"/>
      <c r="D519" s="470"/>
      <c r="E519" s="470"/>
      <c r="F519" s="470"/>
      <c r="G519" s="470"/>
      <c r="H519" s="470"/>
      <c r="I519" s="470"/>
      <c r="J519" s="470"/>
      <c r="K519" s="470"/>
      <c r="L519" s="470"/>
      <c r="M519" s="470"/>
      <c r="N519" s="470"/>
      <c r="O519" s="470"/>
      <c r="P519" s="470"/>
      <c r="Q519" s="470"/>
      <c r="R519" s="470"/>
      <c r="S519" s="470"/>
      <c r="T519" s="470"/>
    </row>
    <row r="520" spans="1:20" x14ac:dyDescent="0.2">
      <c r="A520" s="470"/>
      <c r="B520" s="470"/>
      <c r="C520" s="470"/>
      <c r="D520" s="470"/>
      <c r="E520" s="470"/>
      <c r="F520" s="470"/>
      <c r="G520" s="470"/>
      <c r="H520" s="470"/>
      <c r="I520" s="470"/>
      <c r="J520" s="470"/>
      <c r="K520" s="470"/>
      <c r="L520" s="470"/>
      <c r="M520" s="470"/>
      <c r="N520" s="470"/>
      <c r="O520" s="470"/>
      <c r="P520" s="470"/>
      <c r="Q520" s="470"/>
      <c r="R520" s="470"/>
      <c r="S520" s="470"/>
      <c r="T520" s="470"/>
    </row>
    <row r="521" spans="1:20" x14ac:dyDescent="0.2">
      <c r="A521" s="470"/>
      <c r="B521" s="470"/>
      <c r="C521" s="470"/>
      <c r="D521" s="470"/>
      <c r="E521" s="470"/>
      <c r="F521" s="470"/>
      <c r="G521" s="470"/>
      <c r="H521" s="470"/>
      <c r="I521" s="470"/>
      <c r="J521" s="470"/>
      <c r="K521" s="470"/>
      <c r="L521" s="470"/>
      <c r="M521" s="470"/>
      <c r="N521" s="470"/>
      <c r="O521" s="470"/>
      <c r="P521" s="470"/>
      <c r="Q521" s="470"/>
      <c r="R521" s="470"/>
      <c r="S521" s="470"/>
      <c r="T521" s="470"/>
    </row>
    <row r="522" spans="1:20" x14ac:dyDescent="0.2">
      <c r="A522" s="470"/>
      <c r="B522" s="470"/>
      <c r="C522" s="470"/>
      <c r="D522" s="470"/>
      <c r="E522" s="470"/>
      <c r="F522" s="470"/>
      <c r="G522" s="470"/>
      <c r="H522" s="470"/>
      <c r="I522" s="470"/>
      <c r="J522" s="470"/>
      <c r="K522" s="470"/>
      <c r="L522" s="470"/>
      <c r="M522" s="470"/>
      <c r="N522" s="470"/>
      <c r="O522" s="470"/>
      <c r="P522" s="470"/>
      <c r="Q522" s="470"/>
      <c r="R522" s="470"/>
      <c r="S522" s="470"/>
      <c r="T522" s="470"/>
    </row>
    <row r="523" spans="1:20" x14ac:dyDescent="0.2">
      <c r="A523" s="470"/>
      <c r="B523" s="470"/>
      <c r="C523" s="470"/>
      <c r="D523" s="470"/>
      <c r="E523" s="470"/>
      <c r="F523" s="470"/>
      <c r="G523" s="470"/>
      <c r="H523" s="470"/>
      <c r="I523" s="470"/>
      <c r="J523" s="470"/>
      <c r="K523" s="470"/>
      <c r="L523" s="470"/>
      <c r="M523" s="470"/>
      <c r="N523" s="470"/>
      <c r="O523" s="470"/>
      <c r="P523" s="470"/>
      <c r="Q523" s="470"/>
      <c r="R523" s="470"/>
      <c r="S523" s="470"/>
      <c r="T523" s="470"/>
    </row>
    <row r="524" spans="1:20" x14ac:dyDescent="0.2">
      <c r="A524" s="470"/>
      <c r="B524" s="470"/>
      <c r="C524" s="470"/>
      <c r="D524" s="470"/>
      <c r="E524" s="470"/>
      <c r="F524" s="470"/>
      <c r="G524" s="470"/>
      <c r="H524" s="470"/>
      <c r="I524" s="470"/>
      <c r="J524" s="470"/>
      <c r="K524" s="470"/>
      <c r="L524" s="470"/>
      <c r="M524" s="470"/>
      <c r="N524" s="470"/>
      <c r="O524" s="470"/>
      <c r="P524" s="470"/>
      <c r="Q524" s="470"/>
      <c r="R524" s="470"/>
      <c r="S524" s="470"/>
      <c r="T524" s="470"/>
    </row>
    <row r="525" spans="1:20" x14ac:dyDescent="0.2">
      <c r="A525" s="470"/>
      <c r="B525" s="470"/>
      <c r="C525" s="470"/>
      <c r="D525" s="470"/>
      <c r="E525" s="470"/>
      <c r="F525" s="470"/>
      <c r="G525" s="470"/>
      <c r="H525" s="470"/>
      <c r="I525" s="470"/>
      <c r="J525" s="470"/>
      <c r="K525" s="470"/>
      <c r="L525" s="470"/>
      <c r="M525" s="470"/>
      <c r="N525" s="470"/>
      <c r="O525" s="470"/>
      <c r="P525" s="470"/>
      <c r="Q525" s="470"/>
      <c r="R525" s="470"/>
      <c r="S525" s="470"/>
      <c r="T525" s="470"/>
    </row>
    <row r="526" spans="1:20" x14ac:dyDescent="0.2">
      <c r="A526" s="470"/>
      <c r="B526" s="470"/>
      <c r="C526" s="470"/>
      <c r="D526" s="470"/>
      <c r="E526" s="470"/>
      <c r="F526" s="470"/>
      <c r="G526" s="470"/>
      <c r="H526" s="470"/>
      <c r="I526" s="470"/>
      <c r="J526" s="470"/>
      <c r="K526" s="470"/>
      <c r="L526" s="470"/>
      <c r="M526" s="470"/>
      <c r="N526" s="470"/>
      <c r="O526" s="470"/>
      <c r="P526" s="470"/>
      <c r="Q526" s="470"/>
      <c r="R526" s="470"/>
      <c r="S526" s="470"/>
      <c r="T526" s="470"/>
    </row>
    <row r="527" spans="1:20" x14ac:dyDescent="0.2">
      <c r="A527" s="470"/>
      <c r="B527" s="470"/>
      <c r="C527" s="470"/>
      <c r="D527" s="470"/>
      <c r="E527" s="470"/>
      <c r="F527" s="470"/>
      <c r="G527" s="470"/>
      <c r="H527" s="470"/>
      <c r="I527" s="470"/>
      <c r="J527" s="470"/>
      <c r="K527" s="470"/>
      <c r="L527" s="470"/>
      <c r="M527" s="470"/>
      <c r="N527" s="470"/>
      <c r="O527" s="470"/>
      <c r="P527" s="470"/>
      <c r="Q527" s="470"/>
      <c r="R527" s="470"/>
      <c r="S527" s="470"/>
      <c r="T527" s="470"/>
    </row>
    <row r="528" spans="1:20" x14ac:dyDescent="0.2">
      <c r="A528" s="470"/>
      <c r="B528" s="470"/>
      <c r="C528" s="470"/>
      <c r="D528" s="470"/>
      <c r="E528" s="470"/>
      <c r="F528" s="470"/>
      <c r="G528" s="470"/>
      <c r="H528" s="470"/>
      <c r="I528" s="470"/>
      <c r="J528" s="470"/>
      <c r="K528" s="470"/>
      <c r="L528" s="470"/>
      <c r="M528" s="470"/>
      <c r="N528" s="470"/>
      <c r="O528" s="470"/>
      <c r="P528" s="470"/>
      <c r="Q528" s="470"/>
      <c r="R528" s="470"/>
      <c r="S528" s="470"/>
      <c r="T528" s="470"/>
    </row>
    <row r="529" spans="1:20" x14ac:dyDescent="0.2">
      <c r="A529" s="470"/>
      <c r="B529" s="470"/>
      <c r="C529" s="470"/>
      <c r="D529" s="470"/>
      <c r="E529" s="470"/>
      <c r="F529" s="470"/>
      <c r="G529" s="470"/>
      <c r="H529" s="470"/>
      <c r="I529" s="470"/>
      <c r="J529" s="470"/>
      <c r="K529" s="470"/>
      <c r="L529" s="470"/>
      <c r="M529" s="470"/>
      <c r="N529" s="470"/>
      <c r="O529" s="470"/>
      <c r="P529" s="470"/>
      <c r="Q529" s="470"/>
      <c r="R529" s="470"/>
      <c r="S529" s="470"/>
      <c r="T529" s="470"/>
    </row>
    <row r="530" spans="1:20" x14ac:dyDescent="0.2">
      <c r="A530" s="470"/>
      <c r="B530" s="470"/>
      <c r="C530" s="470"/>
      <c r="D530" s="470"/>
      <c r="E530" s="470"/>
      <c r="F530" s="470"/>
      <c r="G530" s="470"/>
      <c r="H530" s="470"/>
      <c r="I530" s="470"/>
      <c r="J530" s="470"/>
      <c r="K530" s="470"/>
      <c r="L530" s="470"/>
      <c r="M530" s="470"/>
      <c r="N530" s="470"/>
      <c r="O530" s="470"/>
      <c r="P530" s="470"/>
      <c r="Q530" s="470"/>
      <c r="R530" s="470"/>
      <c r="S530" s="470"/>
      <c r="T530" s="470"/>
    </row>
    <row r="531" spans="1:20" x14ac:dyDescent="0.2">
      <c r="A531" s="470"/>
      <c r="B531" s="470"/>
      <c r="C531" s="470"/>
      <c r="D531" s="470"/>
      <c r="E531" s="470"/>
      <c r="F531" s="470"/>
      <c r="G531" s="470"/>
      <c r="H531" s="470"/>
      <c r="I531" s="470"/>
      <c r="J531" s="470"/>
      <c r="K531" s="470"/>
      <c r="L531" s="470"/>
      <c r="M531" s="470"/>
      <c r="N531" s="470"/>
      <c r="O531" s="470"/>
      <c r="P531" s="470"/>
      <c r="Q531" s="470"/>
      <c r="R531" s="470"/>
      <c r="S531" s="470"/>
      <c r="T531" s="470"/>
    </row>
    <row r="532" spans="1:20" x14ac:dyDescent="0.2">
      <c r="A532" s="470"/>
      <c r="B532" s="470"/>
      <c r="C532" s="470"/>
      <c r="D532" s="470"/>
      <c r="E532" s="470"/>
      <c r="F532" s="470"/>
      <c r="G532" s="470"/>
      <c r="H532" s="470"/>
      <c r="I532" s="470"/>
      <c r="J532" s="470"/>
      <c r="K532" s="470"/>
      <c r="L532" s="470"/>
      <c r="M532" s="470"/>
      <c r="N532" s="470"/>
      <c r="O532" s="470"/>
      <c r="P532" s="470"/>
      <c r="Q532" s="470"/>
      <c r="R532" s="470"/>
      <c r="S532" s="470"/>
      <c r="T532" s="470"/>
    </row>
    <row r="533" spans="1:20" x14ac:dyDescent="0.2">
      <c r="A533" s="470"/>
      <c r="B533" s="470"/>
      <c r="C533" s="470"/>
      <c r="D533" s="470"/>
      <c r="E533" s="470"/>
      <c r="F533" s="470"/>
      <c r="G533" s="470"/>
      <c r="H533" s="470"/>
      <c r="I533" s="470"/>
      <c r="J533" s="470"/>
      <c r="K533" s="470"/>
      <c r="L533" s="470"/>
      <c r="M533" s="470"/>
      <c r="N533" s="470"/>
      <c r="O533" s="470"/>
      <c r="P533" s="470"/>
      <c r="Q533" s="470"/>
      <c r="R533" s="470"/>
      <c r="S533" s="470"/>
      <c r="T533" s="470"/>
    </row>
    <row r="534" spans="1:20" x14ac:dyDescent="0.2">
      <c r="A534" s="470"/>
      <c r="B534" s="470"/>
      <c r="C534" s="470"/>
      <c r="D534" s="470"/>
      <c r="E534" s="470"/>
      <c r="F534" s="470"/>
      <c r="G534" s="470"/>
      <c r="H534" s="470"/>
      <c r="I534" s="470"/>
      <c r="J534" s="470"/>
      <c r="K534" s="470"/>
      <c r="L534" s="470"/>
      <c r="M534" s="470"/>
      <c r="N534" s="470"/>
      <c r="O534" s="470"/>
      <c r="P534" s="470"/>
      <c r="Q534" s="470"/>
      <c r="R534" s="470"/>
      <c r="S534" s="470"/>
      <c r="T534" s="470"/>
    </row>
    <row r="535" spans="1:20" x14ac:dyDescent="0.2">
      <c r="A535" s="470"/>
      <c r="B535" s="470"/>
      <c r="C535" s="470"/>
      <c r="D535" s="470"/>
      <c r="E535" s="470"/>
      <c r="F535" s="470"/>
      <c r="G535" s="470"/>
      <c r="H535" s="470"/>
      <c r="I535" s="470"/>
      <c r="J535" s="470"/>
      <c r="K535" s="470"/>
      <c r="L535" s="470"/>
      <c r="M535" s="470"/>
      <c r="N535" s="470"/>
      <c r="O535" s="470"/>
      <c r="P535" s="470"/>
      <c r="Q535" s="470"/>
      <c r="R535" s="470"/>
      <c r="S535" s="470"/>
      <c r="T535" s="470"/>
    </row>
    <row r="536" spans="1:20" x14ac:dyDescent="0.2">
      <c r="A536" s="470"/>
      <c r="B536" s="470"/>
      <c r="C536" s="470"/>
      <c r="D536" s="470"/>
      <c r="E536" s="470"/>
      <c r="F536" s="470"/>
      <c r="G536" s="470"/>
      <c r="H536" s="470"/>
      <c r="I536" s="470"/>
      <c r="J536" s="470"/>
      <c r="K536" s="470"/>
      <c r="L536" s="470"/>
      <c r="M536" s="470"/>
      <c r="N536" s="470"/>
      <c r="O536" s="470"/>
      <c r="P536" s="470"/>
      <c r="Q536" s="470"/>
      <c r="R536" s="470"/>
      <c r="S536" s="470"/>
      <c r="T536" s="470"/>
    </row>
    <row r="537" spans="1:20" x14ac:dyDescent="0.2">
      <c r="A537" s="470"/>
      <c r="B537" s="470"/>
      <c r="C537" s="470"/>
      <c r="D537" s="470"/>
      <c r="E537" s="470"/>
      <c r="F537" s="470"/>
      <c r="G537" s="470"/>
      <c r="H537" s="470"/>
      <c r="I537" s="470"/>
      <c r="J537" s="470"/>
      <c r="K537" s="470"/>
      <c r="L537" s="470"/>
      <c r="M537" s="470"/>
      <c r="N537" s="470"/>
      <c r="O537" s="470"/>
      <c r="P537" s="470"/>
      <c r="Q537" s="470"/>
      <c r="R537" s="470"/>
      <c r="S537" s="470"/>
      <c r="T537" s="470"/>
    </row>
    <row r="538" spans="1:20" x14ac:dyDescent="0.2">
      <c r="A538" s="470"/>
      <c r="B538" s="470"/>
      <c r="C538" s="470"/>
      <c r="D538" s="470"/>
      <c r="E538" s="470"/>
      <c r="F538" s="470"/>
      <c r="G538" s="470"/>
      <c r="H538" s="470"/>
      <c r="I538" s="470"/>
      <c r="J538" s="470"/>
      <c r="K538" s="470"/>
      <c r="L538" s="470"/>
      <c r="M538" s="470"/>
      <c r="N538" s="470"/>
      <c r="O538" s="470"/>
      <c r="P538" s="470"/>
      <c r="Q538" s="470"/>
      <c r="R538" s="470"/>
      <c r="S538" s="470"/>
      <c r="T538" s="470"/>
    </row>
    <row r="539" spans="1:20" x14ac:dyDescent="0.2">
      <c r="A539" s="470"/>
      <c r="B539" s="470"/>
      <c r="C539" s="470"/>
      <c r="D539" s="470"/>
      <c r="E539" s="470"/>
      <c r="F539" s="470"/>
      <c r="G539" s="470"/>
      <c r="H539" s="470"/>
      <c r="I539" s="470"/>
      <c r="J539" s="470"/>
      <c r="K539" s="470"/>
      <c r="L539" s="470"/>
      <c r="M539" s="470"/>
      <c r="N539" s="470"/>
      <c r="O539" s="470"/>
      <c r="P539" s="470"/>
      <c r="Q539" s="470"/>
      <c r="R539" s="470"/>
      <c r="S539" s="470"/>
      <c r="T539" s="470"/>
    </row>
    <row r="540" spans="1:20" x14ac:dyDescent="0.2">
      <c r="A540" s="470"/>
      <c r="B540" s="470"/>
      <c r="C540" s="470"/>
      <c r="D540" s="470"/>
      <c r="E540" s="470"/>
      <c r="F540" s="470"/>
      <c r="G540" s="470"/>
      <c r="H540" s="470"/>
      <c r="I540" s="470"/>
      <c r="J540" s="470"/>
      <c r="K540" s="470"/>
      <c r="L540" s="470"/>
      <c r="M540" s="470"/>
      <c r="N540" s="470"/>
      <c r="O540" s="470"/>
      <c r="P540" s="470"/>
      <c r="Q540" s="470"/>
      <c r="R540" s="470"/>
      <c r="S540" s="470"/>
      <c r="T540" s="470"/>
    </row>
    <row r="541" spans="1:20" x14ac:dyDescent="0.2">
      <c r="A541" s="470"/>
      <c r="B541" s="470"/>
      <c r="C541" s="470"/>
      <c r="D541" s="470"/>
      <c r="E541" s="470"/>
      <c r="F541" s="470"/>
      <c r="G541" s="470"/>
      <c r="H541" s="470"/>
      <c r="I541" s="470"/>
      <c r="J541" s="470"/>
      <c r="K541" s="470"/>
      <c r="L541" s="470"/>
      <c r="M541" s="470"/>
      <c r="N541" s="470"/>
      <c r="O541" s="470"/>
      <c r="P541" s="470"/>
      <c r="Q541" s="470"/>
      <c r="R541" s="470"/>
      <c r="S541" s="470"/>
      <c r="T541" s="470"/>
    </row>
    <row r="542" spans="1:20" x14ac:dyDescent="0.2">
      <c r="A542" s="470"/>
      <c r="B542" s="470"/>
      <c r="C542" s="470"/>
      <c r="D542" s="470"/>
      <c r="E542" s="470"/>
      <c r="F542" s="470"/>
      <c r="G542" s="470"/>
      <c r="H542" s="470"/>
      <c r="I542" s="470"/>
      <c r="J542" s="470"/>
      <c r="K542" s="470"/>
      <c r="L542" s="470"/>
      <c r="M542" s="470"/>
      <c r="N542" s="470"/>
      <c r="O542" s="470"/>
      <c r="P542" s="470"/>
      <c r="Q542" s="470"/>
      <c r="R542" s="470"/>
      <c r="S542" s="470"/>
      <c r="T542" s="470"/>
    </row>
    <row r="543" spans="1:20" x14ac:dyDescent="0.2">
      <c r="A543" s="470"/>
      <c r="B543" s="470"/>
      <c r="C543" s="470"/>
      <c r="D543" s="470"/>
      <c r="E543" s="470"/>
      <c r="F543" s="470"/>
      <c r="G543" s="470"/>
      <c r="H543" s="470"/>
      <c r="I543" s="470"/>
      <c r="J543" s="470"/>
      <c r="K543" s="470"/>
      <c r="L543" s="470"/>
      <c r="M543" s="470"/>
      <c r="N543" s="470"/>
      <c r="O543" s="470"/>
      <c r="P543" s="470"/>
      <c r="Q543" s="470"/>
      <c r="R543" s="470"/>
      <c r="S543" s="470"/>
      <c r="T543" s="470"/>
    </row>
    <row r="544" spans="1:20" x14ac:dyDescent="0.2">
      <c r="A544" s="470"/>
      <c r="B544" s="470"/>
      <c r="C544" s="470"/>
      <c r="D544" s="470"/>
      <c r="E544" s="470"/>
      <c r="F544" s="470"/>
      <c r="G544" s="470"/>
      <c r="H544" s="470"/>
      <c r="I544" s="470"/>
      <c r="J544" s="470"/>
      <c r="K544" s="470"/>
      <c r="L544" s="470"/>
      <c r="M544" s="470"/>
      <c r="N544" s="470"/>
      <c r="O544" s="470"/>
      <c r="P544" s="470"/>
      <c r="Q544" s="470"/>
      <c r="R544" s="470"/>
      <c r="S544" s="470"/>
      <c r="T544" s="470"/>
    </row>
    <row r="545" spans="1:20" x14ac:dyDescent="0.2">
      <c r="A545" s="470"/>
      <c r="B545" s="470"/>
      <c r="C545" s="470"/>
      <c r="D545" s="470"/>
      <c r="E545" s="470"/>
      <c r="F545" s="470"/>
      <c r="G545" s="470"/>
      <c r="H545" s="470"/>
      <c r="I545" s="470"/>
      <c r="J545" s="470"/>
      <c r="K545" s="470"/>
      <c r="L545" s="470"/>
      <c r="M545" s="470"/>
      <c r="N545" s="470"/>
      <c r="O545" s="470"/>
      <c r="P545" s="470"/>
      <c r="Q545" s="470"/>
      <c r="R545" s="470"/>
      <c r="S545" s="470"/>
      <c r="T545" s="470"/>
    </row>
    <row r="546" spans="1:20" x14ac:dyDescent="0.2">
      <c r="A546" s="470"/>
      <c r="B546" s="470"/>
      <c r="C546" s="470"/>
      <c r="D546" s="470"/>
      <c r="E546" s="470"/>
      <c r="F546" s="470"/>
      <c r="G546" s="470"/>
      <c r="H546" s="470"/>
      <c r="I546" s="470"/>
      <c r="J546" s="470"/>
      <c r="K546" s="470"/>
      <c r="L546" s="470"/>
      <c r="M546" s="470"/>
      <c r="N546" s="470"/>
      <c r="O546" s="470"/>
      <c r="P546" s="470"/>
      <c r="Q546" s="470"/>
      <c r="R546" s="470"/>
      <c r="S546" s="470"/>
      <c r="T546" s="470"/>
    </row>
    <row r="547" spans="1:20" x14ac:dyDescent="0.2">
      <c r="A547" s="470"/>
      <c r="B547" s="470"/>
      <c r="C547" s="470"/>
      <c r="D547" s="470"/>
      <c r="E547" s="470"/>
      <c r="F547" s="470"/>
      <c r="G547" s="470"/>
      <c r="H547" s="470"/>
      <c r="I547" s="470"/>
      <c r="J547" s="470"/>
      <c r="K547" s="470"/>
      <c r="L547" s="470"/>
      <c r="M547" s="470"/>
      <c r="N547" s="470"/>
      <c r="O547" s="470"/>
      <c r="P547" s="470"/>
      <c r="Q547" s="470"/>
      <c r="R547" s="470"/>
      <c r="S547" s="470"/>
      <c r="T547" s="470"/>
    </row>
    <row r="548" spans="1:20" x14ac:dyDescent="0.2">
      <c r="A548" s="470"/>
      <c r="B548" s="470"/>
      <c r="C548" s="470"/>
      <c r="D548" s="470"/>
      <c r="E548" s="470"/>
      <c r="F548" s="470"/>
      <c r="G548" s="470"/>
      <c r="H548" s="470"/>
      <c r="I548" s="470"/>
      <c r="J548" s="470"/>
      <c r="K548" s="470"/>
      <c r="L548" s="470"/>
      <c r="M548" s="470"/>
      <c r="N548" s="470"/>
      <c r="O548" s="470"/>
      <c r="P548" s="470"/>
      <c r="Q548" s="470"/>
      <c r="R548" s="470"/>
      <c r="S548" s="470"/>
      <c r="T548" s="470"/>
    </row>
    <row r="549" spans="1:20" x14ac:dyDescent="0.2">
      <c r="A549" s="470"/>
      <c r="B549" s="470"/>
      <c r="C549" s="470"/>
      <c r="D549" s="470"/>
      <c r="E549" s="470"/>
      <c r="F549" s="470"/>
      <c r="G549" s="470"/>
      <c r="H549" s="470"/>
      <c r="I549" s="470"/>
      <c r="J549" s="470"/>
      <c r="K549" s="470"/>
      <c r="L549" s="470"/>
      <c r="M549" s="470"/>
      <c r="N549" s="470"/>
      <c r="O549" s="470"/>
      <c r="P549" s="470"/>
      <c r="Q549" s="470"/>
      <c r="R549" s="470"/>
      <c r="S549" s="470"/>
      <c r="T549" s="470"/>
    </row>
    <row r="550" spans="1:20" x14ac:dyDescent="0.2">
      <c r="A550" s="470"/>
      <c r="B550" s="470"/>
      <c r="C550" s="470"/>
      <c r="D550" s="470"/>
      <c r="E550" s="470"/>
      <c r="F550" s="470"/>
      <c r="G550" s="470"/>
      <c r="H550" s="470"/>
      <c r="I550" s="470"/>
      <c r="J550" s="470"/>
      <c r="K550" s="470"/>
      <c r="L550" s="470"/>
      <c r="M550" s="470"/>
      <c r="N550" s="470"/>
      <c r="O550" s="470"/>
      <c r="P550" s="470"/>
      <c r="Q550" s="470"/>
      <c r="R550" s="470"/>
      <c r="S550" s="470"/>
      <c r="T550" s="470"/>
    </row>
    <row r="551" spans="1:20" x14ac:dyDescent="0.2">
      <c r="A551" s="470"/>
      <c r="B551" s="470"/>
      <c r="C551" s="470"/>
      <c r="D551" s="470"/>
      <c r="E551" s="470"/>
      <c r="F551" s="470"/>
      <c r="G551" s="470"/>
      <c r="H551" s="470"/>
      <c r="I551" s="470"/>
      <c r="J551" s="470"/>
      <c r="K551" s="470"/>
      <c r="L551" s="470"/>
      <c r="M551" s="470"/>
      <c r="N551" s="470"/>
      <c r="O551" s="470"/>
      <c r="P551" s="470"/>
      <c r="Q551" s="470"/>
      <c r="R551" s="470"/>
      <c r="S551" s="470"/>
      <c r="T551" s="470"/>
    </row>
    <row r="552" spans="1:20" x14ac:dyDescent="0.2">
      <c r="A552" s="470"/>
      <c r="B552" s="470"/>
      <c r="C552" s="470"/>
      <c r="D552" s="470"/>
      <c r="E552" s="470"/>
      <c r="F552" s="470"/>
      <c r="G552" s="470"/>
      <c r="H552" s="470"/>
      <c r="I552" s="470"/>
      <c r="J552" s="470"/>
      <c r="K552" s="470"/>
      <c r="L552" s="470"/>
      <c r="M552" s="470"/>
      <c r="N552" s="470"/>
      <c r="O552" s="470"/>
      <c r="P552" s="470"/>
      <c r="Q552" s="470"/>
      <c r="R552" s="470"/>
      <c r="S552" s="470"/>
      <c r="T552" s="470"/>
    </row>
    <row r="553" spans="1:20" x14ac:dyDescent="0.2">
      <c r="A553" s="470"/>
      <c r="B553" s="470"/>
      <c r="C553" s="470"/>
      <c r="D553" s="470"/>
      <c r="E553" s="470"/>
      <c r="F553" s="470"/>
      <c r="G553" s="470"/>
      <c r="H553" s="470"/>
      <c r="I553" s="470"/>
      <c r="J553" s="470"/>
      <c r="K553" s="470"/>
      <c r="L553" s="470"/>
      <c r="M553" s="470"/>
      <c r="N553" s="470"/>
      <c r="O553" s="470"/>
      <c r="P553" s="470"/>
      <c r="Q553" s="470"/>
      <c r="R553" s="470"/>
      <c r="S553" s="470"/>
      <c r="T553" s="470"/>
    </row>
    <row r="554" spans="1:20" x14ac:dyDescent="0.2">
      <c r="A554" s="470"/>
      <c r="B554" s="470"/>
      <c r="C554" s="470"/>
      <c r="D554" s="470"/>
      <c r="E554" s="470"/>
      <c r="F554" s="470"/>
      <c r="G554" s="470"/>
      <c r="H554" s="470"/>
      <c r="I554" s="470"/>
      <c r="J554" s="470"/>
      <c r="K554" s="470"/>
      <c r="L554" s="470"/>
      <c r="M554" s="470"/>
      <c r="N554" s="470"/>
      <c r="O554" s="470"/>
      <c r="P554" s="470"/>
      <c r="Q554" s="470"/>
      <c r="R554" s="470"/>
      <c r="S554" s="470"/>
      <c r="T554" s="470"/>
    </row>
    <row r="555" spans="1:20" x14ac:dyDescent="0.2">
      <c r="A555" s="470"/>
      <c r="B555" s="470"/>
      <c r="C555" s="470"/>
      <c r="D555" s="470"/>
      <c r="E555" s="470"/>
      <c r="F555" s="470"/>
      <c r="G555" s="470"/>
      <c r="H555" s="470"/>
      <c r="I555" s="470"/>
      <c r="J555" s="470"/>
      <c r="K555" s="470"/>
      <c r="L555" s="470"/>
      <c r="M555" s="470"/>
      <c r="N555" s="470"/>
      <c r="O555" s="470"/>
      <c r="P555" s="470"/>
      <c r="Q555" s="470"/>
      <c r="R555" s="470"/>
      <c r="S555" s="470"/>
      <c r="T555" s="470"/>
    </row>
    <row r="556" spans="1:20" x14ac:dyDescent="0.2">
      <c r="A556" s="470"/>
      <c r="B556" s="470"/>
      <c r="C556" s="470"/>
      <c r="D556" s="470"/>
      <c r="E556" s="470"/>
      <c r="F556" s="470"/>
      <c r="G556" s="470"/>
      <c r="H556" s="470"/>
      <c r="I556" s="470"/>
      <c r="J556" s="470"/>
      <c r="K556" s="470"/>
      <c r="L556" s="470"/>
      <c r="M556" s="470"/>
      <c r="N556" s="470"/>
      <c r="O556" s="470"/>
      <c r="P556" s="470"/>
      <c r="Q556" s="470"/>
      <c r="R556" s="470"/>
      <c r="S556" s="470"/>
      <c r="T556" s="470"/>
    </row>
    <row r="557" spans="1:20" x14ac:dyDescent="0.2">
      <c r="A557" s="470"/>
      <c r="B557" s="470"/>
      <c r="C557" s="470"/>
      <c r="D557" s="470"/>
      <c r="E557" s="470"/>
      <c r="F557" s="470"/>
      <c r="G557" s="470"/>
      <c r="H557" s="470"/>
      <c r="I557" s="470"/>
      <c r="J557" s="470"/>
      <c r="K557" s="470"/>
      <c r="L557" s="470"/>
      <c r="M557" s="470"/>
      <c r="N557" s="470"/>
      <c r="O557" s="470"/>
      <c r="P557" s="470"/>
      <c r="Q557" s="470"/>
      <c r="R557" s="470"/>
      <c r="S557" s="470"/>
      <c r="T557" s="470"/>
    </row>
    <row r="558" spans="1:20" x14ac:dyDescent="0.2">
      <c r="A558" s="470"/>
      <c r="B558" s="470"/>
      <c r="C558" s="470"/>
      <c r="D558" s="470"/>
      <c r="E558" s="470"/>
      <c r="F558" s="470"/>
      <c r="G558" s="470"/>
      <c r="H558" s="470"/>
      <c r="I558" s="470"/>
      <c r="J558" s="470"/>
      <c r="K558" s="470"/>
      <c r="L558" s="470"/>
      <c r="M558" s="470"/>
      <c r="N558" s="470"/>
      <c r="O558" s="470"/>
      <c r="P558" s="470"/>
      <c r="Q558" s="470"/>
      <c r="R558" s="470"/>
      <c r="S558" s="470"/>
      <c r="T558" s="470"/>
    </row>
    <row r="559" spans="1:20" x14ac:dyDescent="0.2">
      <c r="A559" s="470"/>
      <c r="B559" s="470"/>
      <c r="C559" s="470"/>
      <c r="D559" s="470"/>
      <c r="E559" s="470"/>
      <c r="F559" s="470"/>
      <c r="G559" s="470"/>
      <c r="H559" s="470"/>
      <c r="I559" s="470"/>
      <c r="J559" s="470"/>
      <c r="K559" s="470"/>
      <c r="L559" s="470"/>
      <c r="M559" s="470"/>
      <c r="N559" s="470"/>
      <c r="O559" s="470"/>
      <c r="P559" s="470"/>
      <c r="Q559" s="470"/>
      <c r="R559" s="470"/>
      <c r="S559" s="470"/>
      <c r="T559" s="470"/>
    </row>
    <row r="560" spans="1:20" x14ac:dyDescent="0.2">
      <c r="A560" s="470"/>
      <c r="B560" s="470"/>
      <c r="C560" s="470"/>
      <c r="D560" s="470"/>
      <c r="E560" s="470"/>
      <c r="F560" s="470"/>
      <c r="G560" s="470"/>
      <c r="H560" s="470"/>
      <c r="I560" s="470"/>
      <c r="J560" s="470"/>
      <c r="K560" s="470"/>
      <c r="L560" s="470"/>
      <c r="M560" s="470"/>
      <c r="N560" s="470"/>
      <c r="O560" s="470"/>
      <c r="P560" s="470"/>
      <c r="Q560" s="470"/>
      <c r="R560" s="470"/>
      <c r="S560" s="470"/>
      <c r="T560" s="470"/>
    </row>
    <row r="561" spans="1:20" x14ac:dyDescent="0.2">
      <c r="A561" s="470"/>
      <c r="B561" s="470"/>
      <c r="C561" s="470"/>
      <c r="D561" s="470"/>
      <c r="E561" s="470"/>
      <c r="F561" s="470"/>
      <c r="G561" s="470"/>
      <c r="H561" s="470"/>
      <c r="I561" s="470"/>
      <c r="J561" s="470"/>
      <c r="K561" s="470"/>
      <c r="L561" s="470"/>
      <c r="M561" s="470"/>
      <c r="N561" s="470"/>
      <c r="O561" s="470"/>
      <c r="P561" s="470"/>
      <c r="Q561" s="470"/>
      <c r="R561" s="470"/>
      <c r="S561" s="470"/>
      <c r="T561" s="470"/>
    </row>
    <row r="562" spans="1:20" x14ac:dyDescent="0.2">
      <c r="A562" s="470"/>
      <c r="B562" s="470"/>
      <c r="C562" s="470"/>
      <c r="D562" s="470"/>
      <c r="E562" s="470"/>
      <c r="F562" s="470"/>
      <c r="G562" s="470"/>
      <c r="H562" s="470"/>
      <c r="I562" s="470"/>
      <c r="J562" s="470"/>
      <c r="K562" s="470"/>
      <c r="L562" s="470"/>
      <c r="M562" s="470"/>
      <c r="N562" s="470"/>
      <c r="O562" s="470"/>
      <c r="P562" s="470"/>
      <c r="Q562" s="470"/>
      <c r="R562" s="470"/>
      <c r="S562" s="470"/>
      <c r="T562" s="470"/>
    </row>
    <row r="563" spans="1:20" x14ac:dyDescent="0.2">
      <c r="A563" s="470"/>
      <c r="B563" s="470"/>
      <c r="C563" s="470"/>
      <c r="D563" s="470"/>
      <c r="E563" s="470"/>
      <c r="F563" s="470"/>
      <c r="G563" s="470"/>
      <c r="H563" s="470"/>
      <c r="I563" s="470"/>
      <c r="J563" s="470"/>
      <c r="K563" s="470"/>
      <c r="L563" s="470"/>
      <c r="M563" s="470"/>
      <c r="N563" s="470"/>
      <c r="O563" s="470"/>
      <c r="P563" s="470"/>
      <c r="Q563" s="470"/>
      <c r="R563" s="470"/>
      <c r="S563" s="470"/>
      <c r="T563" s="470"/>
    </row>
    <row r="564" spans="1:20" x14ac:dyDescent="0.2">
      <c r="A564" s="470"/>
      <c r="B564" s="470"/>
      <c r="C564" s="470"/>
      <c r="D564" s="470"/>
      <c r="E564" s="470"/>
      <c r="F564" s="470"/>
      <c r="G564" s="470"/>
      <c r="H564" s="470"/>
      <c r="I564" s="470"/>
      <c r="J564" s="470"/>
      <c r="K564" s="470"/>
      <c r="L564" s="470"/>
      <c r="M564" s="470"/>
      <c r="N564" s="470"/>
      <c r="O564" s="470"/>
      <c r="P564" s="470"/>
      <c r="Q564" s="470"/>
      <c r="R564" s="470"/>
      <c r="S564" s="470"/>
      <c r="T564" s="470"/>
    </row>
    <row r="565" spans="1:20" x14ac:dyDescent="0.2">
      <c r="A565" s="470"/>
      <c r="B565" s="470"/>
      <c r="C565" s="470"/>
      <c r="D565" s="470"/>
      <c r="E565" s="470"/>
      <c r="F565" s="470"/>
      <c r="G565" s="470"/>
      <c r="H565" s="470"/>
      <c r="I565" s="470"/>
      <c r="J565" s="470"/>
      <c r="K565" s="470"/>
      <c r="L565" s="470"/>
      <c r="M565" s="470"/>
      <c r="N565" s="470"/>
      <c r="O565" s="470"/>
      <c r="P565" s="470"/>
      <c r="Q565" s="470"/>
      <c r="R565" s="470"/>
      <c r="S565" s="470"/>
      <c r="T565" s="470"/>
    </row>
    <row r="566" spans="1:20" x14ac:dyDescent="0.2">
      <c r="A566" s="470"/>
      <c r="B566" s="470"/>
      <c r="C566" s="470"/>
      <c r="D566" s="470"/>
      <c r="E566" s="470"/>
      <c r="F566" s="470"/>
      <c r="G566" s="470"/>
      <c r="H566" s="470"/>
      <c r="I566" s="470"/>
      <c r="J566" s="470"/>
      <c r="K566" s="470"/>
      <c r="L566" s="470"/>
      <c r="M566" s="470"/>
      <c r="N566" s="470"/>
      <c r="O566" s="470"/>
      <c r="P566" s="470"/>
      <c r="Q566" s="470"/>
      <c r="R566" s="470"/>
      <c r="S566" s="470"/>
      <c r="T566" s="470"/>
    </row>
    <row r="567" spans="1:20" x14ac:dyDescent="0.2">
      <c r="A567" s="470"/>
      <c r="B567" s="470"/>
      <c r="C567" s="470"/>
      <c r="D567" s="470"/>
      <c r="E567" s="470"/>
      <c r="F567" s="470"/>
      <c r="G567" s="470"/>
      <c r="H567" s="470"/>
      <c r="I567" s="470"/>
      <c r="J567" s="470"/>
      <c r="K567" s="470"/>
      <c r="L567" s="470"/>
      <c r="M567" s="470"/>
      <c r="N567" s="470"/>
      <c r="O567" s="470"/>
      <c r="P567" s="470"/>
      <c r="Q567" s="470"/>
      <c r="R567" s="470"/>
      <c r="S567" s="470"/>
      <c r="T567" s="470"/>
    </row>
    <row r="568" spans="1:20" x14ac:dyDescent="0.2">
      <c r="A568" s="470"/>
      <c r="B568" s="470"/>
      <c r="C568" s="470"/>
      <c r="D568" s="470"/>
      <c r="E568" s="470"/>
      <c r="F568" s="470"/>
      <c r="G568" s="470"/>
      <c r="H568" s="470"/>
      <c r="I568" s="470"/>
      <c r="J568" s="470"/>
      <c r="K568" s="470"/>
      <c r="L568" s="470"/>
      <c r="M568" s="470"/>
      <c r="N568" s="470"/>
      <c r="O568" s="470"/>
      <c r="P568" s="470"/>
      <c r="Q568" s="470"/>
      <c r="R568" s="470"/>
      <c r="S568" s="470"/>
      <c r="T568" s="470"/>
    </row>
    <row r="569" spans="1:20" x14ac:dyDescent="0.2">
      <c r="A569" s="470"/>
      <c r="B569" s="470"/>
      <c r="C569" s="470"/>
      <c r="D569" s="470"/>
      <c r="E569" s="470"/>
      <c r="F569" s="470"/>
      <c r="G569" s="470"/>
      <c r="H569" s="470"/>
      <c r="I569" s="470"/>
      <c r="J569" s="470"/>
      <c r="K569" s="470"/>
      <c r="L569" s="470"/>
      <c r="M569" s="470"/>
      <c r="N569" s="470"/>
      <c r="O569" s="470"/>
      <c r="P569" s="470"/>
      <c r="Q569" s="470"/>
      <c r="R569" s="470"/>
      <c r="S569" s="470"/>
      <c r="T569" s="470"/>
    </row>
    <row r="570" spans="1:20" x14ac:dyDescent="0.2">
      <c r="A570" s="470"/>
      <c r="B570" s="470"/>
      <c r="C570" s="470"/>
      <c r="D570" s="470"/>
      <c r="E570" s="470"/>
      <c r="F570" s="470"/>
      <c r="G570" s="470"/>
      <c r="H570" s="470"/>
      <c r="I570" s="470"/>
      <c r="J570" s="470"/>
      <c r="K570" s="470"/>
      <c r="L570" s="470"/>
      <c r="M570" s="470"/>
      <c r="N570" s="470"/>
      <c r="O570" s="470"/>
      <c r="P570" s="470"/>
      <c r="Q570" s="470"/>
      <c r="R570" s="470"/>
      <c r="S570" s="470"/>
      <c r="T570" s="470"/>
    </row>
    <row r="571" spans="1:20" x14ac:dyDescent="0.2">
      <c r="A571" s="470"/>
      <c r="B571" s="470"/>
      <c r="C571" s="470"/>
      <c r="D571" s="470"/>
      <c r="E571" s="470"/>
      <c r="F571" s="470"/>
      <c r="G571" s="470"/>
      <c r="H571" s="470"/>
      <c r="I571" s="470"/>
      <c r="J571" s="470"/>
      <c r="K571" s="470"/>
      <c r="L571" s="470"/>
      <c r="M571" s="470"/>
      <c r="N571" s="470"/>
      <c r="O571" s="470"/>
      <c r="P571" s="470"/>
      <c r="Q571" s="470"/>
      <c r="R571" s="470"/>
      <c r="S571" s="470"/>
      <c r="T571" s="470"/>
    </row>
    <row r="572" spans="1:20" x14ac:dyDescent="0.2">
      <c r="A572" s="470"/>
      <c r="B572" s="470"/>
      <c r="C572" s="470"/>
      <c r="D572" s="470"/>
      <c r="E572" s="470"/>
      <c r="F572" s="470"/>
      <c r="G572" s="470"/>
      <c r="H572" s="470"/>
      <c r="I572" s="470"/>
      <c r="J572" s="470"/>
      <c r="K572" s="470"/>
      <c r="L572" s="470"/>
      <c r="M572" s="470"/>
      <c r="N572" s="470"/>
      <c r="O572" s="470"/>
      <c r="P572" s="470"/>
      <c r="Q572" s="470"/>
      <c r="R572" s="470"/>
      <c r="S572" s="470"/>
      <c r="T572" s="470"/>
    </row>
    <row r="573" spans="1:20" x14ac:dyDescent="0.2">
      <c r="A573" s="470"/>
      <c r="B573" s="470"/>
      <c r="C573" s="470"/>
      <c r="D573" s="470"/>
      <c r="E573" s="470"/>
      <c r="F573" s="470"/>
      <c r="G573" s="470"/>
      <c r="H573" s="470"/>
      <c r="I573" s="470"/>
      <c r="J573" s="470"/>
      <c r="K573" s="470"/>
      <c r="L573" s="470"/>
      <c r="M573" s="470"/>
      <c r="N573" s="470"/>
      <c r="O573" s="470"/>
      <c r="P573" s="470"/>
      <c r="Q573" s="470"/>
      <c r="R573" s="470"/>
      <c r="S573" s="470"/>
      <c r="T573" s="470"/>
    </row>
    <row r="574" spans="1:20" x14ac:dyDescent="0.2">
      <c r="A574" s="470"/>
      <c r="B574" s="470"/>
      <c r="C574" s="470"/>
      <c r="D574" s="470"/>
      <c r="E574" s="470"/>
      <c r="F574" s="470"/>
      <c r="G574" s="470"/>
      <c r="H574" s="470"/>
      <c r="I574" s="470"/>
      <c r="J574" s="470"/>
      <c r="K574" s="470"/>
      <c r="L574" s="470"/>
      <c r="M574" s="470"/>
      <c r="N574" s="470"/>
      <c r="O574" s="470"/>
      <c r="P574" s="470"/>
      <c r="Q574" s="470"/>
      <c r="R574" s="470"/>
      <c r="S574" s="470"/>
      <c r="T574" s="470"/>
    </row>
    <row r="575" spans="1:20" x14ac:dyDescent="0.2">
      <c r="A575" s="470"/>
      <c r="B575" s="470"/>
      <c r="C575" s="470"/>
      <c r="D575" s="470"/>
      <c r="E575" s="470"/>
      <c r="F575" s="470"/>
      <c r="G575" s="470"/>
      <c r="H575" s="470"/>
      <c r="I575" s="470"/>
      <c r="J575" s="470"/>
      <c r="K575" s="470"/>
      <c r="L575" s="470"/>
      <c r="M575" s="470"/>
      <c r="N575" s="470"/>
      <c r="O575" s="470"/>
      <c r="P575" s="470"/>
      <c r="Q575" s="470"/>
      <c r="R575" s="470"/>
      <c r="S575" s="470"/>
      <c r="T575" s="470"/>
    </row>
    <row r="576" spans="1:20" x14ac:dyDescent="0.2">
      <c r="A576" s="470"/>
      <c r="B576" s="470"/>
      <c r="C576" s="470"/>
      <c r="D576" s="470"/>
      <c r="E576" s="470"/>
      <c r="F576" s="470"/>
      <c r="G576" s="470"/>
      <c r="H576" s="470"/>
      <c r="I576" s="470"/>
      <c r="J576" s="470"/>
      <c r="K576" s="470"/>
      <c r="L576" s="470"/>
      <c r="M576" s="470"/>
      <c r="N576" s="470"/>
      <c r="O576" s="470"/>
      <c r="P576" s="470"/>
      <c r="Q576" s="470"/>
      <c r="R576" s="470"/>
      <c r="S576" s="470"/>
      <c r="T576" s="470"/>
    </row>
    <row r="577" spans="1:20" x14ac:dyDescent="0.2">
      <c r="A577" s="470"/>
      <c r="B577" s="470"/>
      <c r="C577" s="470"/>
      <c r="D577" s="470"/>
      <c r="E577" s="470"/>
      <c r="F577" s="470"/>
      <c r="G577" s="470"/>
      <c r="H577" s="470"/>
      <c r="I577" s="470"/>
      <c r="J577" s="470"/>
      <c r="K577" s="470"/>
      <c r="L577" s="470"/>
      <c r="M577" s="470"/>
      <c r="N577" s="470"/>
      <c r="O577" s="470"/>
      <c r="P577" s="470"/>
      <c r="Q577" s="470"/>
      <c r="R577" s="470"/>
      <c r="S577" s="470"/>
      <c r="T577" s="470"/>
    </row>
    <row r="578" spans="1:20" x14ac:dyDescent="0.2">
      <c r="A578" s="470"/>
      <c r="B578" s="470"/>
      <c r="C578" s="470"/>
      <c r="D578" s="470"/>
      <c r="E578" s="470"/>
      <c r="F578" s="470"/>
      <c r="G578" s="470"/>
      <c r="H578" s="470"/>
      <c r="I578" s="470"/>
      <c r="J578" s="470"/>
      <c r="K578" s="470"/>
      <c r="L578" s="470"/>
      <c r="M578" s="470"/>
      <c r="N578" s="470"/>
      <c r="O578" s="470"/>
      <c r="P578" s="470"/>
      <c r="Q578" s="470"/>
      <c r="R578" s="470"/>
      <c r="S578" s="470"/>
      <c r="T578" s="470"/>
    </row>
    <row r="579" spans="1:20" x14ac:dyDescent="0.2">
      <c r="A579" s="470"/>
      <c r="B579" s="470"/>
      <c r="C579" s="470"/>
      <c r="D579" s="470"/>
      <c r="E579" s="470"/>
      <c r="F579" s="470"/>
      <c r="G579" s="470"/>
      <c r="H579" s="470"/>
      <c r="I579" s="470"/>
      <c r="J579" s="470"/>
      <c r="K579" s="470"/>
      <c r="L579" s="470"/>
      <c r="M579" s="470"/>
      <c r="N579" s="470"/>
      <c r="O579" s="470"/>
      <c r="P579" s="470"/>
      <c r="Q579" s="470"/>
      <c r="R579" s="470"/>
      <c r="S579" s="470"/>
      <c r="T579" s="470"/>
    </row>
    <row r="580" spans="1:20" x14ac:dyDescent="0.2">
      <c r="A580" s="470"/>
      <c r="B580" s="470"/>
      <c r="C580" s="470"/>
      <c r="D580" s="470"/>
      <c r="E580" s="470"/>
      <c r="F580" s="470"/>
      <c r="G580" s="470"/>
      <c r="H580" s="470"/>
      <c r="I580" s="470"/>
      <c r="J580" s="470"/>
      <c r="K580" s="470"/>
      <c r="L580" s="470"/>
      <c r="M580" s="470"/>
      <c r="N580" s="470"/>
      <c r="O580" s="470"/>
      <c r="P580" s="470"/>
      <c r="Q580" s="470"/>
      <c r="R580" s="470"/>
      <c r="S580" s="470"/>
      <c r="T580" s="470"/>
    </row>
    <row r="581" spans="1:20" x14ac:dyDescent="0.2">
      <c r="A581" s="470"/>
      <c r="B581" s="470"/>
      <c r="C581" s="470"/>
      <c r="D581" s="470"/>
      <c r="E581" s="470"/>
      <c r="F581" s="470"/>
      <c r="G581" s="470"/>
      <c r="H581" s="470"/>
      <c r="I581" s="470"/>
      <c r="J581" s="470"/>
      <c r="K581" s="470"/>
      <c r="L581" s="470"/>
      <c r="M581" s="470"/>
      <c r="N581" s="470"/>
      <c r="O581" s="470"/>
      <c r="P581" s="470"/>
      <c r="Q581" s="470"/>
      <c r="R581" s="470"/>
      <c r="S581" s="470"/>
      <c r="T581" s="470"/>
    </row>
    <row r="582" spans="1:20" x14ac:dyDescent="0.2">
      <c r="A582" s="470"/>
      <c r="B582" s="470"/>
      <c r="C582" s="470"/>
      <c r="D582" s="470"/>
      <c r="E582" s="470"/>
      <c r="F582" s="470"/>
      <c r="G582" s="470"/>
      <c r="H582" s="470"/>
      <c r="I582" s="470"/>
      <c r="J582" s="470"/>
      <c r="K582" s="470"/>
      <c r="L582" s="470"/>
      <c r="M582" s="470"/>
      <c r="N582" s="470"/>
      <c r="O582" s="470"/>
      <c r="P582" s="470"/>
      <c r="Q582" s="470"/>
      <c r="R582" s="470"/>
      <c r="S582" s="470"/>
      <c r="T582" s="470"/>
    </row>
    <row r="583" spans="1:20" x14ac:dyDescent="0.2">
      <c r="A583" s="470"/>
      <c r="B583" s="470"/>
      <c r="C583" s="470"/>
      <c r="D583" s="470"/>
      <c r="E583" s="470"/>
      <c r="F583" s="470"/>
      <c r="G583" s="470"/>
      <c r="H583" s="470"/>
      <c r="I583" s="470"/>
      <c r="J583" s="470"/>
      <c r="K583" s="470"/>
      <c r="L583" s="470"/>
      <c r="M583" s="470"/>
      <c r="N583" s="470"/>
      <c r="O583" s="470"/>
      <c r="P583" s="470"/>
      <c r="Q583" s="470"/>
      <c r="R583" s="470"/>
      <c r="S583" s="470"/>
      <c r="T583" s="470"/>
    </row>
    <row r="584" spans="1:20" x14ac:dyDescent="0.2">
      <c r="A584" s="470"/>
      <c r="B584" s="470"/>
      <c r="C584" s="470"/>
      <c r="D584" s="470"/>
      <c r="E584" s="470"/>
      <c r="F584" s="470"/>
      <c r="G584" s="470"/>
      <c r="H584" s="470"/>
      <c r="I584" s="470"/>
      <c r="J584" s="470"/>
      <c r="K584" s="470"/>
      <c r="L584" s="470"/>
      <c r="M584" s="470"/>
      <c r="N584" s="470"/>
      <c r="O584" s="470"/>
      <c r="P584" s="470"/>
      <c r="Q584" s="470"/>
      <c r="R584" s="470"/>
      <c r="S584" s="470"/>
      <c r="T584" s="470"/>
    </row>
    <row r="585" spans="1:20" x14ac:dyDescent="0.2">
      <c r="A585" s="470"/>
      <c r="B585" s="470"/>
      <c r="C585" s="470"/>
      <c r="D585" s="470"/>
      <c r="E585" s="470"/>
      <c r="F585" s="470"/>
      <c r="G585" s="470"/>
      <c r="H585" s="470"/>
      <c r="I585" s="470"/>
      <c r="J585" s="470"/>
      <c r="K585" s="470"/>
      <c r="L585" s="470"/>
      <c r="M585" s="470"/>
      <c r="N585" s="470"/>
      <c r="O585" s="470"/>
      <c r="P585" s="470"/>
      <c r="Q585" s="470"/>
      <c r="R585" s="470"/>
      <c r="S585" s="470"/>
      <c r="T585" s="470"/>
    </row>
    <row r="586" spans="1:20" x14ac:dyDescent="0.2">
      <c r="A586" s="470"/>
      <c r="B586" s="470"/>
      <c r="C586" s="470"/>
      <c r="D586" s="470"/>
      <c r="E586" s="470"/>
      <c r="F586" s="470"/>
      <c r="G586" s="470"/>
      <c r="H586" s="470"/>
      <c r="I586" s="470"/>
      <c r="J586" s="470"/>
      <c r="K586" s="470"/>
      <c r="L586" s="470"/>
      <c r="M586" s="470"/>
      <c r="N586" s="470"/>
      <c r="O586" s="470"/>
      <c r="P586" s="470"/>
      <c r="Q586" s="470"/>
      <c r="R586" s="470"/>
      <c r="S586" s="470"/>
      <c r="T586" s="470"/>
    </row>
    <row r="587" spans="1:20" x14ac:dyDescent="0.2">
      <c r="A587" s="470"/>
      <c r="B587" s="470"/>
      <c r="C587" s="470"/>
      <c r="D587" s="470"/>
      <c r="E587" s="470"/>
      <c r="F587" s="470"/>
      <c r="G587" s="470"/>
      <c r="H587" s="470"/>
      <c r="I587" s="470"/>
      <c r="J587" s="470"/>
      <c r="K587" s="470"/>
      <c r="L587" s="470"/>
      <c r="M587" s="470"/>
      <c r="N587" s="470"/>
      <c r="O587" s="470"/>
      <c r="P587" s="470"/>
      <c r="Q587" s="470"/>
      <c r="R587" s="470"/>
      <c r="S587" s="470"/>
      <c r="T587" s="470"/>
    </row>
    <row r="588" spans="1:20" x14ac:dyDescent="0.2">
      <c r="A588" s="470"/>
      <c r="B588" s="470"/>
      <c r="C588" s="470"/>
      <c r="D588" s="470"/>
      <c r="E588" s="470"/>
      <c r="F588" s="470"/>
      <c r="G588" s="470"/>
      <c r="H588" s="470"/>
      <c r="I588" s="470"/>
      <c r="J588" s="470"/>
      <c r="K588" s="470"/>
      <c r="L588" s="470"/>
      <c r="M588" s="470"/>
      <c r="N588" s="470"/>
      <c r="O588" s="470"/>
      <c r="P588" s="470"/>
      <c r="Q588" s="470"/>
      <c r="R588" s="470"/>
      <c r="S588" s="470"/>
      <c r="T588" s="470"/>
    </row>
    <row r="589" spans="1:20" x14ac:dyDescent="0.2">
      <c r="A589" s="470"/>
      <c r="B589" s="470"/>
      <c r="C589" s="470"/>
      <c r="D589" s="470"/>
      <c r="E589" s="470"/>
      <c r="F589" s="470"/>
      <c r="G589" s="470"/>
      <c r="H589" s="470"/>
      <c r="I589" s="470"/>
      <c r="J589" s="470"/>
      <c r="K589" s="470"/>
      <c r="L589" s="470"/>
      <c r="M589" s="470"/>
      <c r="N589" s="470"/>
      <c r="O589" s="470"/>
      <c r="P589" s="470"/>
      <c r="Q589" s="470"/>
      <c r="R589" s="470"/>
      <c r="S589" s="470"/>
      <c r="T589" s="470"/>
    </row>
    <row r="590" spans="1:20" x14ac:dyDescent="0.2">
      <c r="A590" s="470"/>
      <c r="B590" s="470"/>
      <c r="C590" s="470"/>
      <c r="D590" s="470"/>
      <c r="E590" s="470"/>
      <c r="F590" s="470"/>
      <c r="G590" s="470"/>
      <c r="H590" s="470"/>
      <c r="I590" s="470"/>
      <c r="J590" s="470"/>
      <c r="K590" s="470"/>
      <c r="L590" s="470"/>
      <c r="M590" s="470"/>
      <c r="N590" s="470"/>
      <c r="O590" s="470"/>
      <c r="P590" s="470"/>
      <c r="Q590" s="470"/>
      <c r="R590" s="470"/>
      <c r="S590" s="470"/>
      <c r="T590" s="470"/>
    </row>
    <row r="591" spans="1:20" x14ac:dyDescent="0.2">
      <c r="A591" s="470"/>
      <c r="B591" s="470"/>
      <c r="C591" s="470"/>
      <c r="D591" s="470"/>
      <c r="E591" s="470"/>
      <c r="F591" s="470"/>
      <c r="G591" s="470"/>
      <c r="H591" s="470"/>
      <c r="I591" s="470"/>
      <c r="J591" s="470"/>
      <c r="K591" s="470"/>
      <c r="L591" s="470"/>
      <c r="M591" s="470"/>
      <c r="N591" s="470"/>
      <c r="O591" s="470"/>
      <c r="P591" s="470"/>
      <c r="Q591" s="470"/>
      <c r="R591" s="470"/>
      <c r="S591" s="470"/>
      <c r="T591" s="470"/>
    </row>
    <row r="592" spans="1:20" x14ac:dyDescent="0.2">
      <c r="A592" s="470"/>
      <c r="B592" s="470"/>
      <c r="C592" s="470"/>
      <c r="D592" s="470"/>
      <c r="E592" s="470"/>
      <c r="F592" s="470"/>
      <c r="G592" s="470"/>
      <c r="H592" s="470"/>
      <c r="I592" s="470"/>
      <c r="J592" s="470"/>
      <c r="K592" s="470"/>
      <c r="L592" s="470"/>
      <c r="M592" s="470"/>
      <c r="N592" s="470"/>
      <c r="O592" s="470"/>
      <c r="P592" s="470"/>
      <c r="Q592" s="470"/>
      <c r="R592" s="470"/>
      <c r="S592" s="470"/>
      <c r="T592" s="470"/>
    </row>
    <row r="593" spans="1:20" x14ac:dyDescent="0.2">
      <c r="A593" s="470"/>
      <c r="B593" s="470"/>
      <c r="C593" s="470"/>
      <c r="D593" s="470"/>
      <c r="E593" s="470"/>
      <c r="F593" s="470"/>
      <c r="G593" s="470"/>
      <c r="H593" s="470"/>
      <c r="I593" s="470"/>
      <c r="J593" s="470"/>
      <c r="K593" s="470"/>
      <c r="L593" s="470"/>
      <c r="M593" s="470"/>
      <c r="N593" s="470"/>
      <c r="O593" s="470"/>
      <c r="P593" s="470"/>
      <c r="Q593" s="470"/>
      <c r="R593" s="470"/>
      <c r="S593" s="470"/>
      <c r="T593" s="470"/>
    </row>
    <row r="594" spans="1:20" x14ac:dyDescent="0.2">
      <c r="A594" s="470"/>
      <c r="B594" s="470"/>
      <c r="C594" s="470"/>
      <c r="D594" s="470"/>
      <c r="E594" s="470"/>
      <c r="F594" s="470"/>
      <c r="G594" s="470"/>
      <c r="H594" s="470"/>
      <c r="I594" s="470"/>
      <c r="J594" s="470"/>
      <c r="K594" s="470"/>
      <c r="L594" s="470"/>
      <c r="M594" s="470"/>
      <c r="N594" s="470"/>
      <c r="O594" s="470"/>
      <c r="P594" s="470"/>
      <c r="Q594" s="470"/>
      <c r="R594" s="470"/>
      <c r="S594" s="470"/>
      <c r="T594" s="470"/>
    </row>
    <row r="595" spans="1:20" x14ac:dyDescent="0.2">
      <c r="A595" s="470"/>
      <c r="B595" s="470"/>
      <c r="C595" s="470"/>
      <c r="D595" s="470"/>
      <c r="E595" s="470"/>
      <c r="F595" s="470"/>
      <c r="G595" s="470"/>
      <c r="H595" s="470"/>
      <c r="I595" s="470"/>
      <c r="J595" s="470"/>
      <c r="K595" s="470"/>
      <c r="L595" s="470"/>
      <c r="M595" s="470"/>
      <c r="N595" s="470"/>
      <c r="O595" s="470"/>
      <c r="P595" s="470"/>
      <c r="Q595" s="470"/>
      <c r="R595" s="470"/>
      <c r="S595" s="470"/>
      <c r="T595" s="470"/>
    </row>
    <row r="596" spans="1:20" x14ac:dyDescent="0.2">
      <c r="A596" s="470"/>
      <c r="B596" s="470"/>
      <c r="C596" s="470"/>
      <c r="D596" s="470"/>
      <c r="E596" s="470"/>
      <c r="F596" s="470"/>
      <c r="G596" s="470"/>
      <c r="H596" s="470"/>
      <c r="I596" s="470"/>
      <c r="J596" s="470"/>
      <c r="K596" s="470"/>
      <c r="L596" s="470"/>
      <c r="M596" s="470"/>
      <c r="N596" s="470"/>
      <c r="O596" s="470"/>
      <c r="P596" s="470"/>
      <c r="Q596" s="470"/>
      <c r="R596" s="470"/>
      <c r="S596" s="470"/>
      <c r="T596" s="470"/>
    </row>
    <row r="597" spans="1:20" x14ac:dyDescent="0.2">
      <c r="A597" s="470"/>
      <c r="B597" s="470"/>
      <c r="C597" s="470"/>
      <c r="D597" s="470"/>
      <c r="E597" s="470"/>
      <c r="F597" s="470"/>
      <c r="G597" s="470"/>
      <c r="H597" s="470"/>
      <c r="I597" s="470"/>
      <c r="J597" s="470"/>
      <c r="K597" s="470"/>
      <c r="L597" s="470"/>
      <c r="M597" s="470"/>
      <c r="N597" s="470"/>
      <c r="O597" s="470"/>
      <c r="P597" s="470"/>
      <c r="Q597" s="470"/>
      <c r="R597" s="470"/>
      <c r="S597" s="470"/>
      <c r="T597" s="470"/>
    </row>
    <row r="598" spans="1:20" x14ac:dyDescent="0.2">
      <c r="A598" s="470"/>
      <c r="B598" s="470"/>
      <c r="C598" s="470"/>
      <c r="D598" s="470"/>
      <c r="E598" s="470"/>
      <c r="F598" s="470"/>
      <c r="G598" s="470"/>
      <c r="H598" s="470"/>
      <c r="I598" s="470"/>
      <c r="J598" s="470"/>
      <c r="K598" s="470"/>
      <c r="L598" s="470"/>
      <c r="M598" s="470"/>
      <c r="N598" s="470"/>
      <c r="O598" s="470"/>
      <c r="P598" s="470"/>
      <c r="Q598" s="470"/>
      <c r="R598" s="470"/>
      <c r="S598" s="470"/>
      <c r="T598" s="470"/>
    </row>
    <row r="599" spans="1:20" x14ac:dyDescent="0.2">
      <c r="A599" s="470"/>
      <c r="B599" s="470"/>
      <c r="C599" s="470"/>
      <c r="D599" s="470"/>
      <c r="E599" s="470"/>
      <c r="F599" s="470"/>
      <c r="G599" s="470"/>
      <c r="H599" s="470"/>
      <c r="I599" s="470"/>
      <c r="J599" s="470"/>
      <c r="K599" s="470"/>
      <c r="L599" s="470"/>
      <c r="M599" s="470"/>
      <c r="N599" s="470"/>
      <c r="O599" s="470"/>
      <c r="P599" s="470"/>
      <c r="Q599" s="470"/>
      <c r="R599" s="470"/>
      <c r="S599" s="470"/>
      <c r="T599" s="470"/>
    </row>
    <row r="600" spans="1:20" x14ac:dyDescent="0.2">
      <c r="A600" s="470"/>
      <c r="B600" s="470"/>
      <c r="C600" s="470"/>
      <c r="D600" s="470"/>
      <c r="E600" s="470"/>
      <c r="F600" s="470"/>
      <c r="G600" s="470"/>
      <c r="H600" s="470"/>
      <c r="I600" s="470"/>
      <c r="J600" s="470"/>
      <c r="K600" s="470"/>
      <c r="L600" s="470"/>
      <c r="M600" s="470"/>
      <c r="N600" s="470"/>
      <c r="O600" s="470"/>
      <c r="P600" s="470"/>
      <c r="Q600" s="470"/>
      <c r="R600" s="470"/>
      <c r="S600" s="470"/>
      <c r="T600" s="470"/>
    </row>
    <row r="601" spans="1:20" x14ac:dyDescent="0.2">
      <c r="A601" s="470"/>
      <c r="B601" s="470"/>
      <c r="C601" s="470"/>
      <c r="D601" s="470"/>
      <c r="E601" s="470"/>
      <c r="F601" s="470"/>
      <c r="G601" s="470"/>
      <c r="H601" s="470"/>
      <c r="I601" s="470"/>
      <c r="J601" s="470"/>
      <c r="K601" s="470"/>
      <c r="L601" s="470"/>
      <c r="M601" s="470"/>
      <c r="N601" s="470"/>
      <c r="O601" s="470"/>
      <c r="P601" s="470"/>
      <c r="Q601" s="470"/>
      <c r="R601" s="470"/>
      <c r="S601" s="470"/>
      <c r="T601" s="470"/>
    </row>
    <row r="602" spans="1:20" x14ac:dyDescent="0.2">
      <c r="A602" s="470"/>
      <c r="B602" s="470"/>
      <c r="C602" s="470"/>
      <c r="D602" s="470"/>
      <c r="E602" s="470"/>
      <c r="F602" s="470"/>
      <c r="G602" s="470"/>
      <c r="H602" s="470"/>
      <c r="I602" s="470"/>
      <c r="J602" s="470"/>
      <c r="K602" s="470"/>
      <c r="L602" s="470"/>
      <c r="M602" s="470"/>
      <c r="N602" s="470"/>
      <c r="O602" s="470"/>
      <c r="P602" s="470"/>
      <c r="Q602" s="470"/>
      <c r="R602" s="470"/>
      <c r="S602" s="470"/>
      <c r="T602" s="470"/>
    </row>
    <row r="603" spans="1:20" x14ac:dyDescent="0.2">
      <c r="A603" s="470"/>
      <c r="B603" s="470"/>
      <c r="C603" s="470"/>
      <c r="D603" s="470"/>
      <c r="E603" s="470"/>
      <c r="F603" s="470"/>
      <c r="G603" s="470"/>
      <c r="H603" s="470"/>
      <c r="I603" s="470"/>
      <c r="J603" s="470"/>
      <c r="K603" s="470"/>
      <c r="L603" s="470"/>
      <c r="M603" s="470"/>
      <c r="N603" s="470"/>
      <c r="O603" s="470"/>
      <c r="P603" s="470"/>
      <c r="Q603" s="470"/>
      <c r="R603" s="470"/>
      <c r="S603" s="470"/>
      <c r="T603" s="470"/>
    </row>
    <row r="604" spans="1:20" x14ac:dyDescent="0.2">
      <c r="A604" s="470"/>
      <c r="B604" s="470"/>
      <c r="C604" s="470"/>
      <c r="D604" s="470"/>
      <c r="E604" s="470"/>
      <c r="F604" s="470"/>
      <c r="G604" s="470"/>
      <c r="H604" s="470"/>
      <c r="I604" s="470"/>
      <c r="J604" s="470"/>
      <c r="K604" s="470"/>
      <c r="L604" s="470"/>
      <c r="M604" s="470"/>
      <c r="N604" s="470"/>
      <c r="O604" s="470"/>
      <c r="P604" s="470"/>
      <c r="Q604" s="470"/>
      <c r="R604" s="470"/>
      <c r="S604" s="470"/>
      <c r="T604" s="470"/>
    </row>
    <row r="605" spans="1:20" x14ac:dyDescent="0.2">
      <c r="A605" s="470"/>
      <c r="B605" s="470"/>
      <c r="C605" s="470"/>
      <c r="D605" s="470"/>
      <c r="E605" s="470"/>
      <c r="F605" s="470"/>
      <c r="G605" s="470"/>
      <c r="H605" s="470"/>
      <c r="I605" s="470"/>
      <c r="J605" s="470"/>
      <c r="K605" s="470"/>
      <c r="L605" s="470"/>
      <c r="M605" s="470"/>
      <c r="N605" s="470"/>
      <c r="O605" s="470"/>
      <c r="P605" s="470"/>
      <c r="Q605" s="470"/>
      <c r="R605" s="470"/>
      <c r="S605" s="470"/>
      <c r="T605" s="470"/>
    </row>
    <row r="606" spans="1:20" x14ac:dyDescent="0.2">
      <c r="A606" s="470"/>
      <c r="B606" s="470"/>
      <c r="C606" s="470"/>
      <c r="D606" s="470"/>
      <c r="E606" s="470"/>
      <c r="F606" s="470"/>
      <c r="G606" s="470"/>
      <c r="H606" s="470"/>
      <c r="I606" s="470"/>
      <c r="J606" s="470"/>
      <c r="K606" s="470"/>
      <c r="L606" s="470"/>
      <c r="M606" s="470"/>
      <c r="N606" s="470"/>
      <c r="O606" s="470"/>
      <c r="P606" s="470"/>
      <c r="Q606" s="470"/>
      <c r="R606" s="470"/>
      <c r="S606" s="470"/>
      <c r="T606" s="470"/>
    </row>
    <row r="607" spans="1:20" x14ac:dyDescent="0.2">
      <c r="A607" s="470"/>
      <c r="B607" s="470"/>
      <c r="C607" s="470"/>
      <c r="D607" s="470"/>
      <c r="E607" s="470"/>
      <c r="F607" s="470"/>
      <c r="G607" s="470"/>
      <c r="H607" s="470"/>
      <c r="I607" s="470"/>
      <c r="J607" s="470"/>
      <c r="K607" s="470"/>
      <c r="L607" s="470"/>
      <c r="M607" s="470"/>
      <c r="N607" s="470"/>
      <c r="O607" s="470"/>
      <c r="P607" s="470"/>
      <c r="Q607" s="470"/>
      <c r="R607" s="470"/>
      <c r="S607" s="470"/>
      <c r="T607" s="470"/>
    </row>
    <row r="608" spans="1:20" x14ac:dyDescent="0.2">
      <c r="A608" s="470"/>
      <c r="B608" s="470"/>
      <c r="C608" s="470"/>
      <c r="D608" s="470"/>
      <c r="E608" s="470"/>
      <c r="F608" s="470"/>
      <c r="G608" s="470"/>
      <c r="H608" s="470"/>
      <c r="I608" s="470"/>
      <c r="J608" s="470"/>
      <c r="K608" s="470"/>
      <c r="L608" s="470"/>
      <c r="M608" s="470"/>
      <c r="N608" s="470"/>
      <c r="O608" s="470"/>
      <c r="P608" s="470"/>
      <c r="Q608" s="470"/>
      <c r="R608" s="470"/>
      <c r="S608" s="470"/>
      <c r="T608" s="470"/>
    </row>
    <row r="609" spans="1:20" x14ac:dyDescent="0.2">
      <c r="A609" s="470"/>
      <c r="B609" s="470"/>
      <c r="C609" s="470"/>
      <c r="D609" s="470"/>
      <c r="E609" s="470"/>
      <c r="F609" s="470"/>
      <c r="G609" s="470"/>
      <c r="H609" s="470"/>
      <c r="I609" s="470"/>
      <c r="J609" s="470"/>
      <c r="K609" s="470"/>
      <c r="L609" s="470"/>
      <c r="M609" s="470"/>
      <c r="N609" s="470"/>
      <c r="O609" s="470"/>
      <c r="P609" s="470"/>
      <c r="Q609" s="470"/>
      <c r="R609" s="470"/>
      <c r="S609" s="470"/>
      <c r="T609" s="470"/>
    </row>
    <row r="610" spans="1:20" x14ac:dyDescent="0.2">
      <c r="A610" s="470"/>
      <c r="B610" s="470"/>
      <c r="C610" s="470"/>
      <c r="D610" s="470"/>
      <c r="E610" s="470"/>
      <c r="F610" s="470"/>
      <c r="G610" s="470"/>
      <c r="H610" s="470"/>
      <c r="I610" s="470"/>
      <c r="J610" s="470"/>
      <c r="K610" s="470"/>
      <c r="L610" s="470"/>
      <c r="M610" s="470"/>
      <c r="N610" s="470"/>
      <c r="O610" s="470"/>
      <c r="P610" s="470"/>
      <c r="Q610" s="470"/>
      <c r="R610" s="470"/>
      <c r="S610" s="470"/>
      <c r="T610" s="470"/>
    </row>
    <row r="611" spans="1:20" x14ac:dyDescent="0.2">
      <c r="A611" s="470"/>
      <c r="B611" s="470"/>
      <c r="C611" s="470"/>
      <c r="D611" s="470"/>
      <c r="E611" s="470"/>
      <c r="F611" s="470"/>
      <c r="G611" s="470"/>
      <c r="H611" s="470"/>
      <c r="I611" s="470"/>
      <c r="J611" s="470"/>
      <c r="K611" s="470"/>
      <c r="L611" s="470"/>
      <c r="M611" s="470"/>
      <c r="N611" s="470"/>
      <c r="O611" s="470"/>
      <c r="P611" s="470"/>
      <c r="Q611" s="470"/>
      <c r="R611" s="470"/>
      <c r="S611" s="470"/>
      <c r="T611" s="470"/>
    </row>
    <row r="612" spans="1:20" x14ac:dyDescent="0.2">
      <c r="A612" s="470"/>
      <c r="B612" s="470"/>
      <c r="C612" s="470"/>
      <c r="D612" s="470"/>
      <c r="E612" s="470"/>
      <c r="F612" s="470"/>
      <c r="G612" s="470"/>
      <c r="H612" s="470"/>
      <c r="I612" s="470"/>
      <c r="J612" s="470"/>
      <c r="K612" s="470"/>
      <c r="L612" s="470"/>
      <c r="M612" s="470"/>
      <c r="N612" s="470"/>
      <c r="O612" s="470"/>
      <c r="P612" s="470"/>
      <c r="Q612" s="470"/>
      <c r="R612" s="470"/>
      <c r="S612" s="470"/>
      <c r="T612" s="470"/>
    </row>
    <row r="613" spans="1:20" x14ac:dyDescent="0.2">
      <c r="A613" s="470"/>
      <c r="B613" s="470"/>
      <c r="C613" s="470"/>
      <c r="D613" s="470"/>
      <c r="E613" s="470"/>
      <c r="F613" s="470"/>
      <c r="G613" s="470"/>
      <c r="H613" s="470"/>
      <c r="I613" s="470"/>
      <c r="J613" s="470"/>
      <c r="K613" s="470"/>
      <c r="L613" s="470"/>
      <c r="M613" s="470"/>
      <c r="N613" s="470"/>
      <c r="O613" s="470"/>
      <c r="P613" s="470"/>
      <c r="Q613" s="470"/>
      <c r="R613" s="470"/>
      <c r="S613" s="470"/>
      <c r="T613" s="470"/>
    </row>
    <row r="614" spans="1:20" x14ac:dyDescent="0.2">
      <c r="A614" s="470"/>
      <c r="B614" s="470"/>
      <c r="C614" s="470"/>
      <c r="D614" s="470"/>
      <c r="E614" s="470"/>
      <c r="F614" s="470"/>
      <c r="G614" s="470"/>
      <c r="H614" s="470"/>
      <c r="I614" s="470"/>
      <c r="J614" s="470"/>
      <c r="K614" s="470"/>
      <c r="L614" s="470"/>
      <c r="M614" s="470"/>
      <c r="N614" s="470"/>
      <c r="O614" s="470"/>
      <c r="P614" s="470"/>
      <c r="Q614" s="470"/>
      <c r="R614" s="470"/>
      <c r="S614" s="470"/>
      <c r="T614" s="470"/>
    </row>
    <row r="615" spans="1:20" x14ac:dyDescent="0.2">
      <c r="A615" s="470"/>
      <c r="B615" s="470"/>
      <c r="C615" s="470"/>
      <c r="D615" s="470"/>
      <c r="E615" s="470"/>
      <c r="F615" s="470"/>
      <c r="G615" s="470"/>
      <c r="H615" s="470"/>
      <c r="I615" s="470"/>
      <c r="J615" s="470"/>
      <c r="K615" s="470"/>
      <c r="L615" s="470"/>
      <c r="M615" s="470"/>
      <c r="N615" s="470"/>
      <c r="O615" s="470"/>
      <c r="P615" s="470"/>
      <c r="Q615" s="470"/>
      <c r="R615" s="470"/>
      <c r="S615" s="470"/>
      <c r="T615" s="470"/>
    </row>
    <row r="616" spans="1:20" x14ac:dyDescent="0.2">
      <c r="A616" s="470"/>
      <c r="B616" s="470"/>
      <c r="C616" s="470"/>
      <c r="D616" s="470"/>
      <c r="E616" s="470"/>
      <c r="F616" s="470"/>
      <c r="G616" s="470"/>
      <c r="H616" s="470"/>
      <c r="I616" s="470"/>
      <c r="J616" s="470"/>
      <c r="K616" s="470"/>
      <c r="L616" s="470"/>
      <c r="M616" s="470"/>
      <c r="N616" s="470"/>
      <c r="O616" s="470"/>
      <c r="P616" s="470"/>
      <c r="Q616" s="470"/>
      <c r="R616" s="470"/>
      <c r="S616" s="470"/>
      <c r="T616" s="470"/>
    </row>
    <row r="617" spans="1:20" x14ac:dyDescent="0.2">
      <c r="A617" s="470"/>
      <c r="B617" s="470"/>
      <c r="C617" s="470"/>
      <c r="D617" s="470"/>
      <c r="E617" s="470"/>
      <c r="F617" s="470"/>
      <c r="G617" s="470"/>
      <c r="H617" s="470"/>
      <c r="I617" s="470"/>
      <c r="J617" s="470"/>
      <c r="K617" s="470"/>
      <c r="L617" s="470"/>
      <c r="M617" s="470"/>
      <c r="N617" s="470"/>
      <c r="O617" s="470"/>
      <c r="P617" s="470"/>
      <c r="Q617" s="470"/>
      <c r="R617" s="470"/>
      <c r="S617" s="470"/>
      <c r="T617" s="470"/>
    </row>
    <row r="618" spans="1:20" x14ac:dyDescent="0.2">
      <c r="A618" s="470"/>
      <c r="B618" s="470"/>
      <c r="C618" s="470"/>
      <c r="D618" s="470"/>
      <c r="E618" s="470"/>
      <c r="F618" s="470"/>
      <c r="G618" s="470"/>
      <c r="H618" s="470"/>
      <c r="I618" s="470"/>
      <c r="J618" s="470"/>
      <c r="K618" s="470"/>
      <c r="L618" s="470"/>
      <c r="M618" s="470"/>
      <c r="N618" s="470"/>
      <c r="O618" s="470"/>
      <c r="P618" s="470"/>
      <c r="Q618" s="470"/>
      <c r="R618" s="470"/>
      <c r="S618" s="470"/>
      <c r="T618" s="470"/>
    </row>
    <row r="619" spans="1:20" x14ac:dyDescent="0.2">
      <c r="A619" s="470"/>
      <c r="B619" s="470"/>
      <c r="C619" s="470"/>
      <c r="D619" s="470"/>
      <c r="E619" s="470"/>
      <c r="F619" s="470"/>
      <c r="G619" s="470"/>
      <c r="H619" s="470"/>
      <c r="I619" s="470"/>
      <c r="J619" s="470"/>
      <c r="K619" s="470"/>
      <c r="L619" s="470"/>
      <c r="M619" s="470"/>
      <c r="N619" s="470"/>
      <c r="O619" s="470"/>
      <c r="P619" s="470"/>
      <c r="Q619" s="470"/>
      <c r="R619" s="470"/>
      <c r="S619" s="470"/>
      <c r="T619" s="470"/>
    </row>
    <row r="620" spans="1:20" x14ac:dyDescent="0.2">
      <c r="A620" s="470"/>
      <c r="B620" s="470"/>
      <c r="C620" s="470"/>
      <c r="D620" s="470"/>
      <c r="E620" s="470"/>
      <c r="F620" s="470"/>
      <c r="G620" s="470"/>
      <c r="H620" s="470"/>
      <c r="I620" s="470"/>
      <c r="J620" s="470"/>
      <c r="K620" s="470"/>
      <c r="L620" s="470"/>
      <c r="M620" s="470"/>
      <c r="N620" s="470"/>
      <c r="O620" s="470"/>
      <c r="P620" s="470"/>
      <c r="Q620" s="470"/>
      <c r="R620" s="470"/>
      <c r="S620" s="470"/>
      <c r="T620" s="470"/>
    </row>
    <row r="621" spans="1:20" x14ac:dyDescent="0.2">
      <c r="A621" s="470"/>
      <c r="B621" s="470"/>
      <c r="C621" s="470"/>
      <c r="D621" s="470"/>
      <c r="E621" s="470"/>
      <c r="F621" s="470"/>
      <c r="G621" s="470"/>
      <c r="H621" s="470"/>
      <c r="I621" s="470"/>
      <c r="J621" s="470"/>
      <c r="K621" s="470"/>
      <c r="L621" s="470"/>
      <c r="M621" s="470"/>
      <c r="N621" s="470"/>
      <c r="O621" s="470"/>
      <c r="P621" s="470"/>
      <c r="Q621" s="470"/>
      <c r="R621" s="470"/>
      <c r="S621" s="470"/>
      <c r="T621" s="470"/>
    </row>
    <row r="622" spans="1:20" x14ac:dyDescent="0.2">
      <c r="A622" s="470"/>
      <c r="B622" s="470"/>
      <c r="C622" s="470"/>
      <c r="D622" s="470"/>
      <c r="E622" s="470"/>
      <c r="F622" s="470"/>
      <c r="G622" s="470"/>
      <c r="H622" s="470"/>
      <c r="I622" s="470"/>
      <c r="J622" s="470"/>
      <c r="K622" s="470"/>
      <c r="L622" s="470"/>
      <c r="M622" s="470"/>
      <c r="N622" s="470"/>
      <c r="O622" s="470"/>
      <c r="P622" s="470"/>
      <c r="Q622" s="470"/>
      <c r="R622" s="470"/>
      <c r="S622" s="470"/>
      <c r="T622" s="470"/>
    </row>
    <row r="623" spans="1:20" x14ac:dyDescent="0.2">
      <c r="A623" s="470"/>
      <c r="B623" s="470"/>
      <c r="C623" s="470"/>
      <c r="D623" s="470"/>
      <c r="E623" s="470"/>
      <c r="F623" s="470"/>
      <c r="G623" s="470"/>
      <c r="H623" s="470"/>
      <c r="I623" s="470"/>
      <c r="J623" s="470"/>
      <c r="K623" s="470"/>
      <c r="L623" s="470"/>
      <c r="M623" s="470"/>
      <c r="N623" s="470"/>
      <c r="O623" s="470"/>
      <c r="P623" s="470"/>
      <c r="Q623" s="470"/>
      <c r="R623" s="470"/>
      <c r="S623" s="470"/>
      <c r="T623" s="470"/>
    </row>
    <row r="624" spans="1:20" x14ac:dyDescent="0.2">
      <c r="A624" s="470"/>
      <c r="B624" s="470"/>
      <c r="C624" s="470"/>
      <c r="D624" s="470"/>
      <c r="E624" s="470"/>
      <c r="F624" s="470"/>
      <c r="G624" s="470"/>
      <c r="H624" s="470"/>
      <c r="I624" s="470"/>
      <c r="J624" s="470"/>
      <c r="K624" s="470"/>
      <c r="L624" s="470"/>
      <c r="M624" s="470"/>
      <c r="N624" s="470"/>
      <c r="O624" s="470"/>
      <c r="P624" s="470"/>
      <c r="Q624" s="470"/>
      <c r="R624" s="470"/>
      <c r="S624" s="470"/>
      <c r="T624" s="470"/>
    </row>
    <row r="625" spans="1:20" x14ac:dyDescent="0.2">
      <c r="A625" s="470"/>
      <c r="B625" s="470"/>
      <c r="C625" s="470"/>
      <c r="D625" s="470"/>
      <c r="E625" s="470"/>
      <c r="F625" s="470"/>
      <c r="G625" s="470"/>
      <c r="H625" s="470"/>
      <c r="I625" s="470"/>
      <c r="J625" s="470"/>
      <c r="K625" s="470"/>
      <c r="L625" s="470"/>
      <c r="M625" s="470"/>
      <c r="N625" s="470"/>
      <c r="O625" s="470"/>
      <c r="P625" s="470"/>
      <c r="Q625" s="470"/>
      <c r="R625" s="470"/>
      <c r="S625" s="470"/>
      <c r="T625" s="470"/>
    </row>
    <row r="626" spans="1:20" x14ac:dyDescent="0.2">
      <c r="A626" s="470"/>
      <c r="B626" s="470"/>
      <c r="C626" s="470"/>
      <c r="D626" s="470"/>
      <c r="E626" s="470"/>
      <c r="F626" s="470"/>
      <c r="G626" s="470"/>
      <c r="H626" s="470"/>
      <c r="I626" s="470"/>
      <c r="J626" s="470"/>
      <c r="K626" s="470"/>
      <c r="L626" s="470"/>
      <c r="M626" s="470"/>
      <c r="N626" s="470"/>
      <c r="O626" s="470"/>
      <c r="P626" s="470"/>
      <c r="Q626" s="470"/>
      <c r="R626" s="470"/>
      <c r="S626" s="470"/>
      <c r="T626" s="470"/>
    </row>
    <row r="627" spans="1:20" x14ac:dyDescent="0.2">
      <c r="A627" s="470"/>
      <c r="B627" s="470"/>
      <c r="C627" s="470"/>
      <c r="D627" s="470"/>
      <c r="E627" s="470"/>
      <c r="F627" s="470"/>
      <c r="G627" s="470"/>
      <c r="H627" s="470"/>
      <c r="I627" s="470"/>
      <c r="J627" s="470"/>
      <c r="K627" s="470"/>
      <c r="L627" s="470"/>
      <c r="M627" s="470"/>
      <c r="N627" s="470"/>
      <c r="O627" s="470"/>
      <c r="P627" s="470"/>
      <c r="Q627" s="470"/>
      <c r="R627" s="470"/>
      <c r="S627" s="470"/>
      <c r="T627" s="470"/>
    </row>
    <row r="628" spans="1:20" x14ac:dyDescent="0.2">
      <c r="A628" s="470"/>
      <c r="B628" s="470"/>
      <c r="C628" s="470"/>
      <c r="D628" s="470"/>
      <c r="E628" s="470"/>
      <c r="F628" s="470"/>
      <c r="G628" s="470"/>
      <c r="H628" s="470"/>
      <c r="I628" s="470"/>
      <c r="J628" s="470"/>
      <c r="K628" s="470"/>
      <c r="L628" s="470"/>
      <c r="M628" s="470"/>
      <c r="N628" s="470"/>
      <c r="O628" s="470"/>
      <c r="P628" s="470"/>
      <c r="Q628" s="470"/>
      <c r="R628" s="470"/>
      <c r="S628" s="470"/>
      <c r="T628" s="470"/>
    </row>
    <row r="629" spans="1:20" x14ac:dyDescent="0.2">
      <c r="A629" s="470"/>
      <c r="B629" s="470"/>
      <c r="C629" s="470"/>
      <c r="D629" s="470"/>
      <c r="E629" s="470"/>
      <c r="F629" s="470"/>
      <c r="G629" s="470"/>
      <c r="H629" s="470"/>
      <c r="I629" s="470"/>
      <c r="J629" s="470"/>
      <c r="K629" s="470"/>
      <c r="L629" s="470"/>
      <c r="M629" s="470"/>
      <c r="N629" s="470"/>
      <c r="O629" s="470"/>
      <c r="P629" s="470"/>
      <c r="Q629" s="470"/>
      <c r="R629" s="470"/>
      <c r="S629" s="470"/>
      <c r="T629" s="470"/>
    </row>
    <row r="630" spans="1:20" x14ac:dyDescent="0.2">
      <c r="A630" s="470"/>
      <c r="B630" s="470"/>
      <c r="C630" s="470"/>
      <c r="D630" s="470"/>
      <c r="E630" s="470"/>
      <c r="F630" s="470"/>
      <c r="G630" s="470"/>
      <c r="H630" s="470"/>
      <c r="I630" s="470"/>
      <c r="J630" s="470"/>
      <c r="K630" s="470"/>
      <c r="L630" s="470"/>
      <c r="M630" s="470"/>
      <c r="N630" s="470"/>
      <c r="O630" s="470"/>
      <c r="P630" s="470"/>
      <c r="Q630" s="470"/>
      <c r="R630" s="470"/>
      <c r="S630" s="470"/>
      <c r="T630" s="470"/>
    </row>
    <row r="631" spans="1:20" x14ac:dyDescent="0.2">
      <c r="A631" s="470"/>
      <c r="B631" s="470"/>
      <c r="C631" s="470"/>
      <c r="D631" s="470"/>
      <c r="E631" s="470"/>
      <c r="F631" s="470"/>
      <c r="G631" s="470"/>
      <c r="H631" s="470"/>
      <c r="I631" s="470"/>
      <c r="J631" s="470"/>
      <c r="K631" s="470"/>
      <c r="L631" s="470"/>
      <c r="M631" s="470"/>
      <c r="N631" s="470"/>
      <c r="O631" s="470"/>
      <c r="P631" s="470"/>
      <c r="Q631" s="470"/>
      <c r="R631" s="470"/>
      <c r="S631" s="470"/>
      <c r="T631" s="470"/>
    </row>
    <row r="632" spans="1:20" x14ac:dyDescent="0.2">
      <c r="A632" s="470"/>
      <c r="B632" s="470"/>
      <c r="C632" s="470"/>
      <c r="D632" s="470"/>
      <c r="E632" s="470"/>
      <c r="F632" s="470"/>
      <c r="G632" s="470"/>
      <c r="H632" s="470"/>
      <c r="I632" s="470"/>
      <c r="J632" s="470"/>
      <c r="K632" s="470"/>
      <c r="L632" s="470"/>
      <c r="M632" s="470"/>
      <c r="N632" s="470"/>
      <c r="O632" s="470"/>
      <c r="P632" s="470"/>
      <c r="Q632" s="470"/>
      <c r="R632" s="470"/>
      <c r="S632" s="470"/>
      <c r="T632" s="470"/>
    </row>
    <row r="633" spans="1:20" x14ac:dyDescent="0.2">
      <c r="A633" s="470"/>
      <c r="B633" s="470"/>
      <c r="C633" s="470"/>
      <c r="D633" s="470"/>
      <c r="E633" s="470"/>
      <c r="F633" s="470"/>
      <c r="G633" s="470"/>
      <c r="H633" s="470"/>
      <c r="I633" s="470"/>
      <c r="J633" s="470"/>
      <c r="K633" s="470"/>
      <c r="L633" s="470"/>
      <c r="M633" s="470"/>
      <c r="N633" s="470"/>
      <c r="O633" s="470"/>
      <c r="P633" s="470"/>
      <c r="Q633" s="470"/>
      <c r="R633" s="470"/>
      <c r="S633" s="470"/>
      <c r="T633" s="470"/>
    </row>
    <row r="634" spans="1:20" x14ac:dyDescent="0.2">
      <c r="A634" s="470"/>
      <c r="B634" s="470"/>
      <c r="C634" s="470"/>
      <c r="D634" s="470"/>
      <c r="E634" s="470"/>
      <c r="F634" s="470"/>
      <c r="G634" s="470"/>
      <c r="H634" s="470"/>
      <c r="I634" s="470"/>
      <c r="J634" s="470"/>
      <c r="K634" s="470"/>
      <c r="L634" s="470"/>
      <c r="M634" s="470"/>
      <c r="N634" s="470"/>
      <c r="O634" s="470"/>
      <c r="P634" s="470"/>
      <c r="Q634" s="470"/>
      <c r="R634" s="470"/>
      <c r="S634" s="470"/>
      <c r="T634" s="470"/>
    </row>
    <row r="635" spans="1:20" x14ac:dyDescent="0.2">
      <c r="A635" s="470"/>
      <c r="B635" s="470"/>
      <c r="C635" s="470"/>
      <c r="D635" s="470"/>
      <c r="E635" s="470"/>
      <c r="F635" s="470"/>
      <c r="G635" s="470"/>
      <c r="H635" s="470"/>
      <c r="I635" s="470"/>
      <c r="J635" s="470"/>
      <c r="K635" s="470"/>
      <c r="L635" s="470"/>
      <c r="M635" s="470"/>
      <c r="N635" s="470"/>
      <c r="O635" s="470"/>
      <c r="P635" s="470"/>
      <c r="Q635" s="470"/>
      <c r="R635" s="470"/>
      <c r="S635" s="470"/>
      <c r="T635" s="470"/>
    </row>
    <row r="636" spans="1:20" x14ac:dyDescent="0.2">
      <c r="A636" s="470"/>
      <c r="B636" s="470"/>
      <c r="C636" s="470"/>
      <c r="D636" s="470"/>
      <c r="E636" s="470"/>
      <c r="F636" s="470"/>
      <c r="G636" s="470"/>
      <c r="H636" s="470"/>
      <c r="I636" s="470"/>
      <c r="J636" s="470"/>
      <c r="K636" s="470"/>
      <c r="L636" s="470"/>
      <c r="M636" s="470"/>
      <c r="N636" s="470"/>
      <c r="O636" s="470"/>
      <c r="P636" s="470"/>
      <c r="Q636" s="470"/>
      <c r="R636" s="470"/>
      <c r="S636" s="470"/>
      <c r="T636" s="470"/>
    </row>
    <row r="637" spans="1:20" x14ac:dyDescent="0.2">
      <c r="A637" s="470"/>
      <c r="B637" s="470"/>
      <c r="C637" s="470"/>
      <c r="D637" s="470"/>
      <c r="E637" s="470"/>
      <c r="F637" s="470"/>
      <c r="G637" s="470"/>
      <c r="H637" s="470"/>
      <c r="I637" s="470"/>
      <c r="J637" s="470"/>
      <c r="K637" s="470"/>
      <c r="L637" s="470"/>
      <c r="M637" s="470"/>
      <c r="N637" s="470"/>
      <c r="O637" s="470"/>
      <c r="P637" s="470"/>
      <c r="Q637" s="470"/>
      <c r="R637" s="470"/>
      <c r="S637" s="470"/>
      <c r="T637" s="470"/>
    </row>
    <row r="638" spans="1:20" x14ac:dyDescent="0.2">
      <c r="A638" s="470"/>
      <c r="B638" s="470"/>
      <c r="C638" s="470"/>
      <c r="D638" s="470"/>
      <c r="E638" s="470"/>
      <c r="F638" s="470"/>
      <c r="G638" s="470"/>
      <c r="H638" s="470"/>
      <c r="I638" s="470"/>
      <c r="J638" s="470"/>
      <c r="K638" s="470"/>
      <c r="L638" s="470"/>
      <c r="M638" s="470"/>
      <c r="N638" s="470"/>
      <c r="O638" s="470"/>
      <c r="P638" s="470"/>
      <c r="Q638" s="470"/>
      <c r="R638" s="470"/>
      <c r="S638" s="470"/>
      <c r="T638" s="470"/>
    </row>
    <row r="639" spans="1:20" x14ac:dyDescent="0.2">
      <c r="A639" s="470"/>
      <c r="B639" s="470"/>
      <c r="C639" s="470"/>
      <c r="D639" s="470"/>
      <c r="E639" s="470"/>
      <c r="F639" s="470"/>
      <c r="G639" s="470"/>
      <c r="H639" s="470"/>
      <c r="I639" s="470"/>
      <c r="J639" s="470"/>
      <c r="K639" s="470"/>
      <c r="L639" s="470"/>
      <c r="M639" s="470"/>
      <c r="N639" s="470"/>
      <c r="O639" s="470"/>
      <c r="P639" s="470"/>
      <c r="Q639" s="470"/>
      <c r="R639" s="470"/>
      <c r="S639" s="470"/>
      <c r="T639" s="470"/>
    </row>
    <row r="640" spans="1:20" x14ac:dyDescent="0.2">
      <c r="A640" s="470"/>
      <c r="B640" s="470"/>
      <c r="C640" s="470"/>
      <c r="D640" s="470"/>
      <c r="E640" s="470"/>
      <c r="F640" s="470"/>
      <c r="G640" s="470"/>
      <c r="H640" s="470"/>
      <c r="I640" s="470"/>
      <c r="J640" s="470"/>
      <c r="K640" s="470"/>
      <c r="L640" s="470"/>
      <c r="M640" s="470"/>
      <c r="N640" s="470"/>
      <c r="O640" s="470"/>
      <c r="P640" s="470"/>
      <c r="Q640" s="470"/>
      <c r="R640" s="470"/>
      <c r="S640" s="470"/>
      <c r="T640" s="470"/>
    </row>
    <row r="641" spans="1:20" x14ac:dyDescent="0.2">
      <c r="A641" s="470"/>
      <c r="B641" s="470"/>
      <c r="C641" s="470"/>
      <c r="D641" s="470"/>
      <c r="E641" s="470"/>
      <c r="F641" s="470"/>
      <c r="G641" s="470"/>
      <c r="H641" s="470"/>
      <c r="I641" s="470"/>
      <c r="J641" s="470"/>
      <c r="K641" s="470"/>
      <c r="L641" s="470"/>
      <c r="M641" s="470"/>
      <c r="N641" s="470"/>
      <c r="O641" s="470"/>
      <c r="P641" s="470"/>
      <c r="Q641" s="470"/>
      <c r="R641" s="470"/>
      <c r="S641" s="470"/>
      <c r="T641" s="470"/>
    </row>
    <row r="642" spans="1:20" x14ac:dyDescent="0.2">
      <c r="A642" s="470"/>
      <c r="B642" s="470"/>
      <c r="C642" s="470"/>
      <c r="D642" s="470"/>
      <c r="E642" s="470"/>
      <c r="F642" s="470"/>
      <c r="G642" s="470"/>
      <c r="H642" s="470"/>
      <c r="I642" s="470"/>
      <c r="J642" s="470"/>
      <c r="K642" s="470"/>
      <c r="L642" s="470"/>
      <c r="M642" s="470"/>
      <c r="N642" s="470"/>
      <c r="O642" s="470"/>
      <c r="P642" s="470"/>
      <c r="Q642" s="470"/>
      <c r="R642" s="470"/>
      <c r="S642" s="470"/>
      <c r="T642" s="470"/>
    </row>
    <row r="643" spans="1:20" x14ac:dyDescent="0.2">
      <c r="A643" s="470"/>
      <c r="B643" s="470"/>
      <c r="C643" s="470"/>
      <c r="D643" s="470"/>
      <c r="E643" s="470"/>
      <c r="F643" s="470"/>
      <c r="G643" s="470"/>
      <c r="H643" s="470"/>
      <c r="I643" s="470"/>
      <c r="J643" s="470"/>
      <c r="K643" s="470"/>
      <c r="L643" s="470"/>
      <c r="M643" s="470"/>
      <c r="N643" s="470"/>
      <c r="O643" s="470"/>
      <c r="P643" s="470"/>
      <c r="Q643" s="470"/>
      <c r="R643" s="470"/>
      <c r="S643" s="470"/>
      <c r="T643" s="470"/>
    </row>
    <row r="644" spans="1:20" x14ac:dyDescent="0.2">
      <c r="A644" s="470"/>
      <c r="B644" s="470"/>
      <c r="C644" s="470"/>
      <c r="D644" s="470"/>
      <c r="E644" s="470"/>
      <c r="F644" s="470"/>
      <c r="G644" s="470"/>
      <c r="H644" s="470"/>
      <c r="I644" s="470"/>
      <c r="J644" s="470"/>
      <c r="K644" s="470"/>
      <c r="L644" s="470"/>
      <c r="M644" s="470"/>
      <c r="N644" s="470"/>
      <c r="O644" s="470"/>
      <c r="P644" s="470"/>
      <c r="Q644" s="470"/>
      <c r="R644" s="470"/>
      <c r="S644" s="470"/>
      <c r="T644" s="470"/>
    </row>
    <row r="645" spans="1:20" x14ac:dyDescent="0.2">
      <c r="A645" s="470"/>
      <c r="B645" s="470"/>
      <c r="C645" s="470"/>
      <c r="D645" s="470"/>
      <c r="E645" s="470"/>
      <c r="F645" s="470"/>
      <c r="G645" s="470"/>
      <c r="H645" s="470"/>
      <c r="I645" s="470"/>
      <c r="J645" s="470"/>
      <c r="K645" s="470"/>
      <c r="L645" s="470"/>
      <c r="M645" s="470"/>
      <c r="N645" s="470"/>
      <c r="O645" s="470"/>
      <c r="P645" s="470"/>
      <c r="Q645" s="470"/>
      <c r="R645" s="470"/>
      <c r="S645" s="470"/>
      <c r="T645" s="470"/>
    </row>
    <row r="646" spans="1:20" x14ac:dyDescent="0.2">
      <c r="A646" s="470"/>
      <c r="B646" s="470"/>
      <c r="C646" s="470"/>
      <c r="D646" s="470"/>
      <c r="E646" s="470"/>
      <c r="F646" s="470"/>
      <c r="G646" s="470"/>
      <c r="H646" s="470"/>
      <c r="I646" s="470"/>
      <c r="J646" s="470"/>
      <c r="K646" s="470"/>
      <c r="L646" s="470"/>
      <c r="M646" s="470"/>
      <c r="N646" s="470"/>
      <c r="O646" s="470"/>
      <c r="P646" s="470"/>
      <c r="Q646" s="470"/>
      <c r="R646" s="470"/>
      <c r="S646" s="470"/>
      <c r="T646" s="470"/>
    </row>
    <row r="647" spans="1:20" x14ac:dyDescent="0.2">
      <c r="A647" s="470"/>
      <c r="B647" s="470"/>
      <c r="C647" s="470"/>
      <c r="D647" s="470"/>
      <c r="E647" s="470"/>
      <c r="F647" s="470"/>
      <c r="G647" s="470"/>
      <c r="H647" s="470"/>
      <c r="I647" s="470"/>
      <c r="J647" s="470"/>
      <c r="K647" s="470"/>
      <c r="L647" s="470"/>
      <c r="M647" s="470"/>
      <c r="N647" s="470"/>
      <c r="O647" s="470"/>
      <c r="P647" s="470"/>
      <c r="Q647" s="470"/>
      <c r="R647" s="470"/>
      <c r="S647" s="470"/>
      <c r="T647" s="470"/>
    </row>
    <row r="648" spans="1:20" x14ac:dyDescent="0.2">
      <c r="A648" s="470"/>
      <c r="B648" s="470"/>
      <c r="C648" s="470"/>
      <c r="D648" s="470"/>
      <c r="E648" s="470"/>
      <c r="F648" s="470"/>
      <c r="G648" s="470"/>
      <c r="H648" s="470"/>
      <c r="I648" s="470"/>
      <c r="J648" s="470"/>
      <c r="K648" s="470"/>
      <c r="L648" s="470"/>
      <c r="M648" s="470"/>
      <c r="N648" s="470"/>
      <c r="O648" s="470"/>
      <c r="P648" s="470"/>
      <c r="Q648" s="470"/>
      <c r="R648" s="470"/>
      <c r="S648" s="470"/>
      <c r="T648" s="470"/>
    </row>
    <row r="649" spans="1:20" x14ac:dyDescent="0.2">
      <c r="A649" s="470"/>
      <c r="B649" s="470"/>
      <c r="C649" s="470"/>
      <c r="D649" s="470"/>
      <c r="E649" s="470"/>
      <c r="F649" s="470"/>
      <c r="G649" s="470"/>
      <c r="H649" s="470"/>
      <c r="I649" s="470"/>
      <c r="J649" s="470"/>
      <c r="K649" s="470"/>
      <c r="L649" s="470"/>
      <c r="M649" s="470"/>
      <c r="N649" s="470"/>
      <c r="O649" s="470"/>
      <c r="P649" s="470"/>
      <c r="Q649" s="470"/>
      <c r="R649" s="470"/>
      <c r="S649" s="470"/>
      <c r="T649" s="470"/>
    </row>
    <row r="650" spans="1:20" x14ac:dyDescent="0.2">
      <c r="A650" s="470"/>
      <c r="B650" s="470"/>
      <c r="C650" s="470"/>
      <c r="D650" s="470"/>
      <c r="E650" s="470"/>
      <c r="F650" s="470"/>
      <c r="G650" s="470"/>
      <c r="H650" s="470"/>
      <c r="I650" s="470"/>
      <c r="J650" s="470"/>
      <c r="K650" s="470"/>
      <c r="L650" s="470"/>
      <c r="M650" s="470"/>
      <c r="N650" s="470"/>
      <c r="O650" s="470"/>
      <c r="P650" s="470"/>
      <c r="Q650" s="470"/>
      <c r="R650" s="470"/>
      <c r="S650" s="470"/>
      <c r="T650" s="470"/>
    </row>
    <row r="651" spans="1:20" x14ac:dyDescent="0.2">
      <c r="A651" s="470"/>
      <c r="B651" s="470"/>
      <c r="C651" s="470"/>
      <c r="D651" s="470"/>
      <c r="E651" s="470"/>
      <c r="F651" s="470"/>
      <c r="G651" s="470"/>
      <c r="H651" s="470"/>
      <c r="I651" s="470"/>
      <c r="J651" s="470"/>
      <c r="K651" s="470"/>
      <c r="L651" s="470"/>
      <c r="M651" s="470"/>
      <c r="N651" s="470"/>
      <c r="O651" s="470"/>
      <c r="P651" s="470"/>
      <c r="Q651" s="470"/>
      <c r="R651" s="470"/>
      <c r="S651" s="470"/>
      <c r="T651" s="470"/>
    </row>
    <row r="652" spans="1:20" x14ac:dyDescent="0.2">
      <c r="A652" s="470"/>
      <c r="B652" s="470"/>
      <c r="C652" s="470"/>
      <c r="D652" s="470"/>
      <c r="E652" s="470"/>
      <c r="F652" s="470"/>
      <c r="G652" s="470"/>
      <c r="H652" s="470"/>
      <c r="I652" s="470"/>
      <c r="J652" s="470"/>
      <c r="K652" s="470"/>
      <c r="L652" s="470"/>
      <c r="M652" s="470"/>
      <c r="N652" s="470"/>
      <c r="O652" s="470"/>
      <c r="P652" s="470"/>
      <c r="Q652" s="470"/>
      <c r="R652" s="470"/>
      <c r="S652" s="470"/>
      <c r="T652" s="470"/>
    </row>
    <row r="653" spans="1:20" x14ac:dyDescent="0.2">
      <c r="A653" s="470"/>
      <c r="B653" s="470"/>
      <c r="C653" s="470"/>
      <c r="D653" s="470"/>
      <c r="E653" s="470"/>
      <c r="F653" s="470"/>
      <c r="G653" s="470"/>
      <c r="H653" s="470"/>
      <c r="I653" s="470"/>
      <c r="J653" s="470"/>
      <c r="K653" s="470"/>
      <c r="L653" s="470"/>
      <c r="M653" s="470"/>
      <c r="N653" s="470"/>
      <c r="O653" s="470"/>
      <c r="P653" s="470"/>
      <c r="Q653" s="470"/>
      <c r="R653" s="470"/>
      <c r="S653" s="470"/>
      <c r="T653" s="470"/>
    </row>
    <row r="654" spans="1:20" x14ac:dyDescent="0.2">
      <c r="A654" s="470"/>
      <c r="B654" s="470"/>
      <c r="C654" s="470"/>
      <c r="D654" s="470"/>
      <c r="E654" s="470"/>
      <c r="F654" s="470"/>
      <c r="G654" s="470"/>
      <c r="H654" s="470"/>
      <c r="I654" s="470"/>
      <c r="J654" s="470"/>
      <c r="K654" s="470"/>
      <c r="L654" s="470"/>
      <c r="M654" s="470"/>
      <c r="N654" s="470"/>
      <c r="O654" s="470"/>
      <c r="P654" s="470"/>
      <c r="Q654" s="470"/>
      <c r="R654" s="470"/>
      <c r="S654" s="470"/>
      <c r="T654" s="470"/>
    </row>
    <row r="655" spans="1:20" x14ac:dyDescent="0.2">
      <c r="A655" s="470"/>
      <c r="B655" s="470"/>
      <c r="C655" s="470"/>
      <c r="D655" s="470"/>
      <c r="E655" s="470"/>
      <c r="F655" s="470"/>
      <c r="G655" s="470"/>
      <c r="H655" s="470"/>
      <c r="I655" s="470"/>
      <c r="J655" s="470"/>
      <c r="K655" s="470"/>
      <c r="L655" s="470"/>
      <c r="M655" s="470"/>
      <c r="N655" s="470"/>
      <c r="O655" s="470"/>
      <c r="P655" s="470"/>
      <c r="Q655" s="470"/>
      <c r="R655" s="470"/>
      <c r="S655" s="470"/>
      <c r="T655" s="470"/>
    </row>
    <row r="656" spans="1:20" x14ac:dyDescent="0.2">
      <c r="A656" s="470"/>
      <c r="B656" s="470"/>
      <c r="C656" s="470"/>
      <c r="D656" s="470"/>
      <c r="E656" s="470"/>
      <c r="F656" s="470"/>
      <c r="G656" s="470"/>
      <c r="H656" s="470"/>
      <c r="I656" s="470"/>
      <c r="J656" s="470"/>
      <c r="K656" s="470"/>
      <c r="L656" s="470"/>
      <c r="M656" s="470"/>
      <c r="N656" s="470"/>
      <c r="O656" s="470"/>
      <c r="P656" s="470"/>
      <c r="Q656" s="470"/>
      <c r="R656" s="470"/>
      <c r="S656" s="470"/>
      <c r="T656" s="470"/>
    </row>
    <row r="657" spans="1:20" x14ac:dyDescent="0.2">
      <c r="A657" s="470"/>
      <c r="B657" s="470"/>
      <c r="C657" s="470"/>
      <c r="D657" s="470"/>
      <c r="E657" s="470"/>
      <c r="F657" s="470"/>
      <c r="G657" s="470"/>
      <c r="H657" s="470"/>
      <c r="I657" s="470"/>
      <c r="J657" s="470"/>
      <c r="K657" s="470"/>
      <c r="L657" s="470"/>
      <c r="M657" s="470"/>
      <c r="N657" s="470"/>
      <c r="O657" s="470"/>
      <c r="P657" s="470"/>
      <c r="Q657" s="470"/>
      <c r="R657" s="470"/>
      <c r="S657" s="470"/>
      <c r="T657" s="470"/>
    </row>
    <row r="658" spans="1:20" x14ac:dyDescent="0.2">
      <c r="A658" s="470"/>
      <c r="B658" s="470"/>
      <c r="C658" s="470"/>
      <c r="D658" s="470"/>
      <c r="E658" s="470"/>
      <c r="F658" s="470"/>
      <c r="G658" s="470"/>
      <c r="H658" s="470"/>
      <c r="I658" s="470"/>
      <c r="J658" s="470"/>
      <c r="K658" s="470"/>
      <c r="L658" s="470"/>
      <c r="M658" s="470"/>
      <c r="N658" s="470"/>
      <c r="O658" s="470"/>
      <c r="P658" s="470"/>
      <c r="Q658" s="470"/>
      <c r="R658" s="470"/>
      <c r="S658" s="470"/>
      <c r="T658" s="470"/>
    </row>
    <row r="659" spans="1:20" x14ac:dyDescent="0.2">
      <c r="A659" s="470"/>
      <c r="B659" s="470"/>
      <c r="C659" s="470"/>
      <c r="D659" s="470"/>
      <c r="E659" s="470"/>
      <c r="F659" s="470"/>
      <c r="G659" s="470"/>
      <c r="H659" s="470"/>
      <c r="I659" s="470"/>
      <c r="J659" s="470"/>
      <c r="K659" s="470"/>
      <c r="L659" s="470"/>
      <c r="M659" s="470"/>
      <c r="N659" s="470"/>
      <c r="O659" s="470"/>
      <c r="P659" s="470"/>
      <c r="Q659" s="470"/>
      <c r="R659" s="470"/>
      <c r="S659" s="470"/>
      <c r="T659" s="470"/>
    </row>
    <row r="660" spans="1:20" x14ac:dyDescent="0.2">
      <c r="A660" s="470"/>
      <c r="B660" s="470"/>
      <c r="C660" s="470"/>
      <c r="D660" s="470"/>
      <c r="E660" s="470"/>
      <c r="F660" s="470"/>
      <c r="G660" s="470"/>
      <c r="H660" s="470"/>
      <c r="I660" s="470"/>
      <c r="J660" s="470"/>
      <c r="K660" s="470"/>
      <c r="L660" s="470"/>
      <c r="M660" s="470"/>
      <c r="N660" s="470"/>
      <c r="O660" s="470"/>
      <c r="P660" s="470"/>
      <c r="Q660" s="470"/>
      <c r="R660" s="470"/>
      <c r="S660" s="470"/>
      <c r="T660" s="470"/>
    </row>
    <row r="661" spans="1:20" x14ac:dyDescent="0.2">
      <c r="A661" s="470"/>
      <c r="B661" s="470"/>
      <c r="C661" s="470"/>
      <c r="D661" s="470"/>
      <c r="E661" s="470"/>
      <c r="F661" s="470"/>
      <c r="G661" s="470"/>
      <c r="H661" s="470"/>
      <c r="I661" s="470"/>
      <c r="J661" s="470"/>
      <c r="K661" s="470"/>
      <c r="L661" s="470"/>
      <c r="M661" s="470"/>
      <c r="N661" s="470"/>
      <c r="O661" s="470"/>
      <c r="P661" s="470"/>
      <c r="Q661" s="470"/>
      <c r="R661" s="470"/>
      <c r="S661" s="470"/>
      <c r="T661" s="470"/>
    </row>
    <row r="662" spans="1:20" x14ac:dyDescent="0.2">
      <c r="A662" s="470"/>
      <c r="B662" s="470"/>
      <c r="C662" s="470"/>
      <c r="D662" s="470"/>
      <c r="E662" s="470"/>
      <c r="F662" s="470"/>
      <c r="G662" s="470"/>
      <c r="H662" s="470"/>
      <c r="I662" s="470"/>
      <c r="J662" s="470"/>
      <c r="K662" s="470"/>
      <c r="L662" s="470"/>
      <c r="M662" s="470"/>
      <c r="N662" s="470"/>
      <c r="O662" s="470"/>
      <c r="P662" s="470"/>
      <c r="Q662" s="470"/>
      <c r="R662" s="470"/>
      <c r="S662" s="470"/>
      <c r="T662" s="470"/>
    </row>
    <row r="663" spans="1:20" x14ac:dyDescent="0.2">
      <c r="A663" s="470"/>
      <c r="B663" s="470"/>
      <c r="C663" s="470"/>
      <c r="D663" s="470"/>
      <c r="E663" s="470"/>
      <c r="F663" s="470"/>
      <c r="G663" s="470"/>
      <c r="H663" s="470"/>
      <c r="I663" s="470"/>
      <c r="J663" s="470"/>
      <c r="K663" s="470"/>
      <c r="L663" s="470"/>
      <c r="M663" s="470"/>
      <c r="N663" s="470"/>
      <c r="O663" s="470"/>
      <c r="P663" s="470"/>
      <c r="Q663" s="470"/>
      <c r="R663" s="470"/>
      <c r="S663" s="470"/>
      <c r="T663" s="470"/>
    </row>
    <row r="664" spans="1:20" x14ac:dyDescent="0.2">
      <c r="A664" s="470"/>
      <c r="B664" s="470"/>
      <c r="C664" s="470"/>
      <c r="D664" s="470"/>
      <c r="E664" s="470"/>
      <c r="F664" s="470"/>
      <c r="G664" s="470"/>
      <c r="H664" s="470"/>
      <c r="I664" s="470"/>
      <c r="J664" s="470"/>
      <c r="K664" s="470"/>
      <c r="L664" s="470"/>
      <c r="M664" s="470"/>
      <c r="N664" s="470"/>
      <c r="O664" s="470"/>
      <c r="P664" s="470"/>
      <c r="Q664" s="470"/>
      <c r="R664" s="470"/>
      <c r="S664" s="470"/>
      <c r="T664" s="470"/>
    </row>
    <row r="665" spans="1:20" x14ac:dyDescent="0.2">
      <c r="A665" s="470"/>
      <c r="B665" s="470"/>
      <c r="C665" s="470"/>
      <c r="D665" s="470"/>
      <c r="E665" s="470"/>
      <c r="F665" s="470"/>
      <c r="G665" s="470"/>
      <c r="H665" s="470"/>
      <c r="I665" s="470"/>
      <c r="J665" s="470"/>
      <c r="K665" s="470"/>
      <c r="L665" s="470"/>
      <c r="M665" s="470"/>
      <c r="N665" s="470"/>
      <c r="O665" s="470"/>
      <c r="P665" s="470"/>
      <c r="Q665" s="470"/>
      <c r="R665" s="470"/>
      <c r="S665" s="470"/>
      <c r="T665" s="470"/>
    </row>
    <row r="666" spans="1:20" x14ac:dyDescent="0.2">
      <c r="A666" s="470"/>
      <c r="B666" s="470"/>
      <c r="C666" s="470"/>
      <c r="D666" s="470"/>
      <c r="E666" s="470"/>
      <c r="F666" s="470"/>
      <c r="G666" s="470"/>
      <c r="H666" s="470"/>
      <c r="I666" s="470"/>
      <c r="J666" s="470"/>
      <c r="K666" s="470"/>
      <c r="L666" s="470"/>
      <c r="M666" s="470"/>
      <c r="N666" s="470"/>
      <c r="O666" s="470"/>
      <c r="P666" s="470"/>
      <c r="Q666" s="470"/>
      <c r="R666" s="470"/>
      <c r="S666" s="470"/>
      <c r="T666" s="470"/>
    </row>
    <row r="667" spans="1:20" x14ac:dyDescent="0.2">
      <c r="A667" s="470"/>
      <c r="B667" s="470"/>
      <c r="C667" s="470"/>
      <c r="D667" s="470"/>
      <c r="E667" s="470"/>
      <c r="F667" s="470"/>
      <c r="G667" s="470"/>
      <c r="H667" s="470"/>
      <c r="I667" s="470"/>
      <c r="J667" s="470"/>
      <c r="K667" s="470"/>
      <c r="L667" s="470"/>
      <c r="M667" s="470"/>
      <c r="N667" s="470"/>
      <c r="O667" s="470"/>
      <c r="P667" s="470"/>
      <c r="Q667" s="470"/>
      <c r="R667" s="470"/>
      <c r="S667" s="470"/>
      <c r="T667" s="470"/>
    </row>
    <row r="668" spans="1:20" x14ac:dyDescent="0.2">
      <c r="A668" s="470"/>
      <c r="B668" s="470"/>
      <c r="C668" s="470"/>
      <c r="D668" s="470"/>
      <c r="E668" s="470"/>
      <c r="F668" s="470"/>
      <c r="G668" s="470"/>
      <c r="H668" s="470"/>
      <c r="I668" s="470"/>
      <c r="J668" s="470"/>
      <c r="K668" s="470"/>
      <c r="L668" s="470"/>
      <c r="M668" s="470"/>
      <c r="N668" s="470"/>
      <c r="O668" s="470"/>
      <c r="P668" s="470"/>
      <c r="Q668" s="470"/>
      <c r="R668" s="470"/>
      <c r="S668" s="470"/>
      <c r="T668" s="470"/>
    </row>
    <row r="669" spans="1:20" x14ac:dyDescent="0.2">
      <c r="A669" s="470"/>
      <c r="B669" s="470"/>
      <c r="C669" s="470"/>
      <c r="D669" s="470"/>
      <c r="E669" s="470"/>
      <c r="F669" s="470"/>
      <c r="G669" s="470"/>
      <c r="H669" s="470"/>
      <c r="I669" s="470"/>
      <c r="J669" s="470"/>
      <c r="K669" s="470"/>
      <c r="L669" s="470"/>
      <c r="M669" s="470"/>
      <c r="N669" s="470"/>
      <c r="O669" s="470"/>
      <c r="P669" s="470"/>
      <c r="Q669" s="470"/>
      <c r="R669" s="470"/>
      <c r="S669" s="470"/>
      <c r="T669" s="470"/>
    </row>
    <row r="670" spans="1:20" x14ac:dyDescent="0.2">
      <c r="A670" s="470"/>
      <c r="B670" s="470"/>
      <c r="C670" s="470"/>
      <c r="D670" s="470"/>
      <c r="E670" s="470"/>
      <c r="F670" s="470"/>
      <c r="G670" s="470"/>
      <c r="H670" s="470"/>
      <c r="I670" s="470"/>
      <c r="J670" s="470"/>
      <c r="K670" s="470"/>
      <c r="L670" s="470"/>
      <c r="M670" s="470"/>
      <c r="N670" s="470"/>
      <c r="O670" s="470"/>
      <c r="P670" s="470"/>
      <c r="Q670" s="470"/>
      <c r="R670" s="470"/>
      <c r="S670" s="470"/>
      <c r="T670" s="470"/>
    </row>
    <row r="671" spans="1:20" x14ac:dyDescent="0.2">
      <c r="A671" s="470"/>
      <c r="B671" s="470"/>
      <c r="C671" s="470"/>
      <c r="D671" s="470"/>
      <c r="E671" s="470"/>
      <c r="F671" s="470"/>
      <c r="G671" s="470"/>
      <c r="H671" s="470"/>
      <c r="I671" s="470"/>
      <c r="J671" s="470"/>
      <c r="K671" s="470"/>
      <c r="L671" s="470"/>
      <c r="M671" s="470"/>
      <c r="N671" s="470"/>
      <c r="O671" s="470"/>
      <c r="P671" s="470"/>
      <c r="Q671" s="470"/>
      <c r="R671" s="470"/>
      <c r="S671" s="470"/>
      <c r="T671" s="470"/>
    </row>
    <row r="672" spans="1:20" x14ac:dyDescent="0.2">
      <c r="A672" s="470"/>
      <c r="B672" s="470"/>
      <c r="C672" s="470"/>
      <c r="D672" s="470"/>
      <c r="E672" s="470"/>
      <c r="F672" s="470"/>
      <c r="G672" s="470"/>
      <c r="H672" s="470"/>
      <c r="I672" s="470"/>
      <c r="J672" s="470"/>
      <c r="K672" s="470"/>
      <c r="L672" s="470"/>
      <c r="M672" s="470"/>
      <c r="N672" s="470"/>
      <c r="O672" s="470"/>
      <c r="P672" s="470"/>
      <c r="Q672" s="470"/>
      <c r="R672" s="470"/>
      <c r="S672" s="470"/>
      <c r="T672" s="470"/>
    </row>
    <row r="673" spans="1:20" x14ac:dyDescent="0.2">
      <c r="A673" s="470"/>
      <c r="B673" s="470"/>
      <c r="C673" s="470"/>
      <c r="D673" s="470"/>
      <c r="E673" s="470"/>
      <c r="F673" s="470"/>
      <c r="G673" s="470"/>
      <c r="H673" s="470"/>
      <c r="I673" s="470"/>
      <c r="J673" s="470"/>
      <c r="K673" s="470"/>
      <c r="L673" s="470"/>
      <c r="M673" s="470"/>
      <c r="N673" s="470"/>
      <c r="O673" s="470"/>
      <c r="P673" s="470"/>
      <c r="Q673" s="470"/>
      <c r="R673" s="470"/>
      <c r="S673" s="470"/>
      <c r="T673" s="470"/>
    </row>
    <row r="674" spans="1:20" x14ac:dyDescent="0.2">
      <c r="A674" s="470"/>
      <c r="B674" s="470"/>
      <c r="C674" s="470"/>
      <c r="D674" s="470"/>
      <c r="E674" s="470"/>
      <c r="F674" s="470"/>
      <c r="G674" s="470"/>
      <c r="H674" s="470"/>
      <c r="I674" s="470"/>
      <c r="J674" s="470"/>
      <c r="K674" s="470"/>
      <c r="L674" s="470"/>
      <c r="M674" s="470"/>
      <c r="N674" s="470"/>
      <c r="O674" s="470"/>
      <c r="P674" s="470"/>
      <c r="Q674" s="470"/>
      <c r="R674" s="470"/>
      <c r="S674" s="470"/>
      <c r="T674" s="470"/>
    </row>
    <row r="675" spans="1:20" x14ac:dyDescent="0.2">
      <c r="A675" s="470"/>
      <c r="B675" s="470"/>
      <c r="C675" s="470"/>
      <c r="D675" s="470"/>
      <c r="E675" s="470"/>
      <c r="F675" s="470"/>
      <c r="G675" s="470"/>
      <c r="H675" s="470"/>
      <c r="I675" s="470"/>
      <c r="J675" s="470"/>
      <c r="K675" s="470"/>
      <c r="L675" s="470"/>
      <c r="M675" s="470"/>
      <c r="N675" s="470"/>
      <c r="O675" s="470"/>
      <c r="P675" s="470"/>
      <c r="Q675" s="470"/>
      <c r="R675" s="470"/>
      <c r="S675" s="470"/>
      <c r="T675" s="470"/>
    </row>
    <row r="676" spans="1:20" x14ac:dyDescent="0.2">
      <c r="A676" s="470"/>
      <c r="B676" s="470"/>
      <c r="C676" s="470"/>
      <c r="D676" s="470"/>
      <c r="E676" s="470"/>
      <c r="F676" s="470"/>
      <c r="G676" s="470"/>
      <c r="H676" s="470"/>
      <c r="I676" s="470"/>
      <c r="J676" s="470"/>
      <c r="K676" s="470"/>
      <c r="L676" s="470"/>
      <c r="M676" s="470"/>
      <c r="N676" s="470"/>
      <c r="O676" s="470"/>
      <c r="P676" s="470"/>
      <c r="Q676" s="470"/>
      <c r="R676" s="470"/>
      <c r="S676" s="470"/>
      <c r="T676" s="470"/>
    </row>
    <row r="677" spans="1:20" x14ac:dyDescent="0.2">
      <c r="A677" s="470"/>
      <c r="B677" s="470"/>
      <c r="C677" s="470"/>
      <c r="D677" s="470"/>
      <c r="E677" s="470"/>
      <c r="F677" s="470"/>
      <c r="G677" s="470"/>
      <c r="H677" s="470"/>
      <c r="I677" s="470"/>
      <c r="J677" s="470"/>
      <c r="K677" s="470"/>
      <c r="L677" s="470"/>
      <c r="M677" s="470"/>
      <c r="N677" s="470"/>
      <c r="O677" s="470"/>
      <c r="P677" s="470"/>
      <c r="Q677" s="470"/>
      <c r="R677" s="470"/>
      <c r="S677" s="470"/>
      <c r="T677" s="470"/>
    </row>
    <row r="678" spans="1:20" x14ac:dyDescent="0.2">
      <c r="A678" s="470"/>
      <c r="B678" s="470"/>
      <c r="C678" s="470"/>
      <c r="D678" s="470"/>
      <c r="E678" s="470"/>
      <c r="F678" s="470"/>
      <c r="G678" s="470"/>
      <c r="H678" s="470"/>
      <c r="I678" s="470"/>
      <c r="J678" s="470"/>
      <c r="K678" s="470"/>
      <c r="L678" s="470"/>
      <c r="M678" s="470"/>
      <c r="N678" s="470"/>
      <c r="O678" s="470"/>
      <c r="P678" s="470"/>
      <c r="Q678" s="470"/>
      <c r="R678" s="470"/>
      <c r="S678" s="470"/>
      <c r="T678" s="470"/>
    </row>
    <row r="679" spans="1:20" x14ac:dyDescent="0.2">
      <c r="A679" s="470"/>
      <c r="B679" s="470"/>
      <c r="C679" s="470"/>
      <c r="D679" s="470"/>
      <c r="E679" s="470"/>
      <c r="F679" s="470"/>
      <c r="G679" s="470"/>
      <c r="H679" s="470"/>
      <c r="I679" s="470"/>
      <c r="J679" s="470"/>
      <c r="K679" s="470"/>
      <c r="L679" s="470"/>
      <c r="M679" s="470"/>
      <c r="N679" s="470"/>
      <c r="O679" s="470"/>
      <c r="P679" s="470"/>
      <c r="Q679" s="470"/>
      <c r="R679" s="470"/>
      <c r="S679" s="470"/>
      <c r="T679" s="470"/>
    </row>
    <row r="680" spans="1:20" x14ac:dyDescent="0.2">
      <c r="A680" s="470"/>
      <c r="B680" s="470"/>
      <c r="C680" s="470"/>
      <c r="D680" s="470"/>
      <c r="E680" s="470"/>
      <c r="F680" s="470"/>
      <c r="G680" s="470"/>
      <c r="H680" s="470"/>
      <c r="I680" s="470"/>
      <c r="J680" s="470"/>
      <c r="K680" s="470"/>
      <c r="L680" s="470"/>
      <c r="M680" s="470"/>
      <c r="N680" s="470"/>
      <c r="O680" s="470"/>
      <c r="P680" s="470"/>
      <c r="Q680" s="470"/>
      <c r="R680" s="470"/>
      <c r="S680" s="470"/>
      <c r="T680" s="470"/>
    </row>
    <row r="681" spans="1:20" x14ac:dyDescent="0.2">
      <c r="A681" s="470"/>
      <c r="B681" s="470"/>
      <c r="C681" s="470"/>
      <c r="D681" s="470"/>
      <c r="E681" s="470"/>
      <c r="F681" s="470"/>
      <c r="G681" s="470"/>
      <c r="H681" s="470"/>
      <c r="I681" s="470"/>
      <c r="J681" s="470"/>
      <c r="K681" s="470"/>
      <c r="L681" s="470"/>
      <c r="M681" s="470"/>
      <c r="N681" s="470"/>
      <c r="O681" s="470"/>
      <c r="P681" s="470"/>
      <c r="Q681" s="470"/>
      <c r="R681" s="470"/>
      <c r="S681" s="470"/>
      <c r="T681" s="470"/>
    </row>
    <row r="682" spans="1:20" x14ac:dyDescent="0.2">
      <c r="A682" s="470"/>
      <c r="B682" s="470"/>
      <c r="C682" s="470"/>
      <c r="D682" s="470"/>
      <c r="E682" s="470"/>
      <c r="F682" s="470"/>
      <c r="G682" s="470"/>
      <c r="H682" s="470"/>
      <c r="I682" s="470"/>
      <c r="J682" s="470"/>
      <c r="K682" s="470"/>
      <c r="L682" s="470"/>
      <c r="M682" s="470"/>
      <c r="N682" s="470"/>
      <c r="O682" s="470"/>
      <c r="P682" s="470"/>
      <c r="Q682" s="470"/>
      <c r="R682" s="470"/>
      <c r="S682" s="470"/>
      <c r="T682" s="470"/>
    </row>
    <row r="683" spans="1:20" x14ac:dyDescent="0.2">
      <c r="A683" s="470"/>
      <c r="B683" s="470"/>
      <c r="C683" s="470"/>
      <c r="D683" s="470"/>
      <c r="E683" s="470"/>
      <c r="F683" s="470"/>
      <c r="G683" s="470"/>
      <c r="H683" s="470"/>
      <c r="I683" s="470"/>
      <c r="J683" s="470"/>
      <c r="K683" s="470"/>
      <c r="L683" s="470"/>
      <c r="M683" s="470"/>
      <c r="N683" s="470"/>
      <c r="O683" s="470"/>
      <c r="P683" s="470"/>
      <c r="Q683" s="470"/>
      <c r="R683" s="470"/>
      <c r="S683" s="470"/>
      <c r="T683" s="470"/>
    </row>
    <row r="684" spans="1:20" x14ac:dyDescent="0.2">
      <c r="A684" s="470"/>
      <c r="B684" s="470"/>
      <c r="C684" s="470"/>
      <c r="D684" s="470"/>
      <c r="E684" s="470"/>
      <c r="F684" s="470"/>
      <c r="G684" s="470"/>
      <c r="H684" s="470"/>
      <c r="I684" s="470"/>
      <c r="J684" s="470"/>
      <c r="K684" s="470"/>
      <c r="L684" s="470"/>
      <c r="M684" s="470"/>
      <c r="N684" s="470"/>
      <c r="O684" s="470"/>
      <c r="P684" s="470"/>
      <c r="Q684" s="470"/>
      <c r="R684" s="470"/>
      <c r="S684" s="470"/>
      <c r="T684" s="470"/>
    </row>
    <row r="685" spans="1:20" x14ac:dyDescent="0.2">
      <c r="A685" s="470"/>
      <c r="B685" s="470"/>
      <c r="C685" s="470"/>
      <c r="D685" s="470"/>
      <c r="E685" s="470"/>
      <c r="F685" s="470"/>
      <c r="G685" s="470"/>
      <c r="H685" s="470"/>
      <c r="I685" s="470"/>
      <c r="J685" s="470"/>
      <c r="K685" s="470"/>
      <c r="L685" s="470"/>
      <c r="M685" s="470"/>
      <c r="N685" s="470"/>
      <c r="O685" s="470"/>
      <c r="P685" s="470"/>
      <c r="Q685" s="470"/>
      <c r="R685" s="470"/>
      <c r="S685" s="470"/>
      <c r="T685" s="470"/>
    </row>
    <row r="686" spans="1:20" x14ac:dyDescent="0.2">
      <c r="A686" s="470"/>
      <c r="B686" s="470"/>
      <c r="C686" s="470"/>
      <c r="D686" s="470"/>
      <c r="E686" s="470"/>
      <c r="F686" s="470"/>
      <c r="G686" s="470"/>
      <c r="H686" s="470"/>
      <c r="I686" s="470"/>
      <c r="J686" s="470"/>
      <c r="K686" s="470"/>
      <c r="L686" s="470"/>
      <c r="M686" s="470"/>
      <c r="N686" s="470"/>
      <c r="O686" s="470"/>
      <c r="P686" s="470"/>
      <c r="Q686" s="470"/>
      <c r="R686" s="470"/>
      <c r="S686" s="470"/>
      <c r="T686" s="470"/>
    </row>
    <row r="687" spans="1:20" x14ac:dyDescent="0.2">
      <c r="A687" s="470"/>
      <c r="B687" s="470"/>
      <c r="C687" s="470"/>
      <c r="D687" s="470"/>
      <c r="E687" s="470"/>
      <c r="F687" s="470"/>
      <c r="G687" s="470"/>
      <c r="H687" s="470"/>
      <c r="I687" s="470"/>
      <c r="J687" s="470"/>
      <c r="K687" s="470"/>
      <c r="L687" s="470"/>
      <c r="M687" s="470"/>
      <c r="N687" s="470"/>
      <c r="O687" s="470"/>
      <c r="P687" s="470"/>
      <c r="Q687" s="470"/>
      <c r="R687" s="470"/>
      <c r="S687" s="470"/>
      <c r="T687" s="470"/>
    </row>
    <row r="688" spans="1:20" x14ac:dyDescent="0.2">
      <c r="A688" s="470"/>
      <c r="B688" s="470"/>
      <c r="C688" s="470"/>
      <c r="D688" s="470"/>
      <c r="E688" s="470"/>
      <c r="F688" s="470"/>
      <c r="G688" s="470"/>
      <c r="H688" s="470"/>
      <c r="I688" s="470"/>
      <c r="J688" s="470"/>
      <c r="K688" s="470"/>
      <c r="L688" s="470"/>
      <c r="M688" s="470"/>
      <c r="N688" s="470"/>
      <c r="O688" s="470"/>
      <c r="P688" s="470"/>
      <c r="Q688" s="470"/>
      <c r="R688" s="470"/>
      <c r="S688" s="470"/>
      <c r="T688" s="470"/>
    </row>
    <row r="689" spans="1:20" x14ac:dyDescent="0.2">
      <c r="A689" s="470"/>
      <c r="B689" s="470"/>
      <c r="C689" s="470"/>
      <c r="D689" s="470"/>
      <c r="E689" s="470"/>
      <c r="F689" s="470"/>
      <c r="G689" s="470"/>
      <c r="H689" s="470"/>
      <c r="I689" s="470"/>
      <c r="J689" s="470"/>
      <c r="K689" s="470"/>
      <c r="L689" s="470"/>
      <c r="M689" s="470"/>
      <c r="N689" s="470"/>
      <c r="O689" s="470"/>
      <c r="P689" s="470"/>
      <c r="Q689" s="470"/>
      <c r="R689" s="470"/>
      <c r="S689" s="470"/>
      <c r="T689" s="470"/>
    </row>
    <row r="690" spans="1:20" x14ac:dyDescent="0.2">
      <c r="A690" s="470"/>
      <c r="B690" s="470"/>
      <c r="C690" s="470"/>
      <c r="D690" s="470"/>
      <c r="E690" s="470"/>
      <c r="F690" s="470"/>
      <c r="G690" s="470"/>
      <c r="H690" s="470"/>
      <c r="I690" s="470"/>
      <c r="J690" s="470"/>
      <c r="K690" s="470"/>
      <c r="L690" s="470"/>
      <c r="M690" s="470"/>
      <c r="N690" s="470"/>
      <c r="O690" s="470"/>
      <c r="P690" s="470"/>
      <c r="Q690" s="470"/>
      <c r="R690" s="470"/>
      <c r="S690" s="470"/>
      <c r="T690" s="470"/>
    </row>
    <row r="691" spans="1:20" x14ac:dyDescent="0.2">
      <c r="A691" s="470"/>
      <c r="B691" s="470"/>
      <c r="C691" s="470"/>
      <c r="D691" s="470"/>
      <c r="E691" s="470"/>
      <c r="F691" s="470"/>
      <c r="G691" s="470"/>
      <c r="H691" s="470"/>
      <c r="I691" s="470"/>
      <c r="J691" s="470"/>
      <c r="K691" s="470"/>
      <c r="L691" s="470"/>
      <c r="M691" s="470"/>
      <c r="N691" s="470"/>
      <c r="O691" s="470"/>
      <c r="P691" s="470"/>
      <c r="Q691" s="470"/>
      <c r="R691" s="470"/>
      <c r="S691" s="470"/>
      <c r="T691" s="470"/>
    </row>
    <row r="692" spans="1:20" x14ac:dyDescent="0.2">
      <c r="A692" s="470"/>
      <c r="B692" s="470"/>
      <c r="C692" s="470"/>
      <c r="D692" s="470"/>
      <c r="E692" s="470"/>
      <c r="F692" s="470"/>
      <c r="G692" s="470"/>
      <c r="H692" s="470"/>
      <c r="I692" s="470"/>
      <c r="J692" s="470"/>
      <c r="K692" s="470"/>
      <c r="L692" s="470"/>
      <c r="M692" s="470"/>
      <c r="N692" s="470"/>
      <c r="O692" s="470"/>
      <c r="P692" s="470"/>
      <c r="Q692" s="470"/>
      <c r="R692" s="470"/>
      <c r="S692" s="470"/>
      <c r="T692" s="470"/>
    </row>
    <row r="693" spans="1:20" x14ac:dyDescent="0.2">
      <c r="A693" s="470"/>
      <c r="B693" s="470"/>
      <c r="C693" s="470"/>
      <c r="D693" s="470"/>
      <c r="E693" s="470"/>
      <c r="F693" s="470"/>
      <c r="G693" s="470"/>
      <c r="H693" s="470"/>
      <c r="I693" s="470"/>
      <c r="J693" s="470"/>
      <c r="K693" s="470"/>
      <c r="L693" s="470"/>
      <c r="M693" s="470"/>
      <c r="N693" s="470"/>
      <c r="O693" s="470"/>
      <c r="P693" s="470"/>
      <c r="Q693" s="470"/>
      <c r="R693" s="470"/>
      <c r="S693" s="470"/>
      <c r="T693" s="470"/>
    </row>
    <row r="694" spans="1:20" x14ac:dyDescent="0.2">
      <c r="A694" s="470"/>
      <c r="B694" s="470"/>
      <c r="C694" s="470"/>
      <c r="D694" s="470"/>
      <c r="E694" s="470"/>
      <c r="F694" s="470"/>
      <c r="G694" s="470"/>
      <c r="H694" s="470"/>
      <c r="I694" s="470"/>
      <c r="J694" s="470"/>
      <c r="K694" s="470"/>
      <c r="L694" s="470"/>
      <c r="M694" s="470"/>
      <c r="N694" s="470"/>
      <c r="O694" s="470"/>
      <c r="P694" s="470"/>
      <c r="Q694" s="470"/>
      <c r="R694" s="470"/>
      <c r="S694" s="470"/>
      <c r="T694" s="470"/>
    </row>
    <row r="695" spans="1:20" x14ac:dyDescent="0.2">
      <c r="A695" s="470"/>
      <c r="B695" s="470"/>
      <c r="C695" s="470"/>
      <c r="D695" s="470"/>
      <c r="E695" s="470"/>
      <c r="F695" s="470"/>
      <c r="G695" s="470"/>
      <c r="H695" s="470"/>
      <c r="I695" s="470"/>
      <c r="J695" s="470"/>
      <c r="K695" s="470"/>
      <c r="L695" s="470"/>
      <c r="M695" s="470"/>
      <c r="N695" s="470"/>
      <c r="O695" s="470"/>
      <c r="P695" s="470"/>
      <c r="Q695" s="470"/>
      <c r="R695" s="470"/>
      <c r="S695" s="470"/>
      <c r="T695" s="470"/>
    </row>
    <row r="696" spans="1:20" x14ac:dyDescent="0.2">
      <c r="A696" s="470"/>
      <c r="B696" s="470"/>
      <c r="C696" s="470"/>
      <c r="D696" s="470"/>
      <c r="E696" s="470"/>
      <c r="F696" s="470"/>
      <c r="G696" s="470"/>
      <c r="H696" s="470"/>
      <c r="I696" s="470"/>
      <c r="J696" s="470"/>
      <c r="K696" s="470"/>
      <c r="L696" s="470"/>
      <c r="M696" s="470"/>
      <c r="N696" s="470"/>
      <c r="O696" s="470"/>
      <c r="P696" s="470"/>
      <c r="Q696" s="470"/>
      <c r="R696" s="470"/>
      <c r="S696" s="470"/>
      <c r="T696" s="470"/>
    </row>
    <row r="697" spans="1:20" x14ac:dyDescent="0.2">
      <c r="A697" s="470"/>
      <c r="B697" s="470"/>
      <c r="C697" s="470"/>
      <c r="D697" s="470"/>
      <c r="E697" s="470"/>
      <c r="F697" s="470"/>
      <c r="G697" s="470"/>
      <c r="H697" s="470"/>
      <c r="I697" s="470"/>
      <c r="J697" s="470"/>
      <c r="K697" s="470"/>
      <c r="L697" s="470"/>
      <c r="M697" s="470"/>
      <c r="N697" s="470"/>
      <c r="O697" s="470"/>
      <c r="P697" s="470"/>
      <c r="Q697" s="470"/>
      <c r="R697" s="470"/>
      <c r="S697" s="470"/>
      <c r="T697" s="470"/>
    </row>
    <row r="698" spans="1:20" x14ac:dyDescent="0.2">
      <c r="A698" s="470"/>
      <c r="B698" s="470"/>
      <c r="C698" s="470"/>
      <c r="D698" s="470"/>
      <c r="E698" s="470"/>
      <c r="F698" s="470"/>
      <c r="G698" s="470"/>
      <c r="H698" s="470"/>
      <c r="I698" s="470"/>
      <c r="J698" s="470"/>
      <c r="K698" s="470"/>
      <c r="L698" s="470"/>
      <c r="M698" s="470"/>
      <c r="N698" s="470"/>
      <c r="O698" s="470"/>
      <c r="P698" s="470"/>
      <c r="Q698" s="470"/>
      <c r="R698" s="470"/>
      <c r="S698" s="470"/>
      <c r="T698" s="470"/>
    </row>
    <row r="699" spans="1:20" x14ac:dyDescent="0.2">
      <c r="A699" s="470"/>
      <c r="B699" s="470"/>
      <c r="C699" s="470"/>
      <c r="D699" s="470"/>
      <c r="E699" s="470"/>
      <c r="F699" s="470"/>
      <c r="G699" s="470"/>
      <c r="H699" s="470"/>
      <c r="I699" s="470"/>
      <c r="J699" s="470"/>
      <c r="K699" s="470"/>
      <c r="L699" s="470"/>
      <c r="M699" s="470"/>
      <c r="N699" s="470"/>
      <c r="O699" s="470"/>
      <c r="P699" s="470"/>
      <c r="Q699" s="470"/>
      <c r="R699" s="470"/>
      <c r="S699" s="470"/>
      <c r="T699" s="470"/>
    </row>
    <row r="700" spans="1:20" x14ac:dyDescent="0.2">
      <c r="A700" s="470"/>
      <c r="B700" s="470"/>
      <c r="C700" s="470"/>
      <c r="D700" s="470"/>
      <c r="E700" s="470"/>
      <c r="F700" s="470"/>
      <c r="G700" s="470"/>
      <c r="H700" s="470"/>
      <c r="I700" s="470"/>
      <c r="J700" s="470"/>
      <c r="K700" s="470"/>
      <c r="L700" s="470"/>
      <c r="M700" s="470"/>
      <c r="N700" s="470"/>
      <c r="O700" s="470"/>
      <c r="P700" s="470"/>
      <c r="Q700" s="470"/>
      <c r="R700" s="470"/>
      <c r="S700" s="470"/>
      <c r="T700" s="470"/>
    </row>
    <row r="701" spans="1:20" x14ac:dyDescent="0.2">
      <c r="A701" s="470"/>
      <c r="B701" s="470"/>
      <c r="C701" s="470"/>
      <c r="D701" s="470"/>
      <c r="E701" s="470"/>
      <c r="F701" s="470"/>
      <c r="G701" s="470"/>
      <c r="H701" s="470"/>
      <c r="I701" s="470"/>
      <c r="J701" s="470"/>
      <c r="K701" s="470"/>
      <c r="L701" s="470"/>
      <c r="M701" s="470"/>
      <c r="N701" s="470"/>
      <c r="O701" s="470"/>
      <c r="P701" s="470"/>
      <c r="Q701" s="470"/>
      <c r="R701" s="470"/>
      <c r="S701" s="470"/>
      <c r="T701" s="470"/>
    </row>
    <row r="702" spans="1:20" x14ac:dyDescent="0.2">
      <c r="A702" s="470"/>
      <c r="B702" s="470"/>
      <c r="C702" s="470"/>
      <c r="D702" s="470"/>
      <c r="E702" s="470"/>
      <c r="F702" s="470"/>
      <c r="G702" s="470"/>
      <c r="H702" s="470"/>
      <c r="I702" s="470"/>
      <c r="J702" s="470"/>
      <c r="K702" s="470"/>
      <c r="L702" s="470"/>
      <c r="M702" s="470"/>
      <c r="N702" s="470"/>
      <c r="O702" s="470"/>
      <c r="P702" s="470"/>
      <c r="Q702" s="470"/>
      <c r="R702" s="470"/>
      <c r="S702" s="470"/>
      <c r="T702" s="470"/>
    </row>
    <row r="703" spans="1:20" x14ac:dyDescent="0.2">
      <c r="A703" s="470"/>
      <c r="B703" s="470"/>
      <c r="C703" s="470"/>
      <c r="D703" s="470"/>
      <c r="E703" s="470"/>
      <c r="F703" s="470"/>
      <c r="G703" s="470"/>
      <c r="H703" s="470"/>
      <c r="I703" s="470"/>
      <c r="J703" s="470"/>
      <c r="K703" s="470"/>
      <c r="L703" s="470"/>
      <c r="M703" s="470"/>
      <c r="N703" s="470"/>
      <c r="O703" s="470"/>
      <c r="P703" s="470"/>
      <c r="Q703" s="470"/>
      <c r="R703" s="470"/>
      <c r="S703" s="470"/>
      <c r="T703" s="470"/>
    </row>
    <row r="704" spans="1:20" x14ac:dyDescent="0.2">
      <c r="A704" s="470"/>
      <c r="B704" s="470"/>
      <c r="C704" s="470"/>
      <c r="D704" s="470"/>
      <c r="E704" s="470"/>
      <c r="F704" s="470"/>
      <c r="G704" s="470"/>
      <c r="H704" s="470"/>
      <c r="I704" s="470"/>
      <c r="J704" s="470"/>
      <c r="K704" s="470"/>
      <c r="L704" s="470"/>
      <c r="M704" s="470"/>
      <c r="N704" s="470"/>
      <c r="O704" s="470"/>
      <c r="P704" s="470"/>
      <c r="Q704" s="470"/>
      <c r="R704" s="470"/>
      <c r="S704" s="470"/>
      <c r="T704" s="470"/>
    </row>
    <row r="705" spans="1:20" x14ac:dyDescent="0.2">
      <c r="A705" s="470"/>
      <c r="B705" s="470"/>
      <c r="C705" s="470"/>
      <c r="D705" s="470"/>
      <c r="E705" s="470"/>
      <c r="F705" s="470"/>
      <c r="G705" s="470"/>
      <c r="H705" s="470"/>
      <c r="I705" s="470"/>
      <c r="J705" s="470"/>
      <c r="K705" s="470"/>
      <c r="L705" s="470"/>
      <c r="M705" s="470"/>
      <c r="N705" s="470"/>
      <c r="O705" s="470"/>
      <c r="P705" s="470"/>
      <c r="Q705" s="470"/>
      <c r="R705" s="470"/>
      <c r="S705" s="470"/>
      <c r="T705" s="470"/>
    </row>
    <row r="706" spans="1:20" x14ac:dyDescent="0.2">
      <c r="A706" s="470"/>
      <c r="B706" s="470"/>
      <c r="C706" s="470"/>
      <c r="D706" s="470"/>
      <c r="E706" s="470"/>
      <c r="F706" s="470"/>
      <c r="G706" s="470"/>
      <c r="H706" s="470"/>
      <c r="I706" s="470"/>
      <c r="J706" s="470"/>
      <c r="K706" s="470"/>
      <c r="L706" s="470"/>
      <c r="M706" s="470"/>
      <c r="N706" s="470"/>
      <c r="O706" s="470"/>
      <c r="P706" s="470"/>
      <c r="Q706" s="470"/>
      <c r="R706" s="470"/>
      <c r="S706" s="470"/>
      <c r="T706" s="470"/>
    </row>
    <row r="707" spans="1:20" x14ac:dyDescent="0.2">
      <c r="A707" s="470"/>
      <c r="B707" s="470"/>
      <c r="C707" s="470"/>
      <c r="D707" s="470"/>
      <c r="E707" s="470"/>
      <c r="F707" s="470"/>
      <c r="G707" s="470"/>
      <c r="H707" s="470"/>
      <c r="I707" s="470"/>
      <c r="J707" s="470"/>
      <c r="K707" s="470"/>
      <c r="L707" s="470"/>
      <c r="M707" s="470"/>
      <c r="N707" s="470"/>
      <c r="O707" s="470"/>
      <c r="P707" s="470"/>
      <c r="Q707" s="470"/>
      <c r="R707" s="470"/>
      <c r="S707" s="470"/>
      <c r="T707" s="470"/>
    </row>
    <row r="708" spans="1:20" x14ac:dyDescent="0.2">
      <c r="A708" s="470"/>
      <c r="B708" s="470"/>
      <c r="C708" s="470"/>
      <c r="D708" s="470"/>
      <c r="E708" s="470"/>
      <c r="F708" s="470"/>
      <c r="G708" s="470"/>
      <c r="H708" s="470"/>
      <c r="I708" s="470"/>
      <c r="J708" s="470"/>
      <c r="K708" s="470"/>
      <c r="L708" s="470"/>
      <c r="M708" s="470"/>
      <c r="N708" s="470"/>
      <c r="O708" s="470"/>
      <c r="P708" s="470"/>
      <c r="Q708" s="470"/>
      <c r="R708" s="470"/>
      <c r="S708" s="470"/>
      <c r="T708" s="470"/>
    </row>
    <row r="709" spans="1:20" x14ac:dyDescent="0.2">
      <c r="A709" s="470"/>
      <c r="B709" s="470"/>
      <c r="C709" s="470"/>
      <c r="D709" s="470"/>
      <c r="E709" s="470"/>
      <c r="F709" s="470"/>
      <c r="G709" s="470"/>
      <c r="H709" s="470"/>
      <c r="I709" s="470"/>
      <c r="J709" s="470"/>
      <c r="K709" s="470"/>
      <c r="L709" s="470"/>
      <c r="M709" s="470"/>
      <c r="N709" s="470"/>
      <c r="O709" s="470"/>
      <c r="P709" s="470"/>
      <c r="Q709" s="470"/>
      <c r="R709" s="470"/>
      <c r="S709" s="470"/>
      <c r="T709" s="470"/>
    </row>
    <row r="710" spans="1:20" x14ac:dyDescent="0.2">
      <c r="A710" s="470"/>
      <c r="B710" s="470"/>
      <c r="C710" s="470"/>
      <c r="D710" s="470"/>
      <c r="E710" s="470"/>
      <c r="F710" s="470"/>
      <c r="G710" s="470"/>
      <c r="H710" s="470"/>
      <c r="I710" s="470"/>
      <c r="J710" s="470"/>
      <c r="K710" s="470"/>
      <c r="L710" s="470"/>
      <c r="M710" s="470"/>
      <c r="N710" s="470"/>
      <c r="O710" s="470"/>
      <c r="P710" s="470"/>
      <c r="Q710" s="470"/>
      <c r="R710" s="470"/>
      <c r="S710" s="470"/>
      <c r="T710" s="470"/>
    </row>
    <row r="711" spans="1:20" x14ac:dyDescent="0.2">
      <c r="A711" s="470"/>
      <c r="B711" s="470"/>
      <c r="C711" s="470"/>
      <c r="D711" s="470"/>
      <c r="E711" s="470"/>
      <c r="F711" s="470"/>
      <c r="G711" s="470"/>
      <c r="H711" s="470"/>
      <c r="I711" s="470"/>
      <c r="J711" s="470"/>
      <c r="K711" s="470"/>
      <c r="L711" s="470"/>
      <c r="M711" s="470"/>
      <c r="N711" s="470"/>
      <c r="O711" s="470"/>
      <c r="P711" s="470"/>
      <c r="Q711" s="470"/>
      <c r="R711" s="470"/>
      <c r="S711" s="470"/>
      <c r="T711" s="470"/>
    </row>
    <row r="712" spans="1:20" x14ac:dyDescent="0.2">
      <c r="A712" s="470"/>
      <c r="B712" s="470"/>
      <c r="C712" s="470"/>
      <c r="D712" s="470"/>
      <c r="E712" s="470"/>
      <c r="F712" s="470"/>
      <c r="G712" s="470"/>
      <c r="H712" s="470"/>
      <c r="I712" s="470"/>
      <c r="J712" s="470"/>
      <c r="K712" s="470"/>
      <c r="L712" s="470"/>
      <c r="M712" s="470"/>
      <c r="N712" s="470"/>
      <c r="O712" s="470"/>
      <c r="P712" s="470"/>
      <c r="Q712" s="470"/>
      <c r="R712" s="470"/>
      <c r="S712" s="470"/>
      <c r="T712" s="470"/>
    </row>
    <row r="713" spans="1:20" x14ac:dyDescent="0.2">
      <c r="A713" s="470"/>
      <c r="B713" s="470"/>
      <c r="C713" s="470"/>
      <c r="D713" s="470"/>
      <c r="E713" s="470"/>
      <c r="F713" s="470"/>
      <c r="G713" s="470"/>
      <c r="H713" s="470"/>
      <c r="I713" s="470"/>
      <c r="J713" s="470"/>
      <c r="K713" s="470"/>
      <c r="L713" s="470"/>
      <c r="M713" s="470"/>
      <c r="N713" s="470"/>
      <c r="O713" s="470"/>
      <c r="P713" s="470"/>
      <c r="Q713" s="470"/>
      <c r="R713" s="470"/>
      <c r="S713" s="470"/>
      <c r="T713" s="470"/>
    </row>
    <row r="714" spans="1:20" x14ac:dyDescent="0.2">
      <c r="A714" s="470"/>
      <c r="B714" s="470"/>
      <c r="C714" s="470"/>
      <c r="D714" s="470"/>
      <c r="E714" s="470"/>
      <c r="F714" s="470"/>
      <c r="G714" s="470"/>
      <c r="H714" s="470"/>
      <c r="I714" s="470"/>
      <c r="J714" s="470"/>
      <c r="K714" s="470"/>
      <c r="L714" s="470"/>
      <c r="M714" s="470"/>
      <c r="N714" s="470"/>
      <c r="O714" s="470"/>
      <c r="P714" s="470"/>
      <c r="Q714" s="470"/>
      <c r="R714" s="470"/>
      <c r="S714" s="470"/>
      <c r="T714" s="470"/>
    </row>
    <row r="715" spans="1:20" x14ac:dyDescent="0.2">
      <c r="A715" s="470"/>
      <c r="B715" s="470"/>
      <c r="C715" s="470"/>
      <c r="D715" s="470"/>
      <c r="E715" s="470"/>
      <c r="F715" s="470"/>
      <c r="G715" s="470"/>
      <c r="H715" s="470"/>
      <c r="I715" s="470"/>
      <c r="J715" s="470"/>
      <c r="K715" s="470"/>
      <c r="L715" s="470"/>
      <c r="M715" s="470"/>
      <c r="N715" s="470"/>
      <c r="O715" s="470"/>
      <c r="P715" s="470"/>
      <c r="Q715" s="470"/>
      <c r="R715" s="470"/>
      <c r="S715" s="470"/>
      <c r="T715" s="470"/>
    </row>
    <row r="716" spans="1:20" x14ac:dyDescent="0.2">
      <c r="A716" s="470"/>
      <c r="B716" s="470"/>
      <c r="C716" s="470"/>
      <c r="D716" s="470"/>
      <c r="E716" s="470"/>
      <c r="F716" s="470"/>
      <c r="G716" s="470"/>
      <c r="H716" s="470"/>
      <c r="I716" s="470"/>
      <c r="J716" s="470"/>
      <c r="K716" s="470"/>
      <c r="L716" s="470"/>
      <c r="M716" s="470"/>
      <c r="N716" s="470"/>
      <c r="O716" s="470"/>
      <c r="P716" s="470"/>
      <c r="Q716" s="470"/>
      <c r="R716" s="470"/>
      <c r="S716" s="470"/>
      <c r="T716" s="470"/>
    </row>
    <row r="717" spans="1:20" x14ac:dyDescent="0.2">
      <c r="A717" s="470"/>
      <c r="B717" s="470"/>
      <c r="C717" s="470"/>
      <c r="D717" s="470"/>
      <c r="E717" s="470"/>
      <c r="F717" s="470"/>
      <c r="G717" s="470"/>
      <c r="H717" s="470"/>
      <c r="I717" s="470"/>
      <c r="J717" s="470"/>
      <c r="K717" s="470"/>
      <c r="L717" s="470"/>
      <c r="M717" s="470"/>
      <c r="N717" s="470"/>
      <c r="O717" s="470"/>
      <c r="P717" s="470"/>
      <c r="Q717" s="470"/>
      <c r="R717" s="470"/>
      <c r="S717" s="470"/>
      <c r="T717" s="470"/>
    </row>
    <row r="718" spans="1:20" x14ac:dyDescent="0.2">
      <c r="A718" s="470"/>
      <c r="B718" s="470"/>
      <c r="C718" s="470"/>
      <c r="D718" s="470"/>
      <c r="E718" s="470"/>
      <c r="F718" s="470"/>
      <c r="G718" s="470"/>
      <c r="H718" s="470"/>
      <c r="I718" s="470"/>
      <c r="J718" s="470"/>
      <c r="K718" s="470"/>
      <c r="L718" s="470"/>
      <c r="M718" s="470"/>
      <c r="N718" s="470"/>
      <c r="O718" s="470"/>
      <c r="P718" s="470"/>
      <c r="Q718" s="470"/>
      <c r="R718" s="470"/>
      <c r="S718" s="470"/>
      <c r="T718" s="470"/>
    </row>
    <row r="719" spans="1:20" x14ac:dyDescent="0.2">
      <c r="A719" s="470"/>
      <c r="B719" s="470"/>
      <c r="C719" s="470"/>
      <c r="D719" s="470"/>
      <c r="E719" s="470"/>
      <c r="F719" s="470"/>
      <c r="G719" s="470"/>
      <c r="H719" s="470"/>
      <c r="I719" s="470"/>
      <c r="J719" s="470"/>
      <c r="K719" s="470"/>
      <c r="L719" s="470"/>
      <c r="M719" s="470"/>
      <c r="N719" s="470"/>
      <c r="O719" s="470"/>
      <c r="P719" s="470"/>
      <c r="Q719" s="470"/>
      <c r="R719" s="470"/>
      <c r="S719" s="470"/>
      <c r="T719" s="470"/>
    </row>
    <row r="720" spans="1:20" x14ac:dyDescent="0.2">
      <c r="A720" s="470"/>
      <c r="B720" s="470"/>
      <c r="C720" s="470"/>
      <c r="D720" s="470"/>
      <c r="E720" s="470"/>
      <c r="F720" s="470"/>
      <c r="G720" s="470"/>
      <c r="H720" s="470"/>
      <c r="I720" s="470"/>
      <c r="J720" s="470"/>
      <c r="K720" s="470"/>
      <c r="L720" s="470"/>
      <c r="M720" s="470"/>
      <c r="N720" s="470"/>
      <c r="O720" s="470"/>
      <c r="P720" s="470"/>
      <c r="Q720" s="470"/>
      <c r="R720" s="470"/>
      <c r="S720" s="470"/>
      <c r="T720" s="470"/>
    </row>
    <row r="721" spans="1:20" x14ac:dyDescent="0.2">
      <c r="A721" s="470"/>
      <c r="B721" s="470"/>
      <c r="C721" s="470"/>
      <c r="D721" s="470"/>
      <c r="E721" s="470"/>
      <c r="F721" s="470"/>
      <c r="G721" s="470"/>
      <c r="H721" s="470"/>
      <c r="I721" s="470"/>
      <c r="J721" s="470"/>
      <c r="K721" s="470"/>
      <c r="L721" s="470"/>
      <c r="M721" s="470"/>
      <c r="N721" s="470"/>
      <c r="O721" s="470"/>
      <c r="P721" s="470"/>
      <c r="Q721" s="470"/>
      <c r="R721" s="470"/>
      <c r="S721" s="470"/>
      <c r="T721" s="470"/>
    </row>
    <row r="722" spans="1:20" x14ac:dyDescent="0.2">
      <c r="A722" s="470"/>
      <c r="B722" s="470"/>
      <c r="C722" s="470"/>
      <c r="D722" s="470"/>
      <c r="E722" s="470"/>
      <c r="F722" s="470"/>
      <c r="G722" s="470"/>
      <c r="H722" s="470"/>
      <c r="I722" s="470"/>
      <c r="J722" s="470"/>
      <c r="K722" s="470"/>
      <c r="L722" s="470"/>
      <c r="M722" s="470"/>
      <c r="N722" s="470"/>
      <c r="O722" s="470"/>
      <c r="P722" s="470"/>
      <c r="Q722" s="470"/>
      <c r="R722" s="470"/>
      <c r="S722" s="470"/>
      <c r="T722" s="470"/>
    </row>
    <row r="723" spans="1:20" x14ac:dyDescent="0.2">
      <c r="A723" s="470"/>
      <c r="B723" s="470"/>
      <c r="C723" s="470"/>
      <c r="D723" s="470"/>
      <c r="E723" s="470"/>
      <c r="F723" s="470"/>
      <c r="G723" s="470"/>
      <c r="H723" s="470"/>
      <c r="I723" s="470"/>
      <c r="J723" s="470"/>
      <c r="K723" s="470"/>
      <c r="L723" s="470"/>
      <c r="M723" s="470"/>
      <c r="N723" s="470"/>
      <c r="O723" s="470"/>
      <c r="P723" s="470"/>
      <c r="Q723" s="470"/>
      <c r="R723" s="470"/>
      <c r="S723" s="470"/>
      <c r="T723" s="470"/>
    </row>
    <row r="724" spans="1:20" x14ac:dyDescent="0.2">
      <c r="A724" s="470"/>
      <c r="B724" s="470"/>
      <c r="C724" s="470"/>
      <c r="D724" s="470"/>
      <c r="E724" s="470"/>
      <c r="F724" s="470"/>
      <c r="G724" s="470"/>
      <c r="H724" s="470"/>
      <c r="I724" s="470"/>
      <c r="J724" s="470"/>
      <c r="K724" s="470"/>
      <c r="L724" s="470"/>
      <c r="M724" s="470"/>
      <c r="N724" s="470"/>
      <c r="O724" s="470"/>
      <c r="P724" s="470"/>
      <c r="Q724" s="470"/>
      <c r="R724" s="470"/>
      <c r="S724" s="470"/>
      <c r="T724" s="470"/>
    </row>
    <row r="725" spans="1:20" x14ac:dyDescent="0.2">
      <c r="A725" s="470"/>
      <c r="B725" s="470"/>
      <c r="C725" s="470"/>
      <c r="D725" s="470"/>
      <c r="E725" s="470"/>
      <c r="F725" s="470"/>
      <c r="G725" s="470"/>
      <c r="H725" s="470"/>
      <c r="I725" s="470"/>
      <c r="J725" s="470"/>
      <c r="K725" s="470"/>
      <c r="L725" s="470"/>
      <c r="M725" s="470"/>
      <c r="N725" s="470"/>
      <c r="O725" s="470"/>
      <c r="P725" s="470"/>
      <c r="Q725" s="470"/>
      <c r="R725" s="470"/>
      <c r="S725" s="470"/>
      <c r="T725" s="470"/>
    </row>
    <row r="726" spans="1:20" x14ac:dyDescent="0.2">
      <c r="A726" s="470"/>
      <c r="B726" s="470"/>
      <c r="C726" s="470"/>
      <c r="D726" s="470"/>
      <c r="E726" s="470"/>
      <c r="F726" s="470"/>
      <c r="G726" s="470"/>
      <c r="H726" s="470"/>
      <c r="I726" s="470"/>
      <c r="J726" s="470"/>
      <c r="K726" s="470"/>
      <c r="L726" s="470"/>
      <c r="M726" s="470"/>
      <c r="N726" s="470"/>
      <c r="O726" s="470"/>
      <c r="P726" s="470"/>
      <c r="Q726" s="470"/>
      <c r="R726" s="470"/>
      <c r="S726" s="470"/>
      <c r="T726" s="470"/>
    </row>
    <row r="727" spans="1:20" x14ac:dyDescent="0.2">
      <c r="A727" s="470"/>
      <c r="B727" s="470"/>
      <c r="C727" s="470"/>
      <c r="D727" s="470"/>
      <c r="E727" s="470"/>
      <c r="F727" s="470"/>
      <c r="G727" s="470"/>
      <c r="H727" s="470"/>
      <c r="I727" s="470"/>
      <c r="J727" s="470"/>
      <c r="K727" s="470"/>
      <c r="L727" s="470"/>
      <c r="M727" s="470"/>
      <c r="N727" s="470"/>
      <c r="O727" s="470"/>
      <c r="P727" s="470"/>
      <c r="Q727" s="470"/>
      <c r="R727" s="470"/>
      <c r="S727" s="470"/>
      <c r="T727" s="470"/>
    </row>
    <row r="728" spans="1:20" x14ac:dyDescent="0.2">
      <c r="A728" s="470"/>
      <c r="B728" s="470"/>
      <c r="C728" s="470"/>
      <c r="D728" s="470"/>
      <c r="E728" s="470"/>
      <c r="F728" s="470"/>
      <c r="G728" s="470"/>
      <c r="H728" s="470"/>
      <c r="I728" s="470"/>
      <c r="J728" s="470"/>
      <c r="K728" s="470"/>
      <c r="L728" s="470"/>
      <c r="M728" s="470"/>
      <c r="N728" s="470"/>
      <c r="O728" s="470"/>
      <c r="P728" s="470"/>
      <c r="Q728" s="470"/>
      <c r="R728" s="470"/>
      <c r="S728" s="470"/>
      <c r="T728" s="470"/>
    </row>
    <row r="729" spans="1:20" x14ac:dyDescent="0.2">
      <c r="A729" s="470"/>
      <c r="B729" s="470"/>
      <c r="C729" s="470"/>
      <c r="D729" s="470"/>
      <c r="E729" s="470"/>
      <c r="F729" s="470"/>
      <c r="G729" s="470"/>
      <c r="H729" s="470"/>
      <c r="I729" s="470"/>
      <c r="J729" s="470"/>
      <c r="K729" s="470"/>
      <c r="L729" s="470"/>
      <c r="M729" s="470"/>
      <c r="N729" s="470"/>
      <c r="O729" s="470"/>
      <c r="P729" s="470"/>
      <c r="Q729" s="470"/>
      <c r="R729" s="470"/>
      <c r="S729" s="470"/>
      <c r="T729" s="470"/>
    </row>
    <row r="730" spans="1:20" x14ac:dyDescent="0.2">
      <c r="A730" s="470"/>
      <c r="B730" s="470"/>
      <c r="C730" s="470"/>
      <c r="D730" s="470"/>
      <c r="E730" s="470"/>
      <c r="F730" s="470"/>
      <c r="G730" s="470"/>
      <c r="H730" s="470"/>
      <c r="I730" s="470"/>
      <c r="J730" s="470"/>
      <c r="K730" s="470"/>
      <c r="L730" s="470"/>
      <c r="M730" s="470"/>
      <c r="N730" s="470"/>
      <c r="O730" s="470"/>
      <c r="P730" s="470"/>
      <c r="Q730" s="470"/>
      <c r="R730" s="470"/>
      <c r="S730" s="470"/>
      <c r="T730" s="470"/>
    </row>
    <row r="731" spans="1:20" x14ac:dyDescent="0.2">
      <c r="A731" s="470"/>
      <c r="B731" s="470"/>
      <c r="C731" s="470"/>
      <c r="D731" s="470"/>
      <c r="E731" s="470"/>
      <c r="F731" s="470"/>
      <c r="G731" s="470"/>
      <c r="H731" s="470"/>
      <c r="I731" s="470"/>
      <c r="J731" s="470"/>
      <c r="K731" s="470"/>
      <c r="L731" s="470"/>
      <c r="M731" s="470"/>
      <c r="N731" s="470"/>
      <c r="O731" s="470"/>
      <c r="P731" s="470"/>
      <c r="Q731" s="470"/>
      <c r="R731" s="470"/>
      <c r="S731" s="470"/>
      <c r="T731" s="470"/>
    </row>
    <row r="732" spans="1:20" x14ac:dyDescent="0.2">
      <c r="A732" s="470"/>
      <c r="B732" s="470"/>
      <c r="C732" s="470"/>
      <c r="D732" s="470"/>
      <c r="E732" s="470"/>
      <c r="F732" s="470"/>
      <c r="G732" s="470"/>
      <c r="H732" s="470"/>
      <c r="I732" s="470"/>
      <c r="J732" s="470"/>
      <c r="K732" s="470"/>
      <c r="L732" s="470"/>
      <c r="M732" s="470"/>
      <c r="N732" s="470"/>
      <c r="O732" s="470"/>
      <c r="P732" s="470"/>
      <c r="Q732" s="470"/>
      <c r="R732" s="470"/>
      <c r="S732" s="470"/>
      <c r="T732" s="470"/>
    </row>
    <row r="733" spans="1:20" x14ac:dyDescent="0.2">
      <c r="A733" s="470"/>
      <c r="B733" s="470"/>
      <c r="C733" s="470"/>
      <c r="D733" s="470"/>
      <c r="E733" s="470"/>
      <c r="F733" s="470"/>
      <c r="G733" s="470"/>
      <c r="H733" s="470"/>
      <c r="I733" s="470"/>
      <c r="J733" s="470"/>
      <c r="K733" s="470"/>
      <c r="L733" s="470"/>
      <c r="M733" s="470"/>
      <c r="N733" s="470"/>
      <c r="O733" s="470"/>
      <c r="P733" s="470"/>
      <c r="Q733" s="470"/>
      <c r="R733" s="470"/>
      <c r="S733" s="470"/>
      <c r="T733" s="470"/>
    </row>
    <row r="734" spans="1:20" x14ac:dyDescent="0.2">
      <c r="A734" s="470"/>
      <c r="B734" s="470"/>
      <c r="C734" s="470"/>
      <c r="D734" s="470"/>
      <c r="E734" s="470"/>
      <c r="F734" s="470"/>
      <c r="G734" s="470"/>
      <c r="H734" s="470"/>
      <c r="I734" s="470"/>
      <c r="J734" s="470"/>
      <c r="K734" s="470"/>
      <c r="L734" s="470"/>
      <c r="M734" s="470"/>
      <c r="N734" s="470"/>
      <c r="O734" s="470"/>
      <c r="P734" s="470"/>
      <c r="Q734" s="470"/>
      <c r="R734" s="470"/>
      <c r="S734" s="470"/>
      <c r="T734" s="470"/>
    </row>
    <row r="735" spans="1:20" x14ac:dyDescent="0.2">
      <c r="A735" s="470"/>
      <c r="B735" s="470"/>
      <c r="C735" s="470"/>
      <c r="D735" s="470"/>
      <c r="E735" s="470"/>
      <c r="F735" s="470"/>
      <c r="G735" s="470"/>
      <c r="H735" s="470"/>
      <c r="I735" s="470"/>
      <c r="J735" s="470"/>
      <c r="K735" s="470"/>
      <c r="L735" s="470"/>
      <c r="M735" s="470"/>
      <c r="N735" s="470"/>
      <c r="O735" s="470"/>
      <c r="P735" s="470"/>
      <c r="Q735" s="470"/>
      <c r="R735" s="470"/>
      <c r="S735" s="470"/>
      <c r="T735" s="470"/>
    </row>
    <row r="736" spans="1:20" x14ac:dyDescent="0.2">
      <c r="A736" s="470"/>
      <c r="B736" s="470"/>
      <c r="C736" s="470"/>
      <c r="D736" s="470"/>
      <c r="E736" s="470"/>
      <c r="F736" s="470"/>
      <c r="G736" s="470"/>
      <c r="H736" s="470"/>
      <c r="I736" s="470"/>
      <c r="J736" s="470"/>
      <c r="K736" s="470"/>
      <c r="L736" s="470"/>
      <c r="M736" s="470"/>
      <c r="N736" s="470"/>
      <c r="O736" s="470"/>
      <c r="P736" s="470"/>
      <c r="Q736" s="470"/>
      <c r="R736" s="470"/>
      <c r="S736" s="470"/>
      <c r="T736" s="470"/>
    </row>
    <row r="737" spans="1:20" x14ac:dyDescent="0.2">
      <c r="A737" s="470"/>
      <c r="B737" s="470"/>
      <c r="C737" s="470"/>
      <c r="D737" s="470"/>
      <c r="E737" s="470"/>
      <c r="F737" s="470"/>
      <c r="G737" s="470"/>
      <c r="H737" s="470"/>
      <c r="I737" s="470"/>
      <c r="J737" s="470"/>
      <c r="K737" s="470"/>
      <c r="L737" s="470"/>
      <c r="M737" s="470"/>
      <c r="N737" s="470"/>
      <c r="O737" s="470"/>
      <c r="P737" s="470"/>
      <c r="Q737" s="470"/>
      <c r="R737" s="470"/>
      <c r="S737" s="470"/>
      <c r="T737" s="470"/>
    </row>
    <row r="738" spans="1:20" x14ac:dyDescent="0.2">
      <c r="A738" s="470"/>
      <c r="B738" s="470"/>
      <c r="C738" s="470"/>
      <c r="D738" s="470"/>
      <c r="E738" s="470"/>
      <c r="F738" s="470"/>
      <c r="G738" s="470"/>
      <c r="H738" s="470"/>
      <c r="I738" s="470"/>
      <c r="J738" s="470"/>
      <c r="K738" s="470"/>
      <c r="L738" s="470"/>
      <c r="M738" s="470"/>
      <c r="N738" s="470"/>
      <c r="O738" s="470"/>
      <c r="P738" s="470"/>
      <c r="Q738" s="470"/>
      <c r="R738" s="470"/>
      <c r="S738" s="470"/>
      <c r="T738" s="470"/>
    </row>
    <row r="739" spans="1:20" x14ac:dyDescent="0.2">
      <c r="A739" s="470"/>
      <c r="B739" s="470"/>
      <c r="C739" s="470"/>
      <c r="D739" s="470"/>
      <c r="E739" s="470"/>
      <c r="F739" s="470"/>
      <c r="G739" s="470"/>
      <c r="H739" s="470"/>
      <c r="I739" s="470"/>
      <c r="J739" s="470"/>
      <c r="K739" s="470"/>
      <c r="L739" s="470"/>
      <c r="M739" s="470"/>
      <c r="N739" s="470"/>
      <c r="O739" s="470"/>
      <c r="P739" s="470"/>
      <c r="Q739" s="470"/>
      <c r="R739" s="470"/>
      <c r="S739" s="470"/>
      <c r="T739" s="470"/>
    </row>
    <row r="740" spans="1:20" x14ac:dyDescent="0.2">
      <c r="A740" s="470"/>
      <c r="B740" s="470"/>
      <c r="C740" s="470"/>
      <c r="D740" s="470"/>
      <c r="E740" s="470"/>
      <c r="F740" s="470"/>
      <c r="G740" s="470"/>
      <c r="H740" s="470"/>
      <c r="I740" s="470"/>
      <c r="J740" s="470"/>
      <c r="K740" s="470"/>
      <c r="L740" s="470"/>
      <c r="M740" s="470"/>
      <c r="N740" s="470"/>
      <c r="O740" s="470"/>
      <c r="P740" s="470"/>
      <c r="Q740" s="470"/>
      <c r="R740" s="470"/>
      <c r="S740" s="470"/>
      <c r="T740" s="470"/>
    </row>
    <row r="741" spans="1:20" x14ac:dyDescent="0.2">
      <c r="A741" s="470"/>
      <c r="B741" s="470"/>
      <c r="C741" s="470"/>
      <c r="D741" s="470"/>
      <c r="E741" s="470"/>
      <c r="F741" s="470"/>
      <c r="G741" s="470"/>
      <c r="H741" s="470"/>
      <c r="I741" s="470"/>
      <c r="J741" s="470"/>
      <c r="K741" s="470"/>
      <c r="L741" s="470"/>
      <c r="M741" s="470"/>
      <c r="N741" s="470"/>
      <c r="O741" s="470"/>
      <c r="P741" s="470"/>
      <c r="Q741" s="470"/>
      <c r="R741" s="470"/>
      <c r="S741" s="470"/>
      <c r="T741" s="470"/>
    </row>
    <row r="742" spans="1:20" x14ac:dyDescent="0.2">
      <c r="A742" s="470"/>
      <c r="B742" s="470"/>
      <c r="C742" s="470"/>
      <c r="D742" s="470"/>
      <c r="E742" s="470"/>
      <c r="F742" s="470"/>
      <c r="G742" s="470"/>
      <c r="H742" s="470"/>
      <c r="I742" s="470"/>
      <c r="J742" s="470"/>
      <c r="K742" s="470"/>
      <c r="L742" s="470"/>
      <c r="M742" s="470"/>
      <c r="N742" s="470"/>
      <c r="O742" s="470"/>
      <c r="P742" s="470"/>
      <c r="Q742" s="470"/>
      <c r="R742" s="470"/>
      <c r="S742" s="470"/>
      <c r="T742" s="470"/>
    </row>
    <row r="743" spans="1:20" x14ac:dyDescent="0.2">
      <c r="A743" s="470"/>
      <c r="B743" s="470"/>
      <c r="C743" s="470"/>
      <c r="D743" s="470"/>
      <c r="E743" s="470"/>
      <c r="F743" s="470"/>
      <c r="G743" s="470"/>
      <c r="H743" s="470"/>
      <c r="I743" s="470"/>
      <c r="J743" s="470"/>
      <c r="K743" s="470"/>
      <c r="L743" s="470"/>
      <c r="M743" s="470"/>
      <c r="N743" s="470"/>
      <c r="O743" s="470"/>
      <c r="P743" s="470"/>
      <c r="Q743" s="470"/>
      <c r="R743" s="470"/>
      <c r="S743" s="470"/>
      <c r="T743" s="470"/>
    </row>
    <row r="744" spans="1:20" x14ac:dyDescent="0.2">
      <c r="A744" s="470"/>
      <c r="B744" s="470"/>
      <c r="C744" s="470"/>
      <c r="D744" s="470"/>
      <c r="E744" s="470"/>
      <c r="F744" s="470"/>
      <c r="G744" s="470"/>
      <c r="H744" s="470"/>
      <c r="I744" s="470"/>
      <c r="J744" s="470"/>
      <c r="K744" s="470"/>
      <c r="L744" s="470"/>
      <c r="M744" s="470"/>
      <c r="N744" s="470"/>
      <c r="O744" s="470"/>
      <c r="P744" s="470"/>
      <c r="Q744" s="470"/>
      <c r="R744" s="470"/>
      <c r="S744" s="470"/>
      <c r="T744" s="470"/>
    </row>
    <row r="745" spans="1:20" x14ac:dyDescent="0.2">
      <c r="A745" s="470"/>
      <c r="B745" s="470"/>
      <c r="C745" s="470"/>
      <c r="D745" s="470"/>
      <c r="E745" s="470"/>
      <c r="F745" s="470"/>
      <c r="G745" s="470"/>
      <c r="H745" s="470"/>
      <c r="I745" s="470"/>
      <c r="J745" s="470"/>
      <c r="K745" s="470"/>
      <c r="L745" s="470"/>
      <c r="M745" s="470"/>
      <c r="N745" s="470"/>
      <c r="O745" s="470"/>
      <c r="P745" s="470"/>
      <c r="Q745" s="470"/>
      <c r="R745" s="470"/>
      <c r="S745" s="470"/>
      <c r="T745" s="470"/>
    </row>
    <row r="746" spans="1:20" x14ac:dyDescent="0.2">
      <c r="A746" s="470"/>
      <c r="B746" s="470"/>
      <c r="C746" s="470"/>
      <c r="D746" s="470"/>
      <c r="E746" s="470"/>
      <c r="F746" s="470"/>
      <c r="G746" s="470"/>
      <c r="H746" s="470"/>
      <c r="I746" s="470"/>
      <c r="J746" s="470"/>
      <c r="K746" s="470"/>
      <c r="L746" s="470"/>
      <c r="M746" s="470"/>
      <c r="N746" s="470"/>
      <c r="O746" s="470"/>
      <c r="P746" s="470"/>
      <c r="Q746" s="470"/>
      <c r="R746" s="470"/>
      <c r="S746" s="470"/>
      <c r="T746" s="470"/>
    </row>
    <row r="747" spans="1:20" x14ac:dyDescent="0.2">
      <c r="A747" s="470"/>
      <c r="B747" s="470"/>
      <c r="C747" s="470"/>
      <c r="D747" s="470"/>
      <c r="E747" s="470"/>
      <c r="F747" s="470"/>
      <c r="G747" s="470"/>
      <c r="H747" s="470"/>
      <c r="I747" s="470"/>
      <c r="J747" s="470"/>
      <c r="K747" s="470"/>
      <c r="L747" s="470"/>
      <c r="M747" s="470"/>
      <c r="N747" s="470"/>
      <c r="O747" s="470"/>
      <c r="P747" s="470"/>
      <c r="Q747" s="470"/>
      <c r="R747" s="470"/>
      <c r="S747" s="470"/>
      <c r="T747" s="470"/>
    </row>
    <row r="748" spans="1:20" x14ac:dyDescent="0.2">
      <c r="A748" s="470"/>
      <c r="B748" s="470"/>
      <c r="C748" s="470"/>
      <c r="D748" s="470"/>
      <c r="E748" s="470"/>
      <c r="F748" s="470"/>
      <c r="G748" s="470"/>
      <c r="H748" s="470"/>
      <c r="I748" s="470"/>
      <c r="J748" s="470"/>
      <c r="K748" s="470"/>
      <c r="L748" s="470"/>
      <c r="M748" s="470"/>
      <c r="N748" s="470"/>
      <c r="O748" s="470"/>
      <c r="P748" s="470"/>
      <c r="Q748" s="470"/>
      <c r="R748" s="470"/>
      <c r="S748" s="470"/>
      <c r="T748" s="470"/>
    </row>
    <row r="749" spans="1:20" x14ac:dyDescent="0.2">
      <c r="A749" s="470"/>
      <c r="B749" s="470"/>
      <c r="C749" s="470"/>
      <c r="D749" s="470"/>
      <c r="E749" s="470"/>
      <c r="F749" s="470"/>
      <c r="G749" s="470"/>
      <c r="H749" s="470"/>
      <c r="I749" s="470"/>
      <c r="J749" s="470"/>
      <c r="K749" s="470"/>
      <c r="L749" s="470"/>
      <c r="M749" s="470"/>
      <c r="N749" s="470"/>
      <c r="O749" s="470"/>
      <c r="P749" s="470"/>
      <c r="Q749" s="470"/>
      <c r="R749" s="470"/>
      <c r="S749" s="470"/>
      <c r="T749" s="470"/>
    </row>
    <row r="750" spans="1:20" x14ac:dyDescent="0.2">
      <c r="A750" s="470"/>
      <c r="B750" s="470"/>
      <c r="C750" s="470"/>
      <c r="D750" s="470"/>
      <c r="E750" s="470"/>
      <c r="F750" s="470"/>
      <c r="G750" s="470"/>
      <c r="H750" s="470"/>
      <c r="I750" s="470"/>
      <c r="J750" s="470"/>
      <c r="K750" s="470"/>
      <c r="L750" s="470"/>
      <c r="M750" s="470"/>
      <c r="N750" s="470"/>
      <c r="O750" s="470"/>
      <c r="P750" s="470"/>
      <c r="Q750" s="470"/>
      <c r="R750" s="470"/>
      <c r="S750" s="470"/>
      <c r="T750" s="470"/>
    </row>
    <row r="751" spans="1:20" x14ac:dyDescent="0.2">
      <c r="A751" s="470"/>
      <c r="B751" s="470"/>
      <c r="C751" s="470"/>
      <c r="D751" s="470"/>
      <c r="E751" s="470"/>
      <c r="F751" s="470"/>
      <c r="G751" s="470"/>
      <c r="H751" s="470"/>
      <c r="I751" s="470"/>
      <c r="J751" s="470"/>
      <c r="K751" s="470"/>
      <c r="L751" s="470"/>
      <c r="M751" s="470"/>
      <c r="N751" s="470"/>
      <c r="O751" s="470"/>
      <c r="P751" s="470"/>
      <c r="Q751" s="470"/>
      <c r="R751" s="470"/>
      <c r="S751" s="470"/>
      <c r="T751" s="470"/>
    </row>
    <row r="752" spans="1:20" x14ac:dyDescent="0.2">
      <c r="A752" s="470"/>
      <c r="B752" s="470"/>
      <c r="C752" s="470"/>
      <c r="D752" s="470"/>
      <c r="E752" s="470"/>
      <c r="F752" s="470"/>
      <c r="G752" s="470"/>
      <c r="H752" s="470"/>
      <c r="I752" s="470"/>
      <c r="J752" s="470"/>
      <c r="K752" s="470"/>
      <c r="L752" s="470"/>
      <c r="M752" s="470"/>
      <c r="N752" s="470"/>
      <c r="O752" s="470"/>
      <c r="P752" s="470"/>
      <c r="Q752" s="470"/>
      <c r="R752" s="470"/>
      <c r="S752" s="470"/>
      <c r="T752" s="470"/>
    </row>
    <row r="753" spans="1:20" x14ac:dyDescent="0.2">
      <c r="A753" s="470"/>
      <c r="B753" s="470"/>
      <c r="C753" s="470"/>
      <c r="D753" s="470"/>
      <c r="E753" s="470"/>
      <c r="F753" s="470"/>
      <c r="G753" s="470"/>
      <c r="H753" s="470"/>
      <c r="I753" s="470"/>
      <c r="J753" s="470"/>
      <c r="K753" s="470"/>
      <c r="L753" s="470"/>
      <c r="M753" s="470"/>
      <c r="N753" s="470"/>
      <c r="O753" s="470"/>
      <c r="P753" s="470"/>
      <c r="Q753" s="470"/>
      <c r="R753" s="470"/>
      <c r="S753" s="470"/>
      <c r="T753" s="470"/>
    </row>
    <row r="754" spans="1:20" x14ac:dyDescent="0.2">
      <c r="A754" s="470"/>
      <c r="B754" s="470"/>
      <c r="C754" s="470"/>
      <c r="D754" s="470"/>
      <c r="E754" s="470"/>
      <c r="F754" s="470"/>
      <c r="G754" s="470"/>
      <c r="H754" s="470"/>
      <c r="I754" s="470"/>
      <c r="J754" s="470"/>
      <c r="K754" s="470"/>
      <c r="L754" s="470"/>
      <c r="M754" s="470"/>
      <c r="N754" s="470"/>
      <c r="O754" s="470"/>
      <c r="P754" s="470"/>
      <c r="Q754" s="470"/>
      <c r="R754" s="470"/>
      <c r="S754" s="470"/>
      <c r="T754" s="470"/>
    </row>
    <row r="755" spans="1:20" x14ac:dyDescent="0.2">
      <c r="A755" s="470"/>
      <c r="B755" s="470"/>
      <c r="C755" s="470"/>
      <c r="D755" s="470"/>
      <c r="E755" s="470"/>
      <c r="F755" s="470"/>
      <c r="G755" s="470"/>
      <c r="H755" s="470"/>
      <c r="I755" s="470"/>
      <c r="J755" s="470"/>
      <c r="K755" s="470"/>
      <c r="L755" s="470"/>
      <c r="M755" s="470"/>
      <c r="N755" s="470"/>
      <c r="O755" s="470"/>
      <c r="P755" s="470"/>
      <c r="Q755" s="470"/>
      <c r="R755" s="470"/>
      <c r="S755" s="470"/>
      <c r="T755" s="470"/>
    </row>
    <row r="756" spans="1:20" x14ac:dyDescent="0.2">
      <c r="A756" s="470"/>
      <c r="B756" s="470"/>
      <c r="C756" s="470"/>
      <c r="D756" s="470"/>
      <c r="E756" s="470"/>
      <c r="F756" s="470"/>
      <c r="G756" s="470"/>
      <c r="H756" s="470"/>
      <c r="I756" s="470"/>
      <c r="J756" s="470"/>
      <c r="K756" s="470"/>
      <c r="L756" s="470"/>
      <c r="M756" s="470"/>
      <c r="N756" s="470"/>
      <c r="O756" s="470"/>
      <c r="P756" s="470"/>
      <c r="Q756" s="470"/>
      <c r="R756" s="470"/>
      <c r="S756" s="470"/>
      <c r="T756" s="470"/>
    </row>
    <row r="757" spans="1:20" x14ac:dyDescent="0.2">
      <c r="A757" s="470"/>
      <c r="B757" s="470"/>
      <c r="C757" s="470"/>
      <c r="D757" s="470"/>
      <c r="E757" s="470"/>
      <c r="F757" s="470"/>
      <c r="G757" s="470"/>
      <c r="H757" s="470"/>
      <c r="I757" s="470"/>
      <c r="J757" s="470"/>
      <c r="K757" s="470"/>
      <c r="L757" s="470"/>
      <c r="M757" s="470"/>
      <c r="N757" s="470"/>
      <c r="O757" s="470"/>
      <c r="P757" s="470"/>
      <c r="Q757" s="470"/>
      <c r="R757" s="470"/>
      <c r="S757" s="470"/>
      <c r="T757" s="470"/>
    </row>
    <row r="758" spans="1:20" x14ac:dyDescent="0.2">
      <c r="A758" s="470"/>
      <c r="B758" s="470"/>
      <c r="C758" s="470"/>
      <c r="D758" s="470"/>
      <c r="E758" s="470"/>
      <c r="F758" s="470"/>
      <c r="G758" s="470"/>
      <c r="H758" s="470"/>
      <c r="I758" s="470"/>
      <c r="J758" s="470"/>
      <c r="K758" s="470"/>
      <c r="L758" s="470"/>
      <c r="M758" s="470"/>
      <c r="N758" s="470"/>
      <c r="O758" s="470"/>
      <c r="P758" s="470"/>
      <c r="Q758" s="470"/>
      <c r="R758" s="470"/>
      <c r="S758" s="470"/>
      <c r="T758" s="470"/>
    </row>
    <row r="759" spans="1:20" x14ac:dyDescent="0.2">
      <c r="A759" s="470"/>
      <c r="B759" s="470"/>
      <c r="C759" s="470"/>
      <c r="D759" s="470"/>
      <c r="E759" s="470"/>
      <c r="F759" s="470"/>
      <c r="G759" s="470"/>
      <c r="H759" s="470"/>
      <c r="I759" s="470"/>
      <c r="J759" s="470"/>
      <c r="K759" s="470"/>
      <c r="L759" s="470"/>
      <c r="M759" s="470"/>
      <c r="N759" s="470"/>
      <c r="O759" s="470"/>
      <c r="P759" s="470"/>
      <c r="Q759" s="470"/>
      <c r="R759" s="470"/>
      <c r="S759" s="470"/>
      <c r="T759" s="470"/>
    </row>
    <row r="760" spans="1:20" x14ac:dyDescent="0.2">
      <c r="A760" s="470"/>
      <c r="B760" s="470"/>
      <c r="C760" s="470"/>
      <c r="D760" s="470"/>
      <c r="E760" s="470"/>
      <c r="F760" s="470"/>
      <c r="G760" s="470"/>
      <c r="H760" s="470"/>
      <c r="I760" s="470"/>
      <c r="J760" s="470"/>
      <c r="K760" s="470"/>
      <c r="L760" s="470"/>
      <c r="M760" s="470"/>
      <c r="N760" s="470"/>
      <c r="O760" s="470"/>
      <c r="P760" s="470"/>
      <c r="Q760" s="470"/>
      <c r="R760" s="470"/>
      <c r="S760" s="470"/>
      <c r="T760" s="470"/>
    </row>
    <row r="761" spans="1:20" x14ac:dyDescent="0.2">
      <c r="A761" s="470"/>
      <c r="B761" s="470"/>
      <c r="C761" s="470"/>
      <c r="D761" s="470"/>
      <c r="E761" s="470"/>
      <c r="F761" s="470"/>
      <c r="G761" s="470"/>
      <c r="H761" s="470"/>
      <c r="I761" s="470"/>
      <c r="J761" s="470"/>
      <c r="K761" s="470"/>
      <c r="L761" s="470"/>
      <c r="M761" s="470"/>
      <c r="N761" s="470"/>
      <c r="O761" s="470"/>
      <c r="P761" s="470"/>
      <c r="Q761" s="470"/>
      <c r="R761" s="470"/>
      <c r="S761" s="470"/>
      <c r="T761" s="470"/>
    </row>
    <row r="762" spans="1:20" x14ac:dyDescent="0.2">
      <c r="A762" s="470"/>
      <c r="B762" s="470"/>
      <c r="C762" s="470"/>
      <c r="D762" s="470"/>
      <c r="E762" s="470"/>
      <c r="F762" s="470"/>
      <c r="G762" s="470"/>
      <c r="H762" s="470"/>
      <c r="I762" s="470"/>
      <c r="J762" s="470"/>
      <c r="K762" s="470"/>
      <c r="L762" s="470"/>
      <c r="M762" s="470"/>
      <c r="N762" s="470"/>
      <c r="O762" s="470"/>
      <c r="P762" s="470"/>
      <c r="Q762" s="470"/>
      <c r="R762" s="470"/>
      <c r="S762" s="470"/>
      <c r="T762" s="470"/>
    </row>
    <row r="763" spans="1:20" x14ac:dyDescent="0.2">
      <c r="A763" s="470"/>
      <c r="B763" s="470"/>
      <c r="C763" s="470"/>
      <c r="D763" s="470"/>
      <c r="E763" s="470"/>
      <c r="F763" s="470"/>
      <c r="G763" s="470"/>
      <c r="H763" s="470"/>
      <c r="I763" s="470"/>
      <c r="J763" s="470"/>
      <c r="K763" s="470"/>
      <c r="L763" s="470"/>
      <c r="M763" s="470"/>
      <c r="N763" s="470"/>
      <c r="O763" s="470"/>
      <c r="P763" s="470"/>
      <c r="Q763" s="470"/>
      <c r="R763" s="470"/>
      <c r="S763" s="470"/>
      <c r="T763" s="470"/>
    </row>
    <row r="764" spans="1:20" x14ac:dyDescent="0.2">
      <c r="A764" s="470"/>
      <c r="B764" s="470"/>
      <c r="C764" s="470"/>
      <c r="D764" s="470"/>
      <c r="E764" s="470"/>
      <c r="F764" s="470"/>
      <c r="G764" s="470"/>
      <c r="H764" s="470"/>
      <c r="I764" s="470"/>
      <c r="J764" s="470"/>
      <c r="K764" s="470"/>
      <c r="L764" s="470"/>
      <c r="M764" s="470"/>
      <c r="N764" s="470"/>
      <c r="O764" s="470"/>
      <c r="P764" s="470"/>
      <c r="Q764" s="470"/>
      <c r="R764" s="470"/>
      <c r="S764" s="470"/>
      <c r="T764" s="470"/>
    </row>
    <row r="765" spans="1:20" x14ac:dyDescent="0.2">
      <c r="A765" s="470"/>
      <c r="B765" s="470"/>
      <c r="C765" s="470"/>
      <c r="D765" s="470"/>
      <c r="E765" s="470"/>
      <c r="F765" s="470"/>
      <c r="G765" s="470"/>
      <c r="H765" s="470"/>
      <c r="I765" s="470"/>
      <c r="J765" s="470"/>
      <c r="K765" s="470"/>
      <c r="L765" s="470"/>
      <c r="M765" s="470"/>
      <c r="N765" s="470"/>
      <c r="O765" s="470"/>
      <c r="P765" s="470"/>
      <c r="Q765" s="470"/>
      <c r="R765" s="470"/>
      <c r="S765" s="470"/>
      <c r="T765" s="470"/>
    </row>
    <row r="766" spans="1:20" x14ac:dyDescent="0.2">
      <c r="A766" s="470"/>
      <c r="B766" s="470"/>
      <c r="C766" s="470"/>
      <c r="D766" s="470"/>
      <c r="E766" s="470"/>
      <c r="F766" s="470"/>
      <c r="G766" s="470"/>
      <c r="H766" s="470"/>
      <c r="I766" s="470"/>
      <c r="J766" s="470"/>
      <c r="K766" s="470"/>
      <c r="L766" s="470"/>
      <c r="M766" s="470"/>
      <c r="N766" s="470"/>
      <c r="O766" s="470"/>
      <c r="P766" s="470"/>
      <c r="Q766" s="470"/>
      <c r="R766" s="470"/>
      <c r="S766" s="470"/>
      <c r="T766" s="470"/>
    </row>
  </sheetData>
  <mergeCells count="8">
    <mergeCell ref="A63:R63"/>
    <mergeCell ref="A64:R64"/>
    <mergeCell ref="A65:R65"/>
    <mergeCell ref="F70:R70"/>
    <mergeCell ref="A1:R1"/>
    <mergeCell ref="F10:R10"/>
    <mergeCell ref="A61:R61"/>
    <mergeCell ref="A62:R62"/>
  </mergeCells>
  <phoneticPr fontId="3" type="noConversion"/>
  <printOptions horizontalCentered="1"/>
  <pageMargins left="0.25" right="0.25" top="0.5" bottom="0.25" header="0.5" footer="0.5"/>
  <pageSetup scale="76" orientation="landscape" r:id="rId1"/>
  <headerFooter alignWithMargins="0"/>
  <rowBreaks count="1" manualBreakCount="1">
    <brk id="5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 transitionEntry="1">
    <pageSetUpPr fitToPage="1"/>
  </sheetPr>
  <dimension ref="A1:I48"/>
  <sheetViews>
    <sheetView topLeftCell="A7" zoomScale="90" zoomScaleNormal="90" workbookViewId="0">
      <selection activeCell="E25" sqref="E25"/>
    </sheetView>
  </sheetViews>
  <sheetFormatPr defaultColWidth="11.33203125" defaultRowHeight="12.75" x14ac:dyDescent="0.2"/>
  <cols>
    <col min="1" max="1" width="6.6640625" style="12" customWidth="1"/>
    <col min="2" max="2" width="4.33203125" style="12" customWidth="1"/>
    <col min="3" max="3" width="45.6640625" style="12" bestFit="1" customWidth="1"/>
    <col min="4" max="4" width="8.83203125" style="12" customWidth="1"/>
    <col min="5" max="5" width="14.83203125" style="12" customWidth="1"/>
    <col min="6" max="6" width="8.83203125" style="12" customWidth="1"/>
    <col min="7" max="7" width="19.33203125" style="12" bestFit="1" customWidth="1"/>
    <col min="8" max="8" width="4.83203125" style="12" customWidth="1"/>
    <col min="9" max="9" width="8.83203125" style="1287" customWidth="1"/>
    <col min="10" max="10" width="11.33203125" style="12" customWidth="1"/>
    <col min="11" max="11" width="12.5" style="12" customWidth="1"/>
    <col min="12" max="12" width="16" style="12" customWidth="1"/>
    <col min="13" max="13" width="20.6640625" style="12" customWidth="1"/>
    <col min="14" max="14" width="17.1640625" style="12" customWidth="1"/>
    <col min="15" max="16" width="20.6640625" style="12" customWidth="1"/>
    <col min="17" max="17" width="18.33203125" style="12" customWidth="1"/>
    <col min="18" max="18" width="21.83203125" style="12" customWidth="1"/>
    <col min="19" max="19" width="13.6640625" style="12" customWidth="1"/>
    <col min="20" max="20" width="11.33203125" style="12"/>
    <col min="21" max="21" width="27.6640625" style="12" customWidth="1"/>
    <col min="22" max="22" width="17.1640625" style="12" customWidth="1"/>
    <col min="23" max="23" width="21.83203125" style="12" customWidth="1"/>
    <col min="24" max="24" width="16" style="12" customWidth="1"/>
    <col min="25" max="25" width="34.6640625" style="12" customWidth="1"/>
    <col min="26" max="26" width="11.33203125" style="12"/>
    <col min="27" max="27" width="17.1640625" style="12" customWidth="1"/>
    <col min="28" max="28" width="16" style="12" customWidth="1"/>
    <col min="29" max="29" width="13.6640625" style="12" customWidth="1"/>
    <col min="30" max="30" width="11.33203125" style="12"/>
    <col min="31" max="31" width="5.5" style="12" customWidth="1"/>
    <col min="32" max="32" width="56.83203125" style="12" customWidth="1"/>
    <col min="33" max="33" width="11.33203125" style="12"/>
    <col min="34" max="37" width="12.5" style="12" customWidth="1"/>
    <col min="38" max="39" width="11.33203125" style="12"/>
    <col min="40" max="40" width="5.5" style="12" customWidth="1"/>
    <col min="41" max="41" width="59.1640625" style="12" customWidth="1"/>
    <col min="42" max="42" width="11.33203125" style="12"/>
    <col min="43" max="43" width="13.6640625" style="12" customWidth="1"/>
    <col min="44" max="44" width="11.33203125" style="12"/>
    <col min="45" max="46" width="5.5" style="12" customWidth="1"/>
    <col min="47" max="47" width="47.5" style="12" customWidth="1"/>
    <col min="48" max="48" width="2" style="12" customWidth="1"/>
    <col min="49" max="52" width="13.6640625" style="12" customWidth="1"/>
    <col min="53" max="54" width="11.33203125" style="12"/>
    <col min="55" max="55" width="5.5" style="12" customWidth="1"/>
    <col min="56" max="56" width="35.83203125" style="12" customWidth="1"/>
    <col min="57" max="65" width="11.33203125" style="12"/>
    <col min="66" max="66" width="17.1640625" style="12" customWidth="1"/>
    <col min="67" max="68" width="11.33203125" style="12"/>
    <col min="69" max="69" width="14.83203125" style="12" customWidth="1"/>
    <col min="70" max="70" width="12.5" style="12" customWidth="1"/>
    <col min="71" max="16384" width="11.33203125" style="12"/>
  </cols>
  <sheetData>
    <row r="1" spans="1:9" x14ac:dyDescent="0.2">
      <c r="A1" s="1390" t="s">
        <v>477</v>
      </c>
      <c r="B1" s="1390"/>
      <c r="C1" s="1390"/>
      <c r="D1" s="1390"/>
      <c r="E1" s="1390"/>
      <c r="F1" s="1390"/>
      <c r="G1" s="1390"/>
    </row>
    <row r="2" spans="1:9" x14ac:dyDescent="0.2">
      <c r="A2" s="1390" t="str">
        <f>Input!C4</f>
        <v>CASE NO. 2017-xxxxx</v>
      </c>
      <c r="B2" s="1390"/>
      <c r="C2" s="1390"/>
      <c r="D2" s="1390"/>
      <c r="E2" s="1390"/>
      <c r="F2" s="1390"/>
      <c r="G2" s="1390"/>
    </row>
    <row r="3" spans="1:9" x14ac:dyDescent="0.2">
      <c r="A3" s="1390" t="s">
        <v>845</v>
      </c>
      <c r="B3" s="1390"/>
      <c r="C3" s="1390"/>
      <c r="D3" s="1390"/>
      <c r="E3" s="1390"/>
      <c r="F3" s="1390"/>
      <c r="G3" s="1390"/>
    </row>
    <row r="4" spans="1:9" x14ac:dyDescent="0.2">
      <c r="A4" s="1390" t="str">
        <f>Input!C8</f>
        <v>FOR THE TWELVE MONTHS ENDED DECEMBER 31, 2017</v>
      </c>
      <c r="B4" s="1390"/>
      <c r="C4" s="1390"/>
      <c r="D4" s="1390"/>
      <c r="E4" s="1390"/>
      <c r="F4" s="1390"/>
      <c r="G4" s="1390"/>
    </row>
    <row r="5" spans="1:9" x14ac:dyDescent="0.2">
      <c r="A5" s="96"/>
      <c r="B5" s="96"/>
      <c r="C5" s="96"/>
      <c r="D5" s="96"/>
      <c r="E5" s="96"/>
      <c r="F5" s="97"/>
      <c r="G5" s="96"/>
    </row>
    <row r="6" spans="1:9" x14ac:dyDescent="0.2">
      <c r="A6" s="98" t="s">
        <v>839</v>
      </c>
      <c r="B6" s="98"/>
      <c r="C6" s="96"/>
      <c r="D6" s="96"/>
      <c r="E6" s="96"/>
      <c r="F6" s="96"/>
      <c r="G6" s="99" t="s">
        <v>846</v>
      </c>
    </row>
    <row r="7" spans="1:9" x14ac:dyDescent="0.2">
      <c r="A7" s="98" t="s">
        <v>847</v>
      </c>
      <c r="B7" s="98"/>
      <c r="C7" s="96"/>
      <c r="D7" s="96"/>
      <c r="E7" s="96"/>
      <c r="F7" s="96"/>
      <c r="G7" s="99" t="s">
        <v>491</v>
      </c>
      <c r="H7" s="14"/>
      <c r="I7" s="1291" t="s">
        <v>1792</v>
      </c>
    </row>
    <row r="8" spans="1:9" x14ac:dyDescent="0.2">
      <c r="A8" s="100" t="s">
        <v>848</v>
      </c>
      <c r="B8" s="100"/>
      <c r="C8" s="101"/>
      <c r="D8" s="101"/>
      <c r="E8" s="101"/>
      <c r="F8" s="101"/>
      <c r="G8" s="102" t="str">
        <f>Input!E27</f>
        <v>WITNESS:  C. Y. LAI</v>
      </c>
      <c r="H8" s="14"/>
      <c r="I8" s="1288"/>
    </row>
    <row r="9" spans="1:9" x14ac:dyDescent="0.2">
      <c r="A9" s="96"/>
      <c r="B9" s="96"/>
      <c r="C9" s="96"/>
      <c r="D9" s="96"/>
      <c r="E9" s="96"/>
      <c r="F9" s="103"/>
      <c r="G9" s="95" t="s">
        <v>849</v>
      </c>
      <c r="H9" s="14"/>
    </row>
    <row r="10" spans="1:9" x14ac:dyDescent="0.2">
      <c r="A10" s="96"/>
      <c r="B10" s="96"/>
      <c r="C10" s="96"/>
      <c r="D10" s="96"/>
      <c r="E10" s="95" t="s">
        <v>850</v>
      </c>
      <c r="F10" s="103"/>
      <c r="G10" s="95" t="s">
        <v>523</v>
      </c>
      <c r="H10" s="14"/>
    </row>
    <row r="11" spans="1:9" x14ac:dyDescent="0.2">
      <c r="A11" s="95" t="s">
        <v>493</v>
      </c>
      <c r="B11" s="95"/>
      <c r="C11" s="96"/>
      <c r="D11" s="96"/>
      <c r="E11" s="95" t="s">
        <v>479</v>
      </c>
      <c r="F11" s="103"/>
      <c r="G11" s="95" t="s">
        <v>851</v>
      </c>
      <c r="H11" s="14"/>
    </row>
    <row r="12" spans="1:9" x14ac:dyDescent="0.2">
      <c r="A12" s="104" t="s">
        <v>496</v>
      </c>
      <c r="B12" s="104"/>
      <c r="C12" s="104" t="s">
        <v>480</v>
      </c>
      <c r="D12" s="105"/>
      <c r="E12" s="104" t="s">
        <v>852</v>
      </c>
      <c r="F12" s="106"/>
      <c r="G12" s="104" t="s">
        <v>853</v>
      </c>
      <c r="H12" s="14"/>
      <c r="I12" s="1288"/>
    </row>
    <row r="13" spans="1:9" x14ac:dyDescent="0.2">
      <c r="A13" s="96"/>
      <c r="B13" s="96"/>
      <c r="C13" s="96"/>
      <c r="D13" s="96"/>
      <c r="E13" s="96"/>
      <c r="F13" s="103"/>
      <c r="G13" s="96"/>
      <c r="H13" s="14"/>
    </row>
    <row r="14" spans="1:9" x14ac:dyDescent="0.2">
      <c r="A14" s="107"/>
      <c r="B14" s="96"/>
      <c r="C14" s="96"/>
      <c r="D14" s="96"/>
      <c r="E14" s="96"/>
      <c r="F14" s="103"/>
      <c r="G14" s="108"/>
      <c r="H14" s="15"/>
      <c r="I14" s="1289"/>
    </row>
    <row r="15" spans="1:9" x14ac:dyDescent="0.2">
      <c r="A15" s="95">
        <v>1</v>
      </c>
      <c r="B15" s="95"/>
      <c r="C15" s="98" t="s">
        <v>515</v>
      </c>
      <c r="D15" s="96"/>
      <c r="E15" s="95" t="s">
        <v>854</v>
      </c>
      <c r="F15" s="96"/>
      <c r="G15" s="1299" t="e">
        <f>'Rate Base Summary Sch B-1'!G36</f>
        <v>#REF!</v>
      </c>
      <c r="H15" s="15"/>
      <c r="I15" s="1300" t="s">
        <v>1793</v>
      </c>
    </row>
    <row r="16" spans="1:9" x14ac:dyDescent="0.2">
      <c r="A16" s="109"/>
      <c r="B16" s="96"/>
      <c r="C16" s="96"/>
      <c r="D16" s="96"/>
      <c r="E16" s="96"/>
      <c r="F16" s="96"/>
      <c r="G16" s="108"/>
      <c r="H16" s="15"/>
      <c r="I16" s="1289"/>
    </row>
    <row r="17" spans="1:9" x14ac:dyDescent="0.2">
      <c r="A17" s="95">
        <f>A15+1</f>
        <v>2</v>
      </c>
      <c r="B17" s="95"/>
      <c r="C17" s="98" t="s">
        <v>514</v>
      </c>
      <c r="D17" s="96"/>
      <c r="E17" s="95" t="s">
        <v>855</v>
      </c>
      <c r="F17" s="96"/>
      <c r="G17" s="1330" t="e">
        <f>'Attachment CYL - 1'!#REF!</f>
        <v>#REF!</v>
      </c>
      <c r="H17" s="15"/>
      <c r="I17" s="1292" t="s">
        <v>1804</v>
      </c>
    </row>
    <row r="18" spans="1:9" x14ac:dyDescent="0.2">
      <c r="A18" s="109"/>
      <c r="B18" s="96"/>
      <c r="C18" s="96"/>
      <c r="D18" s="96"/>
      <c r="E18" s="96"/>
      <c r="F18" s="96"/>
      <c r="G18" s="108"/>
      <c r="H18" s="15"/>
    </row>
    <row r="19" spans="1:9" x14ac:dyDescent="0.2">
      <c r="A19" s="95">
        <f>A17+1</f>
        <v>3</v>
      </c>
      <c r="B19" s="95"/>
      <c r="C19" s="98" t="s">
        <v>856</v>
      </c>
      <c r="D19" s="96"/>
      <c r="E19" s="96"/>
      <c r="F19" s="96"/>
      <c r="G19" s="110" t="e">
        <f>ROUND(G17/G15,4)</f>
        <v>#REF!</v>
      </c>
      <c r="H19" s="16"/>
      <c r="I19" s="1290"/>
    </row>
    <row r="20" spans="1:9" x14ac:dyDescent="0.2">
      <c r="A20" s="109"/>
      <c r="B20" s="96"/>
      <c r="C20" s="96"/>
      <c r="D20" s="96"/>
      <c r="E20" s="96"/>
      <c r="F20" s="96"/>
      <c r="G20" s="108"/>
      <c r="H20" s="15"/>
      <c r="I20" s="1289"/>
    </row>
    <row r="21" spans="1:9" x14ac:dyDescent="0.2">
      <c r="A21" s="95">
        <f>A19+1</f>
        <v>4</v>
      </c>
      <c r="B21" s="95"/>
      <c r="C21" s="98" t="s">
        <v>516</v>
      </c>
      <c r="D21" s="96"/>
      <c r="E21" s="95" t="s">
        <v>857</v>
      </c>
      <c r="F21" s="96"/>
      <c r="G21" s="1285">
        <f>'Cost of Capital Summary J-1'!M22*0+0.095</f>
        <v>9.5000000000000001E-2</v>
      </c>
      <c r="H21" s="16"/>
      <c r="I21" s="1331" t="s">
        <v>1805</v>
      </c>
    </row>
    <row r="22" spans="1:9" x14ac:dyDescent="0.2">
      <c r="A22" s="109"/>
      <c r="B22" s="96"/>
      <c r="C22" s="96"/>
      <c r="D22" s="96"/>
      <c r="E22" s="96"/>
      <c r="F22" s="96"/>
      <c r="G22" s="108"/>
      <c r="H22" s="15"/>
      <c r="I22" s="1289"/>
    </row>
    <row r="23" spans="1:9" x14ac:dyDescent="0.2">
      <c r="A23" s="95">
        <f>A21+1</f>
        <v>5</v>
      </c>
      <c r="B23" s="95"/>
      <c r="C23" s="98" t="s">
        <v>858</v>
      </c>
      <c r="D23" s="96"/>
      <c r="E23" s="96"/>
      <c r="F23" s="96"/>
      <c r="G23" s="108" t="e">
        <f>ROUND(G15*G21,0)</f>
        <v>#REF!</v>
      </c>
      <c r="H23" s="15"/>
      <c r="I23" s="1289"/>
    </row>
    <row r="24" spans="1:9" x14ac:dyDescent="0.2">
      <c r="A24" s="109"/>
      <c r="B24" s="96"/>
      <c r="C24" s="96"/>
      <c r="D24" s="96"/>
      <c r="E24" s="96"/>
      <c r="F24" s="96"/>
      <c r="G24" s="108"/>
      <c r="H24" s="15"/>
      <c r="I24" s="1289"/>
    </row>
    <row r="25" spans="1:9" x14ac:dyDescent="0.2">
      <c r="A25" s="95">
        <f>A23+1</f>
        <v>6</v>
      </c>
      <c r="B25" s="95"/>
      <c r="C25" s="98" t="s">
        <v>859</v>
      </c>
      <c r="D25" s="96"/>
      <c r="E25" s="96"/>
      <c r="F25" s="96"/>
      <c r="G25" s="108" t="e">
        <f>(G23-G17)</f>
        <v>#REF!</v>
      </c>
      <c r="H25" s="15"/>
      <c r="I25" s="1289"/>
    </row>
    <row r="26" spans="1:9" x14ac:dyDescent="0.2">
      <c r="A26" s="109"/>
      <c r="B26" s="96"/>
      <c r="C26" s="96"/>
      <c r="D26" s="96"/>
      <c r="E26" s="96"/>
      <c r="F26" s="96"/>
      <c r="G26" s="108"/>
      <c r="H26" s="15"/>
      <c r="I26" s="1289"/>
    </row>
    <row r="27" spans="1:9" x14ac:dyDescent="0.2">
      <c r="A27" s="95">
        <f>A25+1</f>
        <v>7</v>
      </c>
      <c r="B27" s="95"/>
      <c r="C27" s="98" t="s">
        <v>860</v>
      </c>
      <c r="D27" s="96"/>
      <c r="E27" s="95" t="s">
        <v>861</v>
      </c>
      <c r="F27" s="96"/>
      <c r="G27" s="111">
        <f>'Gross Conversion Factor H-1'!H30</f>
        <v>1.361782</v>
      </c>
      <c r="H27" s="15"/>
      <c r="I27" s="1289"/>
    </row>
    <row r="28" spans="1:9" x14ac:dyDescent="0.2">
      <c r="A28" s="109"/>
      <c r="B28" s="96"/>
      <c r="C28" s="96"/>
      <c r="D28" s="96"/>
      <c r="E28" s="96"/>
      <c r="F28" s="96"/>
      <c r="G28" s="108"/>
      <c r="H28" s="15"/>
      <c r="I28" s="1289"/>
    </row>
    <row r="29" spans="1:9" x14ac:dyDescent="0.2">
      <c r="A29" s="95">
        <f>A27+1</f>
        <v>8</v>
      </c>
      <c r="B29" s="95"/>
      <c r="C29" s="98" t="s">
        <v>862</v>
      </c>
      <c r="D29" s="96"/>
      <c r="E29" s="96"/>
      <c r="F29" s="96"/>
      <c r="G29" s="1297" t="e">
        <f>ROUND(G25*G27,0)</f>
        <v>#REF!</v>
      </c>
      <c r="H29" s="15"/>
      <c r="I29" s="1289"/>
    </row>
    <row r="30" spans="1:9" x14ac:dyDescent="0.2">
      <c r="A30" s="109"/>
      <c r="B30" s="96"/>
      <c r="C30" s="96"/>
      <c r="D30" s="96"/>
      <c r="E30" s="96"/>
      <c r="F30" s="96"/>
      <c r="G30" s="108"/>
      <c r="H30" s="15"/>
      <c r="I30" s="1289"/>
    </row>
    <row r="31" spans="1:9" x14ac:dyDescent="0.2">
      <c r="A31" s="109"/>
      <c r="B31" s="96"/>
      <c r="C31" s="96"/>
      <c r="D31" s="96"/>
      <c r="E31" s="96"/>
      <c r="F31" s="96"/>
      <c r="G31" s="108"/>
      <c r="H31" s="15"/>
      <c r="I31" s="1289"/>
    </row>
    <row r="32" spans="1:9" x14ac:dyDescent="0.2">
      <c r="A32" s="109"/>
      <c r="B32" s="96"/>
      <c r="C32" s="96"/>
      <c r="D32" s="96"/>
      <c r="E32" s="96"/>
      <c r="F32" s="96"/>
      <c r="G32" s="108"/>
      <c r="H32" s="15"/>
      <c r="I32" s="1289"/>
    </row>
    <row r="33" spans="1:9" x14ac:dyDescent="0.2">
      <c r="A33" s="109"/>
      <c r="B33" s="96"/>
      <c r="C33" s="96"/>
      <c r="D33" s="96"/>
      <c r="E33" s="96"/>
      <c r="F33" s="96"/>
      <c r="G33" s="108"/>
      <c r="H33" s="15"/>
      <c r="I33" s="1289"/>
    </row>
    <row r="34" spans="1:9" x14ac:dyDescent="0.2">
      <c r="A34" s="109"/>
      <c r="B34" s="96"/>
      <c r="C34" s="96"/>
      <c r="D34" s="96"/>
      <c r="E34" s="96"/>
      <c r="F34" s="96"/>
      <c r="G34" s="108"/>
      <c r="H34" s="15"/>
      <c r="I34" s="1289"/>
    </row>
    <row r="35" spans="1:9" x14ac:dyDescent="0.2">
      <c r="A35" s="109"/>
      <c r="B35" s="96"/>
      <c r="C35" s="96"/>
      <c r="D35" s="96"/>
      <c r="E35" s="96"/>
      <c r="F35" s="96"/>
      <c r="G35" s="108"/>
      <c r="H35" s="15"/>
      <c r="I35" s="1289"/>
    </row>
    <row r="36" spans="1:9" x14ac:dyDescent="0.2">
      <c r="A36" s="109"/>
      <c r="B36" s="96"/>
      <c r="C36" s="96"/>
      <c r="D36" s="96"/>
      <c r="E36" s="96"/>
      <c r="F36" s="96"/>
      <c r="G36" s="108"/>
      <c r="H36" s="15"/>
      <c r="I36" s="1289"/>
    </row>
    <row r="37" spans="1:9" x14ac:dyDescent="0.2">
      <c r="A37" s="1286">
        <f>A29+1</f>
        <v>9</v>
      </c>
      <c r="B37" s="96"/>
      <c r="C37" s="1298" t="s">
        <v>1796</v>
      </c>
      <c r="D37" s="96"/>
      <c r="E37" s="96"/>
      <c r="F37" s="96"/>
      <c r="G37" s="1335">
        <f>'Gross Conversion Factor H-1'!H30</f>
        <v>1.361782</v>
      </c>
      <c r="H37" s="15"/>
      <c r="I37" s="1289"/>
    </row>
    <row r="38" spans="1:9" x14ac:dyDescent="0.2">
      <c r="A38" s="109"/>
      <c r="B38" s="96"/>
      <c r="C38" s="96"/>
      <c r="D38" s="96"/>
      <c r="E38" s="96"/>
      <c r="F38" s="96"/>
      <c r="G38" s="108"/>
      <c r="H38" s="15"/>
      <c r="I38" s="1289"/>
    </row>
    <row r="39" spans="1:9" x14ac:dyDescent="0.2">
      <c r="A39" s="1286">
        <f>A37+1</f>
        <v>10</v>
      </c>
      <c r="B39" s="96"/>
      <c r="C39" s="1298" t="s">
        <v>1797</v>
      </c>
      <c r="D39" s="96"/>
      <c r="E39" s="96"/>
      <c r="F39" s="96"/>
      <c r="G39" s="1297" t="e">
        <f>ROUND(G25*G37,0)</f>
        <v>#REF!</v>
      </c>
      <c r="H39" s="15"/>
      <c r="I39" s="1289"/>
    </row>
    <row r="40" spans="1:9" ht="13.5" thickBot="1" x14ac:dyDescent="0.25">
      <c r="A40" s="109"/>
      <c r="B40" s="96"/>
      <c r="C40" s="96"/>
      <c r="D40" s="96"/>
      <c r="E40" s="96"/>
      <c r="F40" s="96"/>
      <c r="G40" s="108"/>
      <c r="H40" s="15"/>
      <c r="I40" s="1289"/>
    </row>
    <row r="41" spans="1:9" ht="13.5" thickBot="1" x14ac:dyDescent="0.25">
      <c r="A41" s="1286">
        <f>A39+1</f>
        <v>11</v>
      </c>
      <c r="B41" s="96"/>
      <c r="C41" s="1294" t="s">
        <v>1794</v>
      </c>
      <c r="D41" s="96"/>
      <c r="E41" s="96"/>
      <c r="F41" s="96"/>
      <c r="G41" s="1296" t="e">
        <f>G39-G29</f>
        <v>#REF!</v>
      </c>
      <c r="H41" s="15"/>
      <c r="I41" s="1289"/>
    </row>
    <row r="42" spans="1:9" x14ac:dyDescent="0.2">
      <c r="A42" s="109"/>
      <c r="B42" s="96"/>
      <c r="C42" s="96"/>
      <c r="D42" s="96"/>
      <c r="E42" s="96"/>
      <c r="F42" s="96"/>
      <c r="G42" s="108"/>
      <c r="H42" s="15"/>
      <c r="I42" s="1289"/>
    </row>
    <row r="43" spans="1:9" hidden="1" x14ac:dyDescent="0.2">
      <c r="A43" s="95">
        <f>A29+1</f>
        <v>9</v>
      </c>
      <c r="B43" s="95"/>
      <c r="C43" s="98" t="s">
        <v>863</v>
      </c>
      <c r="D43" s="96"/>
      <c r="E43" s="95" t="s">
        <v>855</v>
      </c>
      <c r="F43" s="96"/>
      <c r="G43" s="108" t="e">
        <f>'Operating Income Summary C-1'!G15</f>
        <v>#REF!</v>
      </c>
      <c r="H43" s="15"/>
      <c r="I43" s="1289"/>
    </row>
    <row r="44" spans="1:9" hidden="1" x14ac:dyDescent="0.2">
      <c r="A44" s="109"/>
      <c r="B44" s="96"/>
      <c r="C44" s="96"/>
      <c r="D44" s="96"/>
      <c r="E44" s="96"/>
      <c r="F44" s="96"/>
      <c r="G44" s="108"/>
      <c r="H44" s="15"/>
      <c r="I44" s="1289"/>
    </row>
    <row r="45" spans="1:9" hidden="1" x14ac:dyDescent="0.2">
      <c r="A45" s="95">
        <f>A43+1</f>
        <v>10</v>
      </c>
      <c r="B45" s="95"/>
      <c r="C45" s="98" t="s">
        <v>864</v>
      </c>
      <c r="D45" s="96"/>
      <c r="E45" s="95" t="s">
        <v>855</v>
      </c>
      <c r="F45" s="96"/>
      <c r="G45" s="108" t="e">
        <f>'Operating Income Summary C-1'!E15</f>
        <v>#REF!</v>
      </c>
      <c r="H45" s="15"/>
      <c r="I45" s="1289"/>
    </row>
    <row r="46" spans="1:9" hidden="1" x14ac:dyDescent="0.2">
      <c r="A46" s="109"/>
      <c r="B46" s="96"/>
      <c r="C46" s="96"/>
      <c r="D46" s="96"/>
      <c r="E46" s="96"/>
      <c r="F46" s="96"/>
      <c r="G46" s="108"/>
      <c r="H46" s="15"/>
      <c r="I46" s="1289"/>
    </row>
    <row r="47" spans="1:9" hidden="1" x14ac:dyDescent="0.2">
      <c r="A47" s="95">
        <f>A45+1</f>
        <v>11</v>
      </c>
      <c r="B47" s="95"/>
      <c r="C47" s="98" t="s">
        <v>865</v>
      </c>
      <c r="D47" s="96"/>
      <c r="E47" s="96"/>
      <c r="F47" s="96"/>
      <c r="G47" s="108" t="e">
        <f>G43+G45</f>
        <v>#REF!</v>
      </c>
      <c r="H47" s="15"/>
      <c r="I47" s="1289"/>
    </row>
    <row r="48" spans="1:9" x14ac:dyDescent="0.2">
      <c r="A48" s="96"/>
      <c r="B48" s="96"/>
      <c r="C48" s="96"/>
      <c r="D48" s="96"/>
      <c r="E48" s="96"/>
      <c r="F48" s="96"/>
      <c r="G48" s="96"/>
    </row>
  </sheetData>
  <mergeCells count="4">
    <mergeCell ref="A1:G1"/>
    <mergeCell ref="A2:G2"/>
    <mergeCell ref="A3:G3"/>
    <mergeCell ref="A4:G4"/>
  </mergeCells>
  <phoneticPr fontId="3" type="noConversion"/>
  <printOptions horizontalCentered="1"/>
  <pageMargins left="0.25" right="0.25" top="1" bottom="0.5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4"/>
  <sheetViews>
    <sheetView topLeftCell="A190" zoomScaleNormal="100" workbookViewId="0">
      <selection activeCell="C50" sqref="C50"/>
    </sheetView>
  </sheetViews>
  <sheetFormatPr defaultColWidth="10.6640625" defaultRowHeight="10.5" x14ac:dyDescent="0.15"/>
  <cols>
    <col min="1" max="1" width="5.83203125" style="40" bestFit="1" customWidth="1"/>
    <col min="2" max="2" width="2.83203125" style="40" customWidth="1"/>
    <col min="3" max="3" width="80.6640625" style="40" bestFit="1" customWidth="1"/>
    <col min="4" max="4" width="2.83203125" style="40" customWidth="1"/>
    <col min="5" max="5" width="10.6640625" style="40" hidden="1" customWidth="1"/>
    <col min="6" max="6" width="13.5" style="40" bestFit="1" customWidth="1"/>
    <col min="7" max="7" width="19.1640625" style="40" customWidth="1"/>
    <col min="8" max="8" width="13.5" style="40" bestFit="1" customWidth="1"/>
    <col min="9" max="16384" width="10.6640625" style="40"/>
  </cols>
  <sheetData>
    <row r="1" spans="1:10" ht="12.75" customHeight="1" x14ac:dyDescent="0.2">
      <c r="A1" s="1436" t="s">
        <v>477</v>
      </c>
      <c r="B1" s="1436"/>
      <c r="C1" s="1436"/>
      <c r="D1" s="1436"/>
      <c r="E1" s="1436"/>
      <c r="F1" s="1436"/>
      <c r="G1" s="1436"/>
      <c r="H1" s="500"/>
      <c r="I1" s="500"/>
      <c r="J1" s="500"/>
    </row>
    <row r="2" spans="1:10" ht="12.75" customHeight="1" x14ac:dyDescent="0.2">
      <c r="A2" s="1436" t="str">
        <f>+Input!C4</f>
        <v>CASE NO. 2017-xxxxx</v>
      </c>
      <c r="B2" s="1436"/>
      <c r="C2" s="1436"/>
      <c r="D2" s="1436"/>
      <c r="E2" s="1436"/>
      <c r="F2" s="1436"/>
      <c r="G2" s="1436"/>
      <c r="H2" s="500"/>
      <c r="I2" s="500"/>
      <c r="J2" s="500"/>
    </row>
    <row r="3" spans="1:10" ht="12.75" customHeight="1" x14ac:dyDescent="0.2">
      <c r="A3" s="1436" t="s">
        <v>1500</v>
      </c>
      <c r="B3" s="1436"/>
      <c r="C3" s="1436"/>
      <c r="D3" s="1436"/>
      <c r="E3" s="1436"/>
      <c r="F3" s="1436"/>
      <c r="G3" s="1436"/>
      <c r="H3" s="500"/>
      <c r="I3" s="500"/>
      <c r="J3" s="500"/>
    </row>
    <row r="4" spans="1:10" ht="12.75" customHeight="1" x14ac:dyDescent="0.2">
      <c r="A4" s="1437" t="s">
        <v>1501</v>
      </c>
      <c r="B4" s="1437"/>
      <c r="C4" s="1437"/>
      <c r="D4" s="1437"/>
      <c r="E4" s="1437"/>
      <c r="F4" s="1437"/>
      <c r="G4" s="1437"/>
      <c r="H4" s="500"/>
      <c r="I4" s="500"/>
      <c r="J4" s="500"/>
    </row>
    <row r="5" spans="1:10" ht="12.75" customHeight="1" x14ac:dyDescent="0.2">
      <c r="A5" s="1436" t="str">
        <f>+Input!C6</f>
        <v>TWELVE MONTHS ENDED DECEMBER 31, 2017</v>
      </c>
      <c r="B5" s="1436"/>
      <c r="C5" s="1436"/>
      <c r="D5" s="1436"/>
      <c r="E5" s="1436"/>
      <c r="F5" s="1436"/>
      <c r="G5" s="1436"/>
      <c r="H5" s="500"/>
      <c r="I5" s="500"/>
      <c r="J5" s="500"/>
    </row>
    <row r="6" spans="1:10" ht="12.75" customHeight="1" x14ac:dyDescent="0.2">
      <c r="A6" s="501"/>
      <c r="B6" s="501"/>
      <c r="C6" s="501"/>
      <c r="D6" s="501"/>
      <c r="E6" s="501"/>
      <c r="F6" s="501"/>
      <c r="G6" s="501"/>
      <c r="H6" s="500"/>
      <c r="I6" s="500"/>
      <c r="J6" s="500"/>
    </row>
    <row r="7" spans="1:10" ht="12.75" customHeight="1" x14ac:dyDescent="0.2">
      <c r="A7" s="501"/>
      <c r="B7" s="501"/>
      <c r="C7" s="501"/>
      <c r="D7" s="501"/>
      <c r="E7" s="501"/>
      <c r="F7" s="501"/>
      <c r="G7" s="501"/>
      <c r="H7" s="500"/>
      <c r="I7" s="500"/>
      <c r="J7" s="500"/>
    </row>
    <row r="8" spans="1:10" ht="12.75" customHeight="1" x14ac:dyDescent="0.2">
      <c r="A8" s="501" t="s">
        <v>1502</v>
      </c>
      <c r="B8" s="501"/>
      <c r="D8" s="501"/>
      <c r="E8" s="501"/>
      <c r="F8" s="501"/>
      <c r="G8" s="502" t="s">
        <v>1503</v>
      </c>
      <c r="H8" s="500"/>
      <c r="I8" s="500"/>
      <c r="J8" s="500"/>
    </row>
    <row r="9" spans="1:10" ht="12.75" customHeight="1" x14ac:dyDescent="0.2">
      <c r="A9" s="501" t="s">
        <v>847</v>
      </c>
      <c r="B9" s="501"/>
      <c r="D9" s="501"/>
      <c r="E9" s="501"/>
      <c r="F9" s="501"/>
      <c r="G9" s="502" t="s">
        <v>284</v>
      </c>
      <c r="H9" s="500"/>
      <c r="I9" s="500"/>
      <c r="J9" s="500"/>
    </row>
    <row r="10" spans="1:10" ht="12.75" customHeight="1" x14ac:dyDescent="0.2">
      <c r="A10" s="503" t="s">
        <v>1504</v>
      </c>
      <c r="B10" s="503"/>
      <c r="C10" s="776"/>
      <c r="D10" s="503"/>
      <c r="E10" s="503"/>
      <c r="F10" s="503"/>
      <c r="G10" s="504" t="str">
        <f>+Input!E27</f>
        <v>WITNESS:  C. Y. LAI</v>
      </c>
      <c r="H10" s="500"/>
      <c r="I10" s="500"/>
      <c r="J10" s="500"/>
    </row>
    <row r="11" spans="1:10" ht="12.75" customHeight="1" x14ac:dyDescent="0.2">
      <c r="A11" s="510"/>
      <c r="B11" s="501"/>
      <c r="D11" s="510"/>
      <c r="E11" s="510"/>
      <c r="F11" s="510"/>
      <c r="G11" s="775"/>
      <c r="H11" s="500"/>
      <c r="I11" s="500"/>
      <c r="J11" s="500"/>
    </row>
    <row r="12" spans="1:10" ht="12.75" customHeight="1" x14ac:dyDescent="0.2">
      <c r="A12" s="471" t="s">
        <v>493</v>
      </c>
      <c r="B12" s="501"/>
      <c r="C12" s="501"/>
      <c r="D12" s="501"/>
      <c r="E12" s="501"/>
      <c r="F12" s="501"/>
      <c r="G12" s="501"/>
      <c r="H12" s="500"/>
      <c r="I12" s="500"/>
      <c r="J12" s="500"/>
    </row>
    <row r="13" spans="1:10" ht="12.75" customHeight="1" x14ac:dyDescent="0.2">
      <c r="A13" s="771" t="s">
        <v>496</v>
      </c>
      <c r="B13" s="503"/>
      <c r="C13" s="503" t="s">
        <v>1505</v>
      </c>
      <c r="D13" s="503"/>
      <c r="E13" s="503"/>
      <c r="F13" s="503"/>
      <c r="G13" s="777" t="s">
        <v>1248</v>
      </c>
      <c r="H13" s="500"/>
      <c r="I13" s="500"/>
      <c r="J13" s="500"/>
    </row>
    <row r="14" spans="1:10" ht="12.75" customHeight="1" x14ac:dyDescent="0.2">
      <c r="A14" s="501"/>
      <c r="B14" s="501"/>
      <c r="C14" s="501"/>
      <c r="D14" s="501"/>
      <c r="E14" s="501"/>
      <c r="F14" s="501"/>
      <c r="G14" s="505" t="s">
        <v>500</v>
      </c>
      <c r="H14" s="500"/>
      <c r="I14" s="500"/>
      <c r="J14" s="500"/>
    </row>
    <row r="15" spans="1:10" ht="12.75" customHeight="1" x14ac:dyDescent="0.2">
      <c r="A15" s="501"/>
      <c r="B15" s="501"/>
      <c r="C15" s="501"/>
      <c r="D15" s="501"/>
      <c r="E15" s="501"/>
      <c r="F15" s="501"/>
      <c r="G15" s="501"/>
      <c r="H15" s="500"/>
      <c r="I15" s="500"/>
      <c r="J15" s="500"/>
    </row>
    <row r="16" spans="1:10" ht="12.75" customHeight="1" x14ac:dyDescent="0.2">
      <c r="A16" s="501"/>
      <c r="B16" s="501"/>
      <c r="C16" s="501" t="s">
        <v>1506</v>
      </c>
      <c r="D16" s="501"/>
      <c r="E16" s="501"/>
      <c r="F16" s="501"/>
      <c r="G16" s="501"/>
      <c r="H16" s="500"/>
      <c r="I16" s="500"/>
      <c r="J16" s="500"/>
    </row>
    <row r="17" spans="1:10" ht="12.75" customHeight="1" x14ac:dyDescent="0.2">
      <c r="A17" s="501"/>
      <c r="B17" s="501"/>
      <c r="C17" s="501" t="s">
        <v>1507</v>
      </c>
      <c r="D17" s="501"/>
      <c r="E17" s="501"/>
      <c r="F17" s="501"/>
      <c r="G17" s="501"/>
      <c r="H17" s="500"/>
      <c r="I17" s="500"/>
      <c r="J17" s="500"/>
    </row>
    <row r="18" spans="1:10" ht="12.75" customHeight="1" x14ac:dyDescent="0.2">
      <c r="A18" s="501"/>
      <c r="B18" s="501"/>
      <c r="C18" s="501" t="s">
        <v>1508</v>
      </c>
      <c r="D18" s="501"/>
      <c r="E18" s="501"/>
      <c r="F18" s="505" t="s">
        <v>1509</v>
      </c>
      <c r="G18" s="501"/>
      <c r="H18" s="500"/>
      <c r="I18" s="500"/>
      <c r="J18" s="500"/>
    </row>
    <row r="19" spans="1:10" ht="12.75" customHeight="1" x14ac:dyDescent="0.2">
      <c r="A19" s="501"/>
      <c r="B19" s="501"/>
      <c r="C19" s="501"/>
      <c r="D19" s="501"/>
      <c r="E19" s="501"/>
      <c r="F19" s="501"/>
      <c r="G19" s="501"/>
      <c r="H19" s="500"/>
      <c r="I19" s="500"/>
      <c r="J19" s="500"/>
    </row>
    <row r="20" spans="1:10" ht="12.75" customHeight="1" x14ac:dyDescent="0.2">
      <c r="A20" s="505">
        <v>1</v>
      </c>
      <c r="B20" s="501"/>
      <c r="C20" s="501" t="s">
        <v>1510</v>
      </c>
      <c r="D20" s="501"/>
      <c r="E20" s="501"/>
      <c r="F20" s="505" t="s">
        <v>1511</v>
      </c>
      <c r="G20" s="740">
        <f>+'Schedule M Input'!C7</f>
        <v>93281164.909999967</v>
      </c>
      <c r="H20" s="500"/>
      <c r="I20" s="506"/>
      <c r="J20" s="500"/>
    </row>
    <row r="21" spans="1:10" ht="12.75" customHeight="1" x14ac:dyDescent="0.2">
      <c r="A21" s="505"/>
      <c r="B21" s="501"/>
      <c r="C21" s="501"/>
      <c r="D21" s="501"/>
      <c r="E21" s="501"/>
      <c r="F21" s="505"/>
      <c r="G21" s="741"/>
      <c r="H21" s="500"/>
      <c r="I21" s="500"/>
      <c r="J21" s="500"/>
    </row>
    <row r="22" spans="1:10" ht="12.75" customHeight="1" x14ac:dyDescent="0.2">
      <c r="A22" s="505">
        <f>1+A20</f>
        <v>2</v>
      </c>
      <c r="B22" s="501"/>
      <c r="C22" s="501" t="s">
        <v>1512</v>
      </c>
      <c r="D22" s="501"/>
      <c r="E22" s="501"/>
      <c r="F22" s="505" t="s">
        <v>1513</v>
      </c>
      <c r="G22" s="742">
        <f>+'Oper Rev&amp;Exp by Accts C2.1p1-2'!F16</f>
        <v>110662530</v>
      </c>
      <c r="H22" s="500"/>
      <c r="I22" s="500"/>
      <c r="J22" s="500"/>
    </row>
    <row r="23" spans="1:10" ht="12.75" customHeight="1" x14ac:dyDescent="0.2">
      <c r="A23" s="505"/>
      <c r="B23" s="501"/>
      <c r="C23" s="501"/>
      <c r="D23" s="501"/>
      <c r="E23" s="501"/>
      <c r="F23" s="505"/>
      <c r="G23" s="741"/>
      <c r="H23" s="500"/>
      <c r="I23" s="500"/>
      <c r="J23" s="500"/>
    </row>
    <row r="24" spans="1:10" ht="12.75" customHeight="1" x14ac:dyDescent="0.2">
      <c r="A24" s="505">
        <f>1+A22</f>
        <v>3</v>
      </c>
      <c r="B24" s="501"/>
      <c r="C24" s="501" t="s">
        <v>1514</v>
      </c>
      <c r="D24" s="501"/>
      <c r="E24" s="501"/>
      <c r="F24" s="505"/>
      <c r="G24" s="741">
        <f>+G20-G22</f>
        <v>-17381365.090000033</v>
      </c>
      <c r="H24" s="500"/>
      <c r="I24" s="500"/>
      <c r="J24" s="500"/>
    </row>
    <row r="25" spans="1:10" ht="12.75" customHeight="1" x14ac:dyDescent="0.2">
      <c r="A25" s="505"/>
      <c r="B25" s="501"/>
      <c r="C25" s="501"/>
      <c r="D25" s="501"/>
      <c r="E25" s="501"/>
      <c r="F25" s="505"/>
      <c r="G25" s="741"/>
      <c r="H25" s="500"/>
      <c r="I25" s="500"/>
      <c r="J25" s="500"/>
    </row>
    <row r="26" spans="1:10" ht="12.75" customHeight="1" x14ac:dyDescent="0.2">
      <c r="A26" s="505"/>
      <c r="B26" s="501"/>
      <c r="C26" s="501"/>
      <c r="D26" s="501"/>
      <c r="E26" s="501"/>
      <c r="F26" s="505"/>
      <c r="G26" s="741"/>
      <c r="H26" s="500"/>
      <c r="I26" s="500"/>
      <c r="J26" s="500"/>
    </row>
    <row r="27" spans="1:10" ht="12.75" customHeight="1" x14ac:dyDescent="0.2">
      <c r="A27" s="505">
        <f>1+A24</f>
        <v>4</v>
      </c>
      <c r="B27" s="501"/>
      <c r="C27" s="501" t="s">
        <v>1515</v>
      </c>
      <c r="D27" s="501"/>
      <c r="E27" s="501"/>
      <c r="F27" s="505" t="s">
        <v>1511</v>
      </c>
      <c r="G27" s="740">
        <f>+'Schedule M Input'!C9</f>
        <v>51321558.019999996</v>
      </c>
      <c r="H27" s="500"/>
      <c r="I27" s="500"/>
      <c r="J27" s="500"/>
    </row>
    <row r="28" spans="1:10" ht="12.75" customHeight="1" x14ac:dyDescent="0.2">
      <c r="A28" s="505"/>
      <c r="B28" s="501"/>
      <c r="C28" s="501"/>
      <c r="D28" s="501"/>
      <c r="E28" s="501"/>
      <c r="F28" s="505"/>
      <c r="G28" s="741"/>
      <c r="H28" s="500"/>
      <c r="I28" s="500"/>
      <c r="J28" s="500"/>
    </row>
    <row r="29" spans="1:10" ht="12.75" customHeight="1" x14ac:dyDescent="0.2">
      <c r="A29" s="505">
        <f>1+A27</f>
        <v>5</v>
      </c>
      <c r="B29" s="501"/>
      <c r="C29" s="501" t="s">
        <v>1516</v>
      </c>
      <c r="D29" s="501"/>
      <c r="E29" s="501"/>
      <c r="F29" s="505" t="s">
        <v>1513</v>
      </c>
      <c r="G29" s="742">
        <f>+'Oper Rev&amp;Exp by Accts C2.1p1-2'!J17</f>
        <v>61045451</v>
      </c>
      <c r="H29" s="500"/>
      <c r="I29" s="500"/>
      <c r="J29" s="500"/>
    </row>
    <row r="30" spans="1:10" ht="12.75" customHeight="1" x14ac:dyDescent="0.2">
      <c r="A30" s="505"/>
      <c r="B30" s="501"/>
      <c r="C30" s="501"/>
      <c r="D30" s="501"/>
      <c r="E30" s="501"/>
      <c r="F30" s="505"/>
      <c r="G30" s="741"/>
      <c r="H30" s="500"/>
      <c r="I30" s="500"/>
      <c r="J30" s="500"/>
    </row>
    <row r="31" spans="1:10" ht="12.75" customHeight="1" x14ac:dyDescent="0.2">
      <c r="A31" s="505">
        <f>1+A29</f>
        <v>6</v>
      </c>
      <c r="B31" s="501"/>
      <c r="C31" s="501" t="s">
        <v>1517</v>
      </c>
      <c r="D31" s="501"/>
      <c r="E31" s="501"/>
      <c r="F31" s="505"/>
      <c r="G31" s="741">
        <f>+G27-G29</f>
        <v>-9723892.9800000042</v>
      </c>
      <c r="H31" s="500"/>
      <c r="I31" s="500"/>
      <c r="J31" s="500"/>
    </row>
    <row r="32" spans="1:10" ht="12.75" customHeight="1" x14ac:dyDescent="0.2">
      <c r="A32" s="505"/>
      <c r="B32" s="501"/>
      <c r="C32" s="501"/>
      <c r="D32" s="501"/>
      <c r="E32" s="501"/>
      <c r="F32" s="505"/>
      <c r="G32" s="741"/>
      <c r="H32" s="500"/>
      <c r="I32" s="500"/>
      <c r="J32" s="500"/>
    </row>
    <row r="33" spans="1:10" ht="12.75" customHeight="1" x14ac:dyDescent="0.2">
      <c r="A33" s="505"/>
      <c r="B33" s="501"/>
      <c r="C33" s="501"/>
      <c r="D33" s="501"/>
      <c r="E33" s="501"/>
      <c r="F33" s="505"/>
      <c r="G33" s="741"/>
      <c r="H33" s="500"/>
      <c r="I33" s="500"/>
      <c r="J33" s="500"/>
    </row>
    <row r="34" spans="1:10" ht="12.75" customHeight="1" x14ac:dyDescent="0.2">
      <c r="A34" s="505">
        <f>1+A31</f>
        <v>7</v>
      </c>
      <c r="B34" s="501"/>
      <c r="C34" s="501" t="s">
        <v>1518</v>
      </c>
      <c r="D34" s="501"/>
      <c r="E34" s="501"/>
      <c r="F34" s="505" t="s">
        <v>1511</v>
      </c>
      <c r="G34" s="740">
        <f>+'Schedule M Input'!C11</f>
        <v>1856648.35</v>
      </c>
      <c r="H34" s="500"/>
      <c r="I34" s="500"/>
      <c r="J34" s="500"/>
    </row>
    <row r="35" spans="1:10" ht="12.75" customHeight="1" x14ac:dyDescent="0.2">
      <c r="A35" s="505"/>
      <c r="B35" s="501"/>
      <c r="C35" s="501"/>
      <c r="D35" s="501"/>
      <c r="E35" s="501"/>
      <c r="F35" s="505"/>
      <c r="G35" s="741"/>
      <c r="H35" s="500"/>
      <c r="I35" s="500"/>
      <c r="J35" s="500"/>
    </row>
    <row r="36" spans="1:10" ht="12.75" customHeight="1" x14ac:dyDescent="0.2">
      <c r="A36" s="505">
        <f>1+A34</f>
        <v>8</v>
      </c>
      <c r="B36" s="501"/>
      <c r="C36" s="501" t="s">
        <v>1519</v>
      </c>
      <c r="D36" s="501"/>
      <c r="E36" s="501"/>
      <c r="F36" s="505" t="s">
        <v>1513</v>
      </c>
      <c r="G36" s="742">
        <f>+'Oper Rev&amp;Exp by Accts C2.1p1-2'!F18</f>
        <v>2550768</v>
      </c>
      <c r="H36" s="500"/>
      <c r="I36" s="500"/>
      <c r="J36" s="500"/>
    </row>
    <row r="37" spans="1:10" ht="12.75" customHeight="1" x14ac:dyDescent="0.2">
      <c r="A37" s="505"/>
      <c r="B37" s="501"/>
      <c r="C37" s="501"/>
      <c r="D37" s="501"/>
      <c r="E37" s="501"/>
      <c r="F37" s="505"/>
      <c r="G37" s="741"/>
      <c r="H37" s="500"/>
      <c r="I37" s="500"/>
      <c r="J37" s="500"/>
    </row>
    <row r="38" spans="1:10" ht="12.75" customHeight="1" x14ac:dyDescent="0.2">
      <c r="A38" s="505">
        <f>1+A36</f>
        <v>9</v>
      </c>
      <c r="B38" s="501"/>
      <c r="C38" s="501" t="s">
        <v>1520</v>
      </c>
      <c r="D38" s="501"/>
      <c r="E38" s="501"/>
      <c r="F38" s="505"/>
      <c r="G38" s="741">
        <f>+G34-G36</f>
        <v>-694119.64999999991</v>
      </c>
      <c r="H38" s="500"/>
      <c r="I38" s="500"/>
      <c r="J38" s="500"/>
    </row>
    <row r="39" spans="1:10" ht="12.75" customHeight="1" x14ac:dyDescent="0.2">
      <c r="A39" s="505"/>
      <c r="B39" s="501"/>
      <c r="C39" s="501"/>
      <c r="D39" s="501"/>
      <c r="E39" s="501"/>
      <c r="F39" s="505"/>
      <c r="G39" s="741"/>
      <c r="H39" s="500"/>
      <c r="I39" s="500"/>
      <c r="J39" s="500"/>
    </row>
    <row r="40" spans="1:10" ht="12.75" customHeight="1" x14ac:dyDescent="0.2">
      <c r="A40" s="505"/>
      <c r="B40" s="501"/>
      <c r="C40" s="501"/>
      <c r="D40" s="501"/>
      <c r="E40" s="501"/>
      <c r="F40" s="505"/>
      <c r="G40" s="741"/>
      <c r="H40" s="500"/>
      <c r="I40" s="500"/>
      <c r="J40" s="500"/>
    </row>
    <row r="41" spans="1:10" ht="12.75" customHeight="1" x14ac:dyDescent="0.2">
      <c r="A41" s="505">
        <f>1+A38</f>
        <v>10</v>
      </c>
      <c r="B41" s="501"/>
      <c r="C41" s="501" t="s">
        <v>1521</v>
      </c>
      <c r="D41" s="501"/>
      <c r="E41" s="501"/>
      <c r="F41" s="505" t="s">
        <v>1511</v>
      </c>
      <c r="G41" s="740">
        <f>+'Schedule M Input'!C13</f>
        <v>211100.63</v>
      </c>
      <c r="H41" s="500"/>
      <c r="I41" s="500"/>
      <c r="J41" s="500"/>
    </row>
    <row r="42" spans="1:10" ht="12.75" customHeight="1" x14ac:dyDescent="0.2">
      <c r="A42" s="505"/>
      <c r="B42" s="501"/>
      <c r="C42" s="501"/>
      <c r="D42" s="501"/>
      <c r="E42" s="501"/>
      <c r="F42" s="505"/>
      <c r="G42" s="741"/>
      <c r="H42" s="500"/>
      <c r="I42" s="500"/>
      <c r="J42" s="500"/>
    </row>
    <row r="43" spans="1:10" ht="12.75" customHeight="1" x14ac:dyDescent="0.2">
      <c r="A43" s="505">
        <f>1+A41</f>
        <v>11</v>
      </c>
      <c r="B43" s="501"/>
      <c r="C43" s="501" t="s">
        <v>1522</v>
      </c>
      <c r="D43" s="501"/>
      <c r="E43" s="501"/>
      <c r="F43" s="505" t="s">
        <v>1513</v>
      </c>
      <c r="G43" s="742">
        <f>+'Oper Rev&amp;Exp by Accts C2.1p1-2'!F19</f>
        <v>0</v>
      </c>
      <c r="H43" s="500"/>
      <c r="I43" s="500"/>
      <c r="J43" s="500"/>
    </row>
    <row r="44" spans="1:10" ht="12.75" customHeight="1" x14ac:dyDescent="0.2">
      <c r="A44" s="505"/>
      <c r="B44" s="501"/>
      <c r="C44" s="501"/>
      <c r="D44" s="501"/>
      <c r="E44" s="501"/>
      <c r="F44" s="501"/>
      <c r="G44" s="741"/>
      <c r="H44" s="500"/>
      <c r="I44" s="500"/>
      <c r="J44" s="500"/>
    </row>
    <row r="45" spans="1:10" ht="12.75" customHeight="1" x14ac:dyDescent="0.2">
      <c r="A45" s="505">
        <f>1+A43</f>
        <v>12</v>
      </c>
      <c r="B45" s="501"/>
      <c r="C45" s="501" t="s">
        <v>1523</v>
      </c>
      <c r="D45" s="501"/>
      <c r="E45" s="501"/>
      <c r="F45" s="501"/>
      <c r="G45" s="741">
        <f>+G41-G43</f>
        <v>211100.63</v>
      </c>
      <c r="H45" s="500"/>
      <c r="I45" s="500"/>
      <c r="J45" s="500"/>
    </row>
    <row r="46" spans="1:10" ht="12.75" customHeight="1" x14ac:dyDescent="0.2">
      <c r="A46" s="505"/>
      <c r="B46" s="501"/>
      <c r="C46" s="501"/>
      <c r="D46" s="501"/>
      <c r="E46" s="501"/>
      <c r="F46" s="501"/>
      <c r="G46" s="501"/>
      <c r="H46" s="500"/>
      <c r="I46" s="500"/>
      <c r="J46" s="500"/>
    </row>
    <row r="47" spans="1:10" ht="12.75" customHeight="1" x14ac:dyDescent="0.2">
      <c r="A47" s="505"/>
      <c r="B47" s="501"/>
      <c r="C47" s="501"/>
      <c r="D47" s="501"/>
      <c r="E47" s="501"/>
      <c r="F47" s="501"/>
      <c r="G47" s="501"/>
      <c r="H47" s="500"/>
      <c r="I47" s="500"/>
      <c r="J47" s="500"/>
    </row>
    <row r="48" spans="1:10" ht="12.75" customHeight="1" x14ac:dyDescent="0.2">
      <c r="A48" s="505">
        <f>1+A45</f>
        <v>13</v>
      </c>
      <c r="B48" s="501"/>
      <c r="C48" s="501" t="s">
        <v>1524</v>
      </c>
      <c r="D48" s="501"/>
      <c r="E48" s="501"/>
      <c r="F48" s="501"/>
      <c r="G48" s="507">
        <v>1</v>
      </c>
      <c r="H48" s="500"/>
      <c r="I48" s="500"/>
      <c r="J48" s="500"/>
    </row>
    <row r="49" spans="1:10" ht="12.75" customHeight="1" x14ac:dyDescent="0.2">
      <c r="A49" s="505"/>
      <c r="B49" s="501"/>
      <c r="C49" s="501"/>
      <c r="D49" s="501"/>
      <c r="E49" s="501"/>
      <c r="F49" s="501"/>
      <c r="G49" s="501"/>
      <c r="H49" s="500"/>
      <c r="I49" s="500"/>
      <c r="J49" s="500"/>
    </row>
    <row r="50" spans="1:10" ht="12.75" customHeight="1" x14ac:dyDescent="0.2">
      <c r="A50" s="505">
        <f>1+A48</f>
        <v>14</v>
      </c>
      <c r="B50" s="501"/>
      <c r="C50" s="501" t="s">
        <v>1525</v>
      </c>
      <c r="D50" s="501"/>
      <c r="E50" s="501"/>
      <c r="F50" s="501"/>
      <c r="G50" s="741">
        <f>+G24+G31+G38+G45</f>
        <v>-27588277.090000037</v>
      </c>
      <c r="H50" s="500"/>
      <c r="I50" s="500"/>
      <c r="J50" s="500"/>
    </row>
    <row r="51" spans="1:10" ht="12.75" customHeight="1" x14ac:dyDescent="0.2">
      <c r="A51" s="505"/>
      <c r="B51" s="501"/>
      <c r="C51" s="501"/>
      <c r="D51" s="501"/>
      <c r="E51" s="501"/>
      <c r="F51" s="501"/>
      <c r="G51" s="501"/>
      <c r="H51" s="500"/>
      <c r="I51" s="500"/>
      <c r="J51" s="500"/>
    </row>
    <row r="52" spans="1:10" ht="12.75" customHeight="1" x14ac:dyDescent="0.2">
      <c r="A52" s="505"/>
      <c r="B52" s="501"/>
      <c r="C52" s="501"/>
      <c r="D52" s="501"/>
      <c r="E52" s="501"/>
      <c r="F52" s="501"/>
      <c r="G52" s="501"/>
      <c r="H52" s="500"/>
      <c r="I52" s="500"/>
      <c r="J52" s="500"/>
    </row>
    <row r="53" spans="1:10" ht="12.75" customHeight="1" x14ac:dyDescent="0.2">
      <c r="A53" s="505"/>
      <c r="B53" s="501"/>
      <c r="C53" s="501"/>
      <c r="D53" s="501"/>
      <c r="E53" s="501"/>
      <c r="F53" s="501"/>
      <c r="G53" s="501"/>
      <c r="H53" s="500"/>
      <c r="I53" s="500"/>
      <c r="J53" s="500"/>
    </row>
    <row r="54" spans="1:10" ht="12.75" customHeight="1" x14ac:dyDescent="0.2">
      <c r="A54" s="1436" t="s">
        <v>477</v>
      </c>
      <c r="B54" s="1436"/>
      <c r="C54" s="1436"/>
      <c r="D54" s="1436"/>
      <c r="E54" s="1436"/>
      <c r="F54" s="1436"/>
      <c r="G54" s="1436"/>
      <c r="H54" s="500"/>
      <c r="I54" s="500"/>
      <c r="J54" s="500"/>
    </row>
    <row r="55" spans="1:10" ht="12.75" customHeight="1" x14ac:dyDescent="0.2">
      <c r="A55" s="1436" t="str">
        <f>+Input!C4</f>
        <v>CASE NO. 2017-xxxxx</v>
      </c>
      <c r="B55" s="1436"/>
      <c r="C55" s="1436"/>
      <c r="D55" s="1436"/>
      <c r="E55" s="1436"/>
      <c r="F55" s="1436"/>
      <c r="G55" s="1436"/>
      <c r="H55" s="500"/>
      <c r="I55" s="500"/>
      <c r="J55" s="500"/>
    </row>
    <row r="56" spans="1:10" ht="12.75" customHeight="1" x14ac:dyDescent="0.2">
      <c r="A56" s="1436" t="s">
        <v>1500</v>
      </c>
      <c r="B56" s="1436"/>
      <c r="C56" s="1436"/>
      <c r="D56" s="1436"/>
      <c r="E56" s="1436"/>
      <c r="F56" s="1436"/>
      <c r="G56" s="1436"/>
      <c r="H56" s="500"/>
      <c r="I56" s="500"/>
      <c r="J56" s="500"/>
    </row>
    <row r="57" spans="1:10" ht="12.75" customHeight="1" x14ac:dyDescent="0.2">
      <c r="A57" s="1437" t="s">
        <v>1526</v>
      </c>
      <c r="B57" s="1437"/>
      <c r="C57" s="1437"/>
      <c r="D57" s="1437"/>
      <c r="E57" s="1437"/>
      <c r="F57" s="1437"/>
      <c r="G57" s="1437"/>
      <c r="H57" s="500"/>
      <c r="I57" s="500"/>
      <c r="J57" s="500"/>
    </row>
    <row r="58" spans="1:10" ht="12.75" customHeight="1" x14ac:dyDescent="0.2">
      <c r="A58" s="1436" t="str">
        <f>+Input!C6</f>
        <v>TWELVE MONTHS ENDED DECEMBER 31, 2017</v>
      </c>
      <c r="B58" s="1436"/>
      <c r="C58" s="1436"/>
      <c r="D58" s="1436"/>
      <c r="E58" s="1436"/>
      <c r="F58" s="1436"/>
      <c r="G58" s="1436"/>
      <c r="H58" s="500"/>
      <c r="I58" s="500"/>
      <c r="J58" s="500"/>
    </row>
    <row r="59" spans="1:10" ht="12.75" customHeight="1" x14ac:dyDescent="0.2">
      <c r="A59" s="505"/>
      <c r="B59" s="501"/>
      <c r="C59" s="501"/>
      <c r="D59" s="501"/>
      <c r="E59" s="501"/>
      <c r="F59" s="501"/>
      <c r="G59" s="501"/>
      <c r="H59" s="500"/>
      <c r="I59" s="500"/>
      <c r="J59" s="500"/>
    </row>
    <row r="60" spans="1:10" ht="12.75" customHeight="1" x14ac:dyDescent="0.2">
      <c r="A60" s="505"/>
      <c r="B60" s="501"/>
      <c r="C60" s="501"/>
      <c r="D60" s="501"/>
      <c r="E60" s="501"/>
      <c r="F60" s="501"/>
      <c r="G60" s="501"/>
      <c r="H60" s="500"/>
      <c r="I60" s="500"/>
      <c r="J60" s="500"/>
    </row>
    <row r="61" spans="1:10" ht="12.75" customHeight="1" x14ac:dyDescent="0.2">
      <c r="A61" s="501" t="s">
        <v>1502</v>
      </c>
      <c r="B61" s="501"/>
      <c r="D61" s="501"/>
      <c r="E61" s="501"/>
      <c r="F61" s="501"/>
      <c r="G61" s="502" t="s">
        <v>1503</v>
      </c>
      <c r="H61" s="500"/>
      <c r="I61" s="500"/>
      <c r="J61" s="500"/>
    </row>
    <row r="62" spans="1:10" ht="12.75" customHeight="1" x14ac:dyDescent="0.2">
      <c r="A62" s="501" t="s">
        <v>847</v>
      </c>
      <c r="B62" s="501"/>
      <c r="D62" s="501"/>
      <c r="E62" s="501"/>
      <c r="F62" s="501"/>
      <c r="G62" s="502" t="s">
        <v>285</v>
      </c>
      <c r="H62" s="500"/>
      <c r="I62" s="500"/>
      <c r="J62" s="500"/>
    </row>
    <row r="63" spans="1:10" ht="12.75" customHeight="1" x14ac:dyDescent="0.2">
      <c r="A63" s="503" t="s">
        <v>1504</v>
      </c>
      <c r="B63" s="503"/>
      <c r="C63" s="776"/>
      <c r="D63" s="503"/>
      <c r="E63" s="503"/>
      <c r="F63" s="503"/>
      <c r="G63" s="508" t="str">
        <f>+Input!E27</f>
        <v>WITNESS:  C. Y. LAI</v>
      </c>
      <c r="H63" s="500"/>
      <c r="I63" s="500"/>
      <c r="J63" s="500"/>
    </row>
    <row r="64" spans="1:10" ht="12.75" customHeight="1" x14ac:dyDescent="0.2">
      <c r="A64" s="510"/>
      <c r="B64" s="501"/>
      <c r="D64" s="510"/>
      <c r="E64" s="510"/>
      <c r="F64" s="510"/>
      <c r="G64" s="775"/>
      <c r="H64" s="500"/>
      <c r="I64" s="500"/>
      <c r="J64" s="500"/>
    </row>
    <row r="65" spans="1:10" ht="12.75" customHeight="1" x14ac:dyDescent="0.2">
      <c r="A65" s="471" t="s">
        <v>493</v>
      </c>
      <c r="B65" s="501"/>
      <c r="C65" s="501"/>
      <c r="D65" s="501"/>
      <c r="E65" s="501"/>
      <c r="F65" s="501"/>
      <c r="G65" s="501"/>
      <c r="H65" s="500"/>
      <c r="I65" s="500"/>
      <c r="J65" s="500"/>
    </row>
    <row r="66" spans="1:10" ht="12.75" customHeight="1" x14ac:dyDescent="0.2">
      <c r="A66" s="771" t="s">
        <v>496</v>
      </c>
      <c r="B66" s="503"/>
      <c r="C66" s="503" t="s">
        <v>1505</v>
      </c>
      <c r="D66" s="503"/>
      <c r="E66" s="503"/>
      <c r="F66" s="503"/>
      <c r="G66" s="777" t="s">
        <v>1248</v>
      </c>
      <c r="H66" s="500"/>
      <c r="I66" s="500"/>
      <c r="J66" s="500"/>
    </row>
    <row r="67" spans="1:10" ht="12.75" customHeight="1" x14ac:dyDescent="0.2">
      <c r="A67" s="505"/>
      <c r="B67" s="501"/>
      <c r="C67" s="501"/>
      <c r="D67" s="501"/>
      <c r="E67" s="501"/>
      <c r="F67" s="501"/>
      <c r="G67" s="505" t="s">
        <v>500</v>
      </c>
      <c r="H67" s="500"/>
      <c r="I67" s="500"/>
      <c r="J67" s="500"/>
    </row>
    <row r="68" spans="1:10" ht="12.75" customHeight="1" x14ac:dyDescent="0.2">
      <c r="A68" s="505"/>
      <c r="B68" s="501"/>
      <c r="C68" s="501"/>
      <c r="D68" s="501"/>
      <c r="E68" s="501"/>
      <c r="F68" s="501"/>
      <c r="G68" s="501"/>
      <c r="H68" s="500"/>
      <c r="I68" s="500"/>
      <c r="J68" s="500"/>
    </row>
    <row r="69" spans="1:10" ht="12.75" customHeight="1" x14ac:dyDescent="0.2">
      <c r="A69" s="505"/>
      <c r="B69" s="501"/>
      <c r="C69" s="501" t="s">
        <v>1527</v>
      </c>
      <c r="D69" s="501"/>
      <c r="E69" s="501"/>
      <c r="F69" s="501"/>
      <c r="G69" s="501"/>
      <c r="H69" s="500"/>
      <c r="I69" s="500"/>
      <c r="J69" s="500"/>
    </row>
    <row r="70" spans="1:10" ht="12.75" customHeight="1" x14ac:dyDescent="0.2">
      <c r="A70" s="505"/>
      <c r="B70" s="501"/>
      <c r="C70" s="501" t="s">
        <v>1507</v>
      </c>
      <c r="D70" s="501"/>
      <c r="E70" s="501"/>
      <c r="F70" s="501"/>
      <c r="G70" s="501"/>
      <c r="H70" s="500"/>
      <c r="I70" s="500"/>
      <c r="J70" s="500"/>
    </row>
    <row r="71" spans="1:10" ht="12.75" customHeight="1" x14ac:dyDescent="0.2">
      <c r="A71" s="505"/>
      <c r="B71" s="501"/>
      <c r="C71" s="501" t="s">
        <v>1508</v>
      </c>
      <c r="D71" s="501"/>
      <c r="E71" s="501"/>
      <c r="F71" s="505" t="s">
        <v>1509</v>
      </c>
      <c r="G71" s="501"/>
      <c r="H71" s="500"/>
      <c r="I71" s="500"/>
      <c r="J71" s="500"/>
    </row>
    <row r="72" spans="1:10" ht="12.75" customHeight="1" x14ac:dyDescent="0.2">
      <c r="A72" s="505"/>
      <c r="B72" s="501"/>
      <c r="C72" s="501"/>
      <c r="D72" s="501"/>
      <c r="E72" s="501"/>
      <c r="F72" s="501"/>
      <c r="G72" s="501"/>
      <c r="H72" s="500"/>
      <c r="I72" s="500"/>
      <c r="J72" s="500"/>
    </row>
    <row r="73" spans="1:10" ht="12.75" customHeight="1" x14ac:dyDescent="0.2">
      <c r="A73" s="505">
        <v>1</v>
      </c>
      <c r="B73" s="501"/>
      <c r="C73" s="501" t="s">
        <v>1528</v>
      </c>
      <c r="D73" s="501"/>
      <c r="E73" s="501"/>
      <c r="F73" s="505" t="s">
        <v>1511</v>
      </c>
      <c r="G73" s="740">
        <f>+'Schedule M Input'!C18</f>
        <v>17206319.289999999</v>
      </c>
      <c r="H73" s="500"/>
      <c r="I73" s="500"/>
      <c r="J73" s="500"/>
    </row>
    <row r="74" spans="1:10" ht="12.75" customHeight="1" x14ac:dyDescent="0.2">
      <c r="A74" s="505"/>
      <c r="B74" s="501"/>
      <c r="C74" s="501"/>
      <c r="D74" s="501"/>
      <c r="E74" s="501"/>
      <c r="F74" s="505"/>
      <c r="G74" s="741"/>
      <c r="H74" s="500"/>
      <c r="I74" s="500"/>
      <c r="J74" s="500"/>
    </row>
    <row r="75" spans="1:10" ht="12.75" customHeight="1" x14ac:dyDescent="0.2">
      <c r="A75" s="505">
        <f>1+A73</f>
        <v>2</v>
      </c>
      <c r="B75" s="501"/>
      <c r="C75" s="501" t="s">
        <v>1529</v>
      </c>
      <c r="D75" s="501"/>
      <c r="E75" s="501"/>
      <c r="F75" s="505" t="s">
        <v>1513</v>
      </c>
      <c r="G75" s="742">
        <f>+'Oper Rev&amp;Exp by Accts C2.1p1-2'!J26</f>
        <v>17624937</v>
      </c>
      <c r="H75" s="500"/>
      <c r="I75" s="500"/>
      <c r="J75" s="500"/>
    </row>
    <row r="76" spans="1:10" ht="12.75" customHeight="1" x14ac:dyDescent="0.2">
      <c r="A76" s="505"/>
      <c r="B76" s="501"/>
      <c r="C76" s="501"/>
      <c r="D76" s="501"/>
      <c r="E76" s="501"/>
      <c r="F76" s="501"/>
      <c r="G76" s="741"/>
      <c r="H76" s="500"/>
      <c r="I76" s="500"/>
      <c r="J76" s="500"/>
    </row>
    <row r="77" spans="1:10" ht="12.75" customHeight="1" x14ac:dyDescent="0.2">
      <c r="A77" s="505">
        <f>1+A75</f>
        <v>3</v>
      </c>
      <c r="B77" s="501"/>
      <c r="C77" s="501" t="s">
        <v>1530</v>
      </c>
      <c r="D77" s="501"/>
      <c r="E77" s="501"/>
      <c r="F77" s="501"/>
      <c r="G77" s="741">
        <f>+G73-G75</f>
        <v>-418617.71000000089</v>
      </c>
      <c r="H77" s="500"/>
      <c r="I77" s="500"/>
      <c r="J77" s="500"/>
    </row>
    <row r="78" spans="1:10" ht="12.75" customHeight="1" x14ac:dyDescent="0.2">
      <c r="A78" s="505"/>
      <c r="B78" s="501"/>
      <c r="C78" s="501"/>
      <c r="D78" s="501"/>
      <c r="E78" s="501"/>
      <c r="F78" s="501"/>
      <c r="G78" s="501"/>
      <c r="H78" s="500"/>
      <c r="I78" s="500"/>
      <c r="J78" s="500"/>
    </row>
    <row r="79" spans="1:10" ht="12.75" customHeight="1" x14ac:dyDescent="0.2">
      <c r="A79" s="505">
        <f>1+A77</f>
        <v>4</v>
      </c>
      <c r="B79" s="501"/>
      <c r="C79" s="501" t="s">
        <v>1524</v>
      </c>
      <c r="D79" s="501"/>
      <c r="E79" s="501"/>
      <c r="F79" s="501"/>
      <c r="G79" s="509">
        <v>1</v>
      </c>
      <c r="H79" s="500"/>
      <c r="I79" s="500"/>
      <c r="J79" s="500"/>
    </row>
    <row r="80" spans="1:10" ht="12.75" customHeight="1" x14ac:dyDescent="0.2">
      <c r="A80" s="505"/>
      <c r="B80" s="501"/>
      <c r="C80" s="501"/>
      <c r="D80" s="501"/>
      <c r="E80" s="501"/>
      <c r="F80" s="501"/>
      <c r="G80" s="501"/>
      <c r="H80" s="500"/>
      <c r="I80" s="500"/>
      <c r="J80" s="500"/>
    </row>
    <row r="81" spans="1:10" ht="12.75" customHeight="1" x14ac:dyDescent="0.2">
      <c r="A81" s="505">
        <f>1+A79</f>
        <v>5</v>
      </c>
      <c r="B81" s="501"/>
      <c r="C81" s="501" t="s">
        <v>1525</v>
      </c>
      <c r="D81" s="501"/>
      <c r="E81" s="501"/>
      <c r="F81" s="501"/>
      <c r="G81" s="741">
        <f>+G77*G79</f>
        <v>-418617.71000000089</v>
      </c>
      <c r="H81" s="500"/>
      <c r="I81" s="500"/>
      <c r="J81" s="500"/>
    </row>
    <row r="82" spans="1:10" ht="12.75" customHeight="1" x14ac:dyDescent="0.2">
      <c r="A82" s="505"/>
      <c r="B82" s="501"/>
      <c r="C82" s="501"/>
      <c r="D82" s="501"/>
      <c r="E82" s="501"/>
      <c r="F82" s="501"/>
      <c r="G82" s="501"/>
      <c r="H82" s="500"/>
      <c r="I82" s="500"/>
      <c r="J82" s="500"/>
    </row>
    <row r="83" spans="1:10" ht="12.75" customHeight="1" x14ac:dyDescent="0.2">
      <c r="A83" s="505"/>
      <c r="B83" s="501"/>
      <c r="C83" s="501"/>
      <c r="D83" s="501"/>
      <c r="E83" s="501"/>
      <c r="F83" s="501"/>
      <c r="G83" s="501"/>
      <c r="H83" s="500"/>
      <c r="I83" s="500"/>
      <c r="J83" s="500"/>
    </row>
    <row r="84" spans="1:10" ht="12.75" customHeight="1" x14ac:dyDescent="0.2">
      <c r="A84" s="505"/>
      <c r="B84" s="501"/>
      <c r="C84" s="501"/>
      <c r="D84" s="510"/>
      <c r="E84" s="510"/>
      <c r="F84" s="510"/>
      <c r="H84" s="500"/>
      <c r="I84" s="500"/>
      <c r="J84" s="500"/>
    </row>
    <row r="85" spans="1:10" ht="12.75" customHeight="1" x14ac:dyDescent="0.2">
      <c r="B85" s="501"/>
      <c r="D85" s="510"/>
      <c r="E85" s="510"/>
      <c r="F85" s="510"/>
      <c r="G85" s="510"/>
      <c r="H85" s="500"/>
      <c r="I85" s="500"/>
      <c r="J85" s="500"/>
    </row>
    <row r="86" spans="1:10" ht="12.75" customHeight="1" x14ac:dyDescent="0.2">
      <c r="A86" s="505"/>
      <c r="B86" s="501"/>
      <c r="C86" s="501"/>
      <c r="D86" s="510"/>
      <c r="E86" s="510"/>
      <c r="F86" s="510"/>
      <c r="G86" s="510"/>
      <c r="H86" s="500"/>
      <c r="I86" s="500"/>
      <c r="J86" s="500"/>
    </row>
    <row r="87" spans="1:10" ht="12.75" customHeight="1" x14ac:dyDescent="0.2">
      <c r="A87" s="505"/>
      <c r="B87" s="501"/>
      <c r="C87" s="501"/>
      <c r="D87" s="510"/>
      <c r="E87" s="510"/>
      <c r="F87" s="510"/>
      <c r="G87" s="510"/>
      <c r="H87" s="500"/>
      <c r="I87" s="500"/>
      <c r="J87" s="500"/>
    </row>
    <row r="88" spans="1:10" ht="12.75" customHeight="1" x14ac:dyDescent="0.2">
      <c r="A88" s="505"/>
      <c r="B88" s="501"/>
      <c r="C88" s="501"/>
      <c r="D88" s="510"/>
      <c r="E88" s="510"/>
      <c r="F88" s="510"/>
      <c r="G88" s="510"/>
      <c r="H88" s="500"/>
      <c r="I88" s="500"/>
      <c r="J88" s="500"/>
    </row>
    <row r="89" spans="1:10" ht="12.75" customHeight="1" x14ac:dyDescent="0.2">
      <c r="A89" s="505"/>
      <c r="B89" s="501"/>
      <c r="C89" s="510"/>
      <c r="D89" s="510"/>
      <c r="E89" s="510"/>
      <c r="F89" s="510"/>
      <c r="G89" s="510"/>
      <c r="H89" s="500"/>
      <c r="I89" s="500"/>
      <c r="J89" s="500"/>
    </row>
    <row r="90" spans="1:10" ht="12.75" customHeight="1" x14ac:dyDescent="0.2">
      <c r="A90" s="505"/>
      <c r="B90" s="501"/>
      <c r="C90" s="510"/>
      <c r="D90" s="510"/>
      <c r="E90" s="510"/>
      <c r="F90" s="510"/>
      <c r="G90" s="805"/>
      <c r="H90" s="500"/>
      <c r="I90" s="500"/>
      <c r="J90" s="500"/>
    </row>
    <row r="91" spans="1:10" ht="12.75" customHeight="1" x14ac:dyDescent="0.2">
      <c r="A91" s="501"/>
      <c r="B91" s="501"/>
      <c r="C91" s="501"/>
      <c r="D91" s="501"/>
      <c r="E91" s="501"/>
      <c r="F91" s="501"/>
      <c r="G91" s="501"/>
      <c r="H91" s="500"/>
      <c r="I91" s="500"/>
      <c r="J91" s="500"/>
    </row>
    <row r="92" spans="1:10" ht="12.75" customHeight="1" x14ac:dyDescent="0.2">
      <c r="A92" s="505"/>
      <c r="B92" s="501"/>
      <c r="C92" s="501"/>
      <c r="D92" s="501"/>
      <c r="E92" s="501"/>
      <c r="F92" s="501"/>
      <c r="G92" s="509"/>
      <c r="H92" s="500"/>
      <c r="I92" s="500"/>
      <c r="J92" s="500"/>
    </row>
    <row r="93" spans="1:10" ht="12.75" customHeight="1" x14ac:dyDescent="0.2">
      <c r="A93" s="501"/>
      <c r="B93" s="501"/>
      <c r="C93" s="501"/>
      <c r="D93" s="501"/>
      <c r="E93" s="501"/>
      <c r="F93" s="501"/>
      <c r="G93" s="501"/>
      <c r="H93" s="500"/>
      <c r="I93" s="500"/>
      <c r="J93" s="500"/>
    </row>
    <row r="94" spans="1:10" ht="12.75" customHeight="1" x14ac:dyDescent="0.2">
      <c r="A94" s="505"/>
      <c r="B94" s="501"/>
      <c r="C94" s="501"/>
      <c r="D94" s="501"/>
      <c r="E94" s="501"/>
      <c r="F94" s="501"/>
      <c r="G94" s="741"/>
      <c r="H94" s="500"/>
      <c r="I94" s="500"/>
      <c r="J94" s="500"/>
    </row>
    <row r="95" spans="1:10" ht="12.75" customHeight="1" x14ac:dyDescent="0.2">
      <c r="A95" s="505"/>
      <c r="B95" s="501"/>
      <c r="C95" s="510"/>
      <c r="D95" s="510"/>
      <c r="E95" s="510"/>
      <c r="F95" s="510"/>
      <c r="G95" s="805"/>
      <c r="H95" s="500"/>
      <c r="I95" s="500"/>
      <c r="J95" s="500"/>
    </row>
    <row r="96" spans="1:10" ht="12.75" customHeight="1" x14ac:dyDescent="0.2">
      <c r="A96" s="1436" t="s">
        <v>477</v>
      </c>
      <c r="B96" s="1436"/>
      <c r="C96" s="1436"/>
      <c r="D96" s="1436"/>
      <c r="E96" s="1436"/>
      <c r="F96" s="1436"/>
      <c r="G96" s="1436"/>
      <c r="H96" s="500"/>
      <c r="I96" s="500"/>
      <c r="J96" s="500"/>
    </row>
    <row r="97" spans="1:10" ht="12.75" customHeight="1" x14ac:dyDescent="0.2">
      <c r="A97" s="1436" t="str">
        <f>+Input!C4</f>
        <v>CASE NO. 2017-xxxxx</v>
      </c>
      <c r="B97" s="1436"/>
      <c r="C97" s="1436"/>
      <c r="D97" s="1436"/>
      <c r="E97" s="1436"/>
      <c r="F97" s="1436"/>
      <c r="G97" s="1436"/>
      <c r="H97" s="500"/>
      <c r="I97" s="500"/>
      <c r="J97" s="500"/>
    </row>
    <row r="98" spans="1:10" ht="12.75" customHeight="1" x14ac:dyDescent="0.2">
      <c r="A98" s="1436" t="s">
        <v>1500</v>
      </c>
      <c r="B98" s="1436"/>
      <c r="C98" s="1436"/>
      <c r="D98" s="1436"/>
      <c r="E98" s="1436"/>
      <c r="F98" s="1436"/>
      <c r="G98" s="1436"/>
      <c r="H98" s="500"/>
      <c r="I98" s="500"/>
      <c r="J98" s="500"/>
    </row>
    <row r="99" spans="1:10" ht="12.75" customHeight="1" x14ac:dyDescent="0.2">
      <c r="A99" s="1437" t="s">
        <v>1526</v>
      </c>
      <c r="B99" s="1437"/>
      <c r="C99" s="1437"/>
      <c r="D99" s="1437"/>
      <c r="E99" s="1437"/>
      <c r="F99" s="1437"/>
      <c r="G99" s="1437"/>
      <c r="H99" s="500"/>
      <c r="I99" s="500"/>
      <c r="J99" s="500"/>
    </row>
    <row r="100" spans="1:10" ht="12.75" customHeight="1" x14ac:dyDescent="0.2">
      <c r="A100" s="1436" t="str">
        <f>+Input!C6</f>
        <v>TWELVE MONTHS ENDED DECEMBER 31, 2017</v>
      </c>
      <c r="B100" s="1436"/>
      <c r="C100" s="1436"/>
      <c r="D100" s="1436"/>
      <c r="E100" s="1436"/>
      <c r="F100" s="1436"/>
      <c r="G100" s="1436"/>
      <c r="H100" s="500"/>
      <c r="I100" s="500"/>
      <c r="J100" s="500"/>
    </row>
    <row r="101" spans="1:10" ht="12.75" customHeight="1" x14ac:dyDescent="0.2">
      <c r="A101" s="505"/>
      <c r="B101" s="501"/>
      <c r="C101" s="501"/>
      <c r="D101" s="501"/>
      <c r="E101" s="501"/>
      <c r="F101" s="501"/>
      <c r="G101" s="501"/>
      <c r="H101" s="500"/>
      <c r="I101" s="500"/>
      <c r="J101" s="500"/>
    </row>
    <row r="102" spans="1:10" ht="12.75" customHeight="1" x14ac:dyDescent="0.2">
      <c r="A102" s="505"/>
      <c r="B102" s="501"/>
      <c r="C102" s="501"/>
      <c r="D102" s="501"/>
      <c r="E102" s="501"/>
      <c r="F102" s="501"/>
      <c r="G102" s="501"/>
      <c r="H102" s="500"/>
      <c r="I102" s="500"/>
      <c r="J102" s="500"/>
    </row>
    <row r="103" spans="1:10" ht="12.75" customHeight="1" x14ac:dyDescent="0.2">
      <c r="A103" s="501" t="s">
        <v>1502</v>
      </c>
      <c r="B103" s="501"/>
      <c r="D103" s="501"/>
      <c r="E103" s="501"/>
      <c r="F103" s="501"/>
      <c r="G103" s="502" t="s">
        <v>1503</v>
      </c>
      <c r="H103" s="500"/>
      <c r="I103" s="500"/>
      <c r="J103" s="500"/>
    </row>
    <row r="104" spans="1:10" ht="12.75" customHeight="1" x14ac:dyDescent="0.2">
      <c r="A104" s="501" t="s">
        <v>847</v>
      </c>
      <c r="B104" s="501"/>
      <c r="D104" s="501"/>
      <c r="E104" s="501"/>
      <c r="F104" s="501"/>
      <c r="G104" s="502" t="s">
        <v>286</v>
      </c>
      <c r="H104" s="500"/>
      <c r="I104" s="500"/>
      <c r="J104" s="500"/>
    </row>
    <row r="105" spans="1:10" ht="12.75" customHeight="1" x14ac:dyDescent="0.2">
      <c r="A105" s="503" t="s">
        <v>1504</v>
      </c>
      <c r="B105" s="503"/>
      <c r="C105" s="776"/>
      <c r="D105" s="503"/>
      <c r="E105" s="503"/>
      <c r="F105" s="503"/>
      <c r="G105" s="508" t="str">
        <f>+Input!E27</f>
        <v>WITNESS:  C. Y. LAI</v>
      </c>
      <c r="H105" s="500"/>
      <c r="I105" s="500"/>
      <c r="J105" s="500"/>
    </row>
    <row r="106" spans="1:10" ht="12.75" customHeight="1" x14ac:dyDescent="0.2">
      <c r="A106" s="510"/>
      <c r="B106" s="501"/>
      <c r="D106" s="510"/>
      <c r="E106" s="510"/>
      <c r="F106" s="510"/>
      <c r="G106" s="775"/>
      <c r="H106" s="500"/>
      <c r="I106" s="500"/>
      <c r="J106" s="500"/>
    </row>
    <row r="107" spans="1:10" ht="12.75" customHeight="1" x14ac:dyDescent="0.2">
      <c r="A107" s="471" t="s">
        <v>493</v>
      </c>
      <c r="B107" s="501"/>
      <c r="C107" s="501"/>
      <c r="D107" s="501"/>
      <c r="E107" s="501"/>
      <c r="F107" s="501"/>
      <c r="G107" s="501"/>
      <c r="H107" s="500"/>
      <c r="I107" s="500"/>
      <c r="J107" s="500"/>
    </row>
    <row r="108" spans="1:10" ht="12.75" customHeight="1" x14ac:dyDescent="0.2">
      <c r="A108" s="771" t="s">
        <v>496</v>
      </c>
      <c r="B108" s="503"/>
      <c r="C108" s="503" t="s">
        <v>1505</v>
      </c>
      <c r="D108" s="503"/>
      <c r="E108" s="503"/>
      <c r="F108" s="503"/>
      <c r="G108" s="777" t="s">
        <v>1248</v>
      </c>
      <c r="H108" s="500"/>
      <c r="I108" s="500"/>
      <c r="J108" s="500"/>
    </row>
    <row r="109" spans="1:10" ht="12.75" customHeight="1" x14ac:dyDescent="0.2">
      <c r="A109" s="505"/>
      <c r="B109" s="501"/>
      <c r="C109" s="501"/>
      <c r="D109" s="501"/>
      <c r="E109" s="501"/>
      <c r="F109" s="501"/>
      <c r="G109" s="505" t="s">
        <v>500</v>
      </c>
      <c r="H109" s="500"/>
      <c r="I109" s="500"/>
      <c r="J109" s="500"/>
    </row>
    <row r="110" spans="1:10" ht="12.75" customHeight="1" x14ac:dyDescent="0.2">
      <c r="A110" s="505"/>
      <c r="B110" s="501"/>
      <c r="C110" s="501"/>
      <c r="D110" s="501"/>
      <c r="E110" s="501"/>
      <c r="F110" s="501"/>
      <c r="G110" s="501"/>
      <c r="H110" s="500"/>
      <c r="I110" s="500"/>
      <c r="J110" s="500"/>
    </row>
    <row r="111" spans="1:10" ht="12.75" customHeight="1" x14ac:dyDescent="0.2">
      <c r="A111" s="505"/>
      <c r="B111" s="501"/>
      <c r="C111" s="501" t="s">
        <v>1277</v>
      </c>
      <c r="D111" s="501"/>
      <c r="E111" s="501"/>
      <c r="F111" s="501"/>
      <c r="G111" s="501"/>
      <c r="H111" s="500"/>
      <c r="I111" s="500"/>
      <c r="J111" s="500"/>
    </row>
    <row r="112" spans="1:10" ht="12.75" customHeight="1" x14ac:dyDescent="0.2">
      <c r="A112" s="505"/>
      <c r="B112" s="501"/>
      <c r="C112" s="501" t="s">
        <v>1285</v>
      </c>
      <c r="D112" s="501"/>
      <c r="E112" s="501"/>
      <c r="F112" s="501"/>
      <c r="G112" s="501"/>
      <c r="H112" s="500"/>
      <c r="I112" s="500"/>
      <c r="J112" s="500"/>
    </row>
    <row r="113" spans="1:10" ht="12.75" customHeight="1" x14ac:dyDescent="0.2">
      <c r="A113" s="505"/>
      <c r="B113" s="501"/>
      <c r="C113" s="501"/>
      <c r="D113" s="501"/>
      <c r="E113" s="501"/>
      <c r="F113" s="505" t="s">
        <v>1509</v>
      </c>
      <c r="G113" s="501"/>
      <c r="H113" s="500"/>
      <c r="I113" s="500"/>
      <c r="J113" s="500"/>
    </row>
    <row r="114" spans="1:10" ht="12.75" customHeight="1" x14ac:dyDescent="0.2">
      <c r="A114" s="505"/>
      <c r="B114" s="501"/>
      <c r="C114" s="501"/>
      <c r="D114" s="501"/>
      <c r="E114" s="501"/>
      <c r="F114" s="501"/>
      <c r="G114" s="501"/>
      <c r="H114" s="500"/>
      <c r="I114" s="500"/>
      <c r="J114" s="500"/>
    </row>
    <row r="115" spans="1:10" ht="12.75" customHeight="1" x14ac:dyDescent="0.2">
      <c r="A115" s="505">
        <v>1</v>
      </c>
      <c r="B115" s="501"/>
      <c r="C115" s="501" t="s">
        <v>1278</v>
      </c>
      <c r="D115" s="501"/>
      <c r="E115" s="501"/>
      <c r="F115" s="505" t="s">
        <v>1511</v>
      </c>
      <c r="G115" s="740">
        <f>+'Schedule M Input'!C36+'Schedule M Input'!C37+'Schedule M Input'!C40</f>
        <v>683915</v>
      </c>
      <c r="H115" s="740"/>
      <c r="I115" s="500"/>
      <c r="J115" s="500"/>
    </row>
    <row r="116" spans="1:10" ht="12.75" customHeight="1" x14ac:dyDescent="0.2">
      <c r="A116" s="505"/>
      <c r="B116" s="501"/>
      <c r="C116" s="501"/>
      <c r="D116" s="501"/>
      <c r="E116" s="501"/>
      <c r="F116" s="505"/>
      <c r="G116" s="741"/>
      <c r="H116" s="500"/>
      <c r="I116" s="500"/>
      <c r="J116" s="500"/>
    </row>
    <row r="117" spans="1:10" ht="12.75" customHeight="1" x14ac:dyDescent="0.2">
      <c r="A117" s="505">
        <f>1+A115</f>
        <v>2</v>
      </c>
      <c r="B117" s="501"/>
      <c r="C117" s="501" t="s">
        <v>282</v>
      </c>
      <c r="D117" s="501"/>
      <c r="E117" s="501"/>
      <c r="F117" s="505" t="s">
        <v>1513</v>
      </c>
      <c r="G117" s="742">
        <f>+'Oper Rev&amp;Exp by Accts C2.1p1-2'!J24+'Oper Rev&amp;Exp by Accts C2.1p1-2'!J25+'Oper Rev&amp;Exp by Accts C2.1p1-2'!J27+'Oper Rev&amp;Exp by Accts C2.1p1-2'!J23</f>
        <v>16545195</v>
      </c>
      <c r="H117" s="500"/>
      <c r="I117" s="500"/>
      <c r="J117" s="500"/>
    </row>
    <row r="118" spans="1:10" ht="12.75" customHeight="1" x14ac:dyDescent="0.2">
      <c r="A118" s="505"/>
      <c r="B118" s="501"/>
      <c r="C118" s="501"/>
      <c r="D118" s="501"/>
      <c r="E118" s="501"/>
      <c r="F118" s="501"/>
      <c r="G118" s="741"/>
      <c r="H118" s="500"/>
      <c r="I118" s="500"/>
      <c r="J118" s="500"/>
    </row>
    <row r="119" spans="1:10" ht="12.75" customHeight="1" x14ac:dyDescent="0.2">
      <c r="A119" s="505">
        <f>1+A117</f>
        <v>3</v>
      </c>
      <c r="B119" s="501"/>
      <c r="C119" s="501" t="s">
        <v>283</v>
      </c>
      <c r="D119" s="501"/>
      <c r="E119" s="501"/>
      <c r="F119" s="501"/>
      <c r="G119" s="741">
        <f>+G115-G117</f>
        <v>-15861280</v>
      </c>
      <c r="H119" s="500"/>
      <c r="I119" s="500"/>
      <c r="J119" s="500"/>
    </row>
    <row r="120" spans="1:10" ht="12.75" customHeight="1" x14ac:dyDescent="0.2">
      <c r="A120" s="505"/>
      <c r="B120" s="501"/>
      <c r="C120" s="501"/>
      <c r="D120" s="501"/>
      <c r="E120" s="501"/>
      <c r="F120" s="501"/>
      <c r="G120" s="501"/>
      <c r="H120" s="500"/>
      <c r="I120" s="500"/>
      <c r="J120" s="500"/>
    </row>
    <row r="121" spans="1:10" ht="12.75" customHeight="1" x14ac:dyDescent="0.2">
      <c r="A121" s="505"/>
      <c r="B121" s="501"/>
      <c r="C121" s="501"/>
      <c r="D121" s="501"/>
      <c r="E121" s="501"/>
      <c r="F121" s="501"/>
      <c r="G121" s="501"/>
      <c r="H121" s="500"/>
      <c r="I121" s="500"/>
      <c r="J121" s="500"/>
    </row>
    <row r="122" spans="1:10" ht="12.75" customHeight="1" x14ac:dyDescent="0.2">
      <c r="A122" s="505">
        <f>1+A119</f>
        <v>4</v>
      </c>
      <c r="B122" s="501"/>
      <c r="C122" s="501" t="s">
        <v>1524</v>
      </c>
      <c r="D122" s="501"/>
      <c r="E122" s="501"/>
      <c r="F122" s="501"/>
      <c r="G122" s="509">
        <v>1</v>
      </c>
      <c r="H122" s="500"/>
      <c r="I122" s="500"/>
      <c r="J122" s="500"/>
    </row>
    <row r="123" spans="1:10" ht="12.75" customHeight="1" x14ac:dyDescent="0.2">
      <c r="A123" s="505"/>
      <c r="B123" s="501"/>
      <c r="C123" s="501"/>
      <c r="D123" s="501"/>
      <c r="E123" s="501"/>
      <c r="F123" s="501"/>
      <c r="G123" s="501"/>
      <c r="H123" s="500"/>
      <c r="I123" s="500"/>
      <c r="J123" s="500"/>
    </row>
    <row r="124" spans="1:10" ht="12.75" customHeight="1" x14ac:dyDescent="0.2">
      <c r="A124" s="505">
        <f>1+A122</f>
        <v>5</v>
      </c>
      <c r="B124" s="501"/>
      <c r="C124" s="501" t="s">
        <v>1525</v>
      </c>
      <c r="D124" s="501"/>
      <c r="E124" s="501"/>
      <c r="F124" s="501"/>
      <c r="G124" s="741">
        <f>+G119*G122</f>
        <v>-15861280</v>
      </c>
      <c r="H124" s="500"/>
      <c r="I124" s="500"/>
      <c r="J124" s="500"/>
    </row>
    <row r="125" spans="1:10" ht="12.75" customHeight="1" x14ac:dyDescent="0.2">
      <c r="A125" s="505"/>
      <c r="B125" s="501"/>
      <c r="C125" s="510"/>
      <c r="D125" s="510"/>
      <c r="E125" s="510"/>
      <c r="F125" s="510"/>
      <c r="G125" s="805"/>
      <c r="H125" s="500"/>
      <c r="I125" s="500"/>
      <c r="J125" s="500"/>
    </row>
    <row r="126" spans="1:10" ht="12.75" customHeight="1" x14ac:dyDescent="0.2">
      <c r="A126" s="505"/>
      <c r="B126" s="501"/>
      <c r="C126" s="510"/>
      <c r="D126" s="510"/>
      <c r="E126" s="510"/>
      <c r="F126" s="510"/>
      <c r="G126" s="805"/>
      <c r="H126" s="500"/>
      <c r="I126" s="500"/>
      <c r="J126" s="500"/>
    </row>
    <row r="127" spans="1:10" ht="12.75" customHeight="1" x14ac:dyDescent="0.2">
      <c r="A127" s="505"/>
      <c r="B127" s="501"/>
      <c r="C127" s="510"/>
      <c r="D127" s="510"/>
      <c r="E127" s="510"/>
      <c r="F127" s="510"/>
      <c r="G127" s="805"/>
      <c r="H127" s="500"/>
      <c r="I127" s="500"/>
      <c r="J127" s="500"/>
    </row>
    <row r="128" spans="1:10" ht="12.75" customHeight="1" x14ac:dyDescent="0.2">
      <c r="A128" s="505"/>
      <c r="B128" s="501"/>
      <c r="C128" s="510"/>
      <c r="D128" s="510"/>
      <c r="E128" s="510"/>
      <c r="F128" s="510"/>
      <c r="G128" s="805"/>
      <c r="H128" s="500"/>
      <c r="I128" s="500"/>
      <c r="J128" s="500"/>
    </row>
    <row r="129" spans="1:10" ht="12.75" customHeight="1" x14ac:dyDescent="0.2">
      <c r="A129" s="505"/>
      <c r="B129" s="501"/>
      <c r="C129" s="501"/>
      <c r="D129" s="501"/>
      <c r="E129" s="501"/>
      <c r="F129" s="501"/>
      <c r="G129" s="501"/>
      <c r="H129" s="500"/>
      <c r="I129" s="500"/>
      <c r="J129" s="500"/>
    </row>
    <row r="130" spans="1:10" ht="12.75" customHeight="1" x14ac:dyDescent="0.2">
      <c r="A130" s="1436" t="s">
        <v>477</v>
      </c>
      <c r="B130" s="1436"/>
      <c r="C130" s="1436"/>
      <c r="D130" s="1436"/>
      <c r="E130" s="1436"/>
      <c r="F130" s="1436"/>
      <c r="G130" s="1436"/>
      <c r="H130" s="500"/>
      <c r="I130" s="500"/>
      <c r="J130" s="500"/>
    </row>
    <row r="131" spans="1:10" ht="12.75" customHeight="1" x14ac:dyDescent="0.2">
      <c r="A131" s="1436" t="str">
        <f>+Input!C4</f>
        <v>CASE NO. 2017-xxxxx</v>
      </c>
      <c r="B131" s="1436"/>
      <c r="C131" s="1436"/>
      <c r="D131" s="1436"/>
      <c r="E131" s="1436"/>
      <c r="F131" s="1436"/>
      <c r="G131" s="1436"/>
      <c r="H131" s="500"/>
      <c r="I131" s="500"/>
      <c r="J131" s="500"/>
    </row>
    <row r="132" spans="1:10" ht="12.75" customHeight="1" x14ac:dyDescent="0.2">
      <c r="A132" s="1436" t="s">
        <v>1500</v>
      </c>
      <c r="B132" s="1436"/>
      <c r="C132" s="1436"/>
      <c r="D132" s="1436"/>
      <c r="E132" s="1436"/>
      <c r="F132" s="1436"/>
      <c r="G132" s="1436"/>
      <c r="H132" s="500"/>
      <c r="I132" s="500"/>
      <c r="J132" s="500"/>
    </row>
    <row r="133" spans="1:10" ht="12.75" customHeight="1" x14ac:dyDescent="0.2">
      <c r="A133" s="1437" t="s">
        <v>1531</v>
      </c>
      <c r="B133" s="1437"/>
      <c r="C133" s="1437"/>
      <c r="D133" s="1437"/>
      <c r="E133" s="1437"/>
      <c r="F133" s="1437"/>
      <c r="G133" s="1437"/>
      <c r="H133" s="500"/>
      <c r="I133" s="500"/>
      <c r="J133" s="500"/>
    </row>
    <row r="134" spans="1:10" ht="12.75" customHeight="1" x14ac:dyDescent="0.2">
      <c r="A134" s="1436" t="str">
        <f>+Input!C6</f>
        <v>TWELVE MONTHS ENDED DECEMBER 31, 2017</v>
      </c>
      <c r="B134" s="1436"/>
      <c r="C134" s="1436"/>
      <c r="D134" s="1436"/>
      <c r="E134" s="1436"/>
      <c r="F134" s="1436"/>
      <c r="G134" s="1436"/>
      <c r="H134" s="500"/>
      <c r="I134" s="500"/>
      <c r="J134" s="500"/>
    </row>
    <row r="135" spans="1:10" ht="12.75" customHeight="1" x14ac:dyDescent="0.2">
      <c r="A135" s="505"/>
      <c r="B135" s="501"/>
      <c r="C135" s="501"/>
      <c r="D135" s="501"/>
      <c r="E135" s="501"/>
      <c r="F135" s="501"/>
      <c r="G135" s="501"/>
      <c r="H135" s="500"/>
      <c r="I135" s="500"/>
      <c r="J135" s="500"/>
    </row>
    <row r="136" spans="1:10" ht="12.75" customHeight="1" x14ac:dyDescent="0.2">
      <c r="A136" s="505"/>
      <c r="B136" s="501"/>
      <c r="C136" s="501"/>
      <c r="D136" s="501"/>
      <c r="E136" s="501"/>
      <c r="F136" s="501"/>
      <c r="G136" s="501"/>
      <c r="H136" s="500"/>
      <c r="I136" s="500"/>
      <c r="J136" s="500"/>
    </row>
    <row r="137" spans="1:10" ht="12.75" customHeight="1" x14ac:dyDescent="0.2">
      <c r="A137" s="501" t="s">
        <v>1502</v>
      </c>
      <c r="B137" s="501"/>
      <c r="D137" s="501"/>
      <c r="E137" s="501"/>
      <c r="F137" s="501"/>
      <c r="G137" s="502" t="s">
        <v>1503</v>
      </c>
      <c r="H137" s="500"/>
      <c r="I137" s="500"/>
      <c r="J137" s="500"/>
    </row>
    <row r="138" spans="1:10" ht="12.75" customHeight="1" x14ac:dyDescent="0.2">
      <c r="A138" s="501" t="s">
        <v>847</v>
      </c>
      <c r="B138" s="501"/>
      <c r="D138" s="501"/>
      <c r="E138" s="501"/>
      <c r="F138" s="501"/>
      <c r="G138" s="502" t="s">
        <v>287</v>
      </c>
      <c r="H138" s="500"/>
      <c r="I138" s="500"/>
      <c r="J138" s="500"/>
    </row>
    <row r="139" spans="1:10" ht="12.75" customHeight="1" x14ac:dyDescent="0.2">
      <c r="A139" s="503" t="s">
        <v>1504</v>
      </c>
      <c r="B139" s="503"/>
      <c r="C139" s="776"/>
      <c r="D139" s="503"/>
      <c r="E139" s="503"/>
      <c r="F139" s="503"/>
      <c r="G139" s="504" t="str">
        <f>+Input!E27</f>
        <v>WITNESS:  C. Y. LAI</v>
      </c>
      <c r="H139" s="500"/>
      <c r="I139" s="500"/>
      <c r="J139" s="500"/>
    </row>
    <row r="140" spans="1:10" ht="12.75" customHeight="1" x14ac:dyDescent="0.2">
      <c r="A140" s="510"/>
      <c r="B140" s="501"/>
      <c r="D140" s="510"/>
      <c r="E140" s="510"/>
      <c r="F140" s="510"/>
      <c r="G140" s="775"/>
      <c r="H140" s="500"/>
      <c r="I140" s="500"/>
      <c r="J140" s="500"/>
    </row>
    <row r="141" spans="1:10" ht="12.75" customHeight="1" x14ac:dyDescent="0.2">
      <c r="A141" s="471" t="s">
        <v>493</v>
      </c>
      <c r="B141" s="501"/>
      <c r="C141" s="501"/>
      <c r="D141" s="501"/>
      <c r="E141" s="501"/>
      <c r="F141" s="501"/>
      <c r="G141" s="501"/>
      <c r="H141" s="500"/>
      <c r="I141" s="500"/>
      <c r="J141" s="500"/>
    </row>
    <row r="142" spans="1:10" ht="12.75" customHeight="1" x14ac:dyDescent="0.2">
      <c r="A142" s="771" t="s">
        <v>496</v>
      </c>
      <c r="B142" s="503"/>
      <c r="C142" s="503" t="s">
        <v>1505</v>
      </c>
      <c r="D142" s="503"/>
      <c r="E142" s="503"/>
      <c r="F142" s="503"/>
      <c r="G142" s="777" t="s">
        <v>1248</v>
      </c>
      <c r="H142" s="500"/>
      <c r="I142" s="500"/>
      <c r="J142" s="500"/>
    </row>
    <row r="143" spans="1:10" ht="12.75" customHeight="1" x14ac:dyDescent="0.2">
      <c r="A143" s="505"/>
      <c r="B143" s="501"/>
      <c r="C143" s="501"/>
      <c r="D143" s="501"/>
      <c r="E143" s="501"/>
      <c r="F143" s="501"/>
      <c r="G143" s="505" t="s">
        <v>500</v>
      </c>
      <c r="H143" s="500"/>
      <c r="I143" s="500"/>
      <c r="J143" s="500"/>
    </row>
    <row r="144" spans="1:10" ht="12.75" customHeight="1" x14ac:dyDescent="0.2">
      <c r="A144" s="505"/>
      <c r="B144" s="501"/>
      <c r="C144" s="501"/>
      <c r="D144" s="501"/>
      <c r="E144" s="501"/>
      <c r="F144" s="501"/>
      <c r="G144" s="501"/>
      <c r="H144" s="500"/>
      <c r="I144" s="500"/>
      <c r="J144" s="500"/>
    </row>
    <row r="145" spans="1:10" ht="12.75" customHeight="1" x14ac:dyDescent="0.2">
      <c r="A145" s="505"/>
      <c r="B145" s="501"/>
      <c r="C145" s="501" t="s">
        <v>1532</v>
      </c>
      <c r="D145" s="501"/>
      <c r="E145" s="501"/>
      <c r="F145" s="501"/>
      <c r="G145" s="501"/>
      <c r="H145" s="500"/>
      <c r="I145" s="500"/>
      <c r="J145" s="500"/>
    </row>
    <row r="146" spans="1:10" ht="12.75" customHeight="1" x14ac:dyDescent="0.2">
      <c r="A146" s="505"/>
      <c r="B146" s="501"/>
      <c r="C146" s="501" t="s">
        <v>1533</v>
      </c>
      <c r="D146" s="501"/>
      <c r="E146" s="501"/>
      <c r="F146" s="501"/>
      <c r="G146" s="501"/>
      <c r="H146" s="500"/>
      <c r="I146" s="500"/>
      <c r="J146" s="500"/>
    </row>
    <row r="147" spans="1:10" ht="12.75" customHeight="1" x14ac:dyDescent="0.2">
      <c r="A147" s="505"/>
      <c r="B147" s="501"/>
      <c r="C147" s="501" t="s">
        <v>1267</v>
      </c>
      <c r="D147" s="501"/>
      <c r="E147" s="501"/>
      <c r="G147" s="501"/>
      <c r="H147" s="500"/>
      <c r="I147" s="500"/>
      <c r="J147" s="500"/>
    </row>
    <row r="148" spans="1:10" ht="12.75" customHeight="1" x14ac:dyDescent="0.2">
      <c r="A148" s="505"/>
      <c r="B148" s="501"/>
      <c r="C148" s="501" t="s">
        <v>1268</v>
      </c>
      <c r="D148" s="501"/>
      <c r="E148" s="501"/>
      <c r="F148" s="505" t="s">
        <v>1509</v>
      </c>
      <c r="G148" s="501"/>
      <c r="H148" s="500"/>
      <c r="I148" s="500"/>
      <c r="J148" s="500"/>
    </row>
    <row r="149" spans="1:10" ht="12.75" customHeight="1" x14ac:dyDescent="0.2">
      <c r="B149" s="501"/>
      <c r="C149" s="501"/>
      <c r="D149" s="501"/>
      <c r="E149" s="501"/>
      <c r="F149" s="501"/>
      <c r="G149" s="501"/>
      <c r="H149" s="500"/>
      <c r="I149" s="500"/>
      <c r="J149" s="500"/>
    </row>
    <row r="150" spans="1:10" ht="12.75" customHeight="1" x14ac:dyDescent="0.2">
      <c r="A150" s="505">
        <v>1</v>
      </c>
      <c r="B150" s="501"/>
      <c r="C150" s="501" t="s">
        <v>1534</v>
      </c>
      <c r="D150" s="501"/>
      <c r="E150" s="501"/>
      <c r="F150" s="505" t="s">
        <v>1511</v>
      </c>
      <c r="G150" s="740">
        <f>+'Schedule M Input'!C25</f>
        <v>111744211.33</v>
      </c>
      <c r="H150" s="500"/>
      <c r="I150" s="500"/>
      <c r="J150" s="500"/>
    </row>
    <row r="151" spans="1:10" ht="12.75" customHeight="1" x14ac:dyDescent="0.2">
      <c r="A151" s="505">
        <f>1+A150</f>
        <v>2</v>
      </c>
      <c r="B151" s="501"/>
      <c r="C151" s="501" t="s">
        <v>1546</v>
      </c>
      <c r="D151" s="501"/>
      <c r="E151" s="501"/>
      <c r="F151" s="505" t="s">
        <v>1513</v>
      </c>
      <c r="G151" s="741">
        <f>+'Oper Rev&amp;Exp by Accts C2.1p1-2'!F47</f>
        <v>390527</v>
      </c>
      <c r="H151" s="500"/>
      <c r="I151" s="500"/>
      <c r="J151" s="500"/>
    </row>
    <row r="152" spans="1:10" ht="12.75" customHeight="1" x14ac:dyDescent="0.2">
      <c r="A152" s="505">
        <f>1+A151</f>
        <v>3</v>
      </c>
      <c r="B152" s="501"/>
      <c r="C152" s="501" t="s">
        <v>1547</v>
      </c>
      <c r="D152" s="501"/>
      <c r="E152" s="501"/>
      <c r="F152" s="505" t="s">
        <v>1513</v>
      </c>
      <c r="G152" s="742">
        <f>+'Oper Rev&amp;Exp by Accts C2.1p1-2'!F49</f>
        <v>-182156</v>
      </c>
      <c r="H152" s="500"/>
      <c r="I152" s="500"/>
      <c r="J152" s="500"/>
    </row>
    <row r="153" spans="1:10" ht="12.75" customHeight="1" x14ac:dyDescent="0.2">
      <c r="A153" s="505">
        <f>1+A152</f>
        <v>4</v>
      </c>
      <c r="B153" s="501"/>
      <c r="C153" s="501" t="s">
        <v>941</v>
      </c>
      <c r="D153" s="501"/>
      <c r="E153" s="501"/>
      <c r="F153" s="505"/>
      <c r="G153" s="741">
        <f>+G150+G151+G152</f>
        <v>111952582.33</v>
      </c>
      <c r="H153" s="500"/>
      <c r="I153" s="500"/>
      <c r="J153" s="500"/>
    </row>
    <row r="154" spans="1:10" ht="12.75" customHeight="1" x14ac:dyDescent="0.2">
      <c r="A154" s="505"/>
      <c r="B154" s="501"/>
      <c r="C154" s="501"/>
      <c r="D154" s="501"/>
      <c r="E154" s="501"/>
      <c r="F154" s="505"/>
      <c r="G154" s="741"/>
      <c r="H154" s="500"/>
      <c r="I154" s="500"/>
      <c r="J154" s="500"/>
    </row>
    <row r="155" spans="1:10" ht="12.75" customHeight="1" x14ac:dyDescent="0.2">
      <c r="A155" s="505">
        <f>1+A153</f>
        <v>5</v>
      </c>
      <c r="B155" s="501"/>
      <c r="C155" s="501" t="s">
        <v>1548</v>
      </c>
      <c r="D155" s="501"/>
      <c r="E155" s="501"/>
      <c r="F155" s="505" t="s">
        <v>1513</v>
      </c>
      <c r="G155" s="511">
        <f>+'Attachment CYL - 1'!F16</f>
        <v>52042993.090000004</v>
      </c>
      <c r="I155" s="500"/>
      <c r="J155" s="500"/>
    </row>
    <row r="156" spans="1:10" ht="12.75" customHeight="1" x14ac:dyDescent="0.2">
      <c r="A156" s="505"/>
      <c r="B156" s="501"/>
      <c r="C156" s="501"/>
      <c r="D156" s="501"/>
      <c r="E156" s="501"/>
      <c r="F156" s="501"/>
      <c r="G156" s="741"/>
      <c r="H156" s="500"/>
      <c r="I156" s="500"/>
      <c r="J156" s="500"/>
    </row>
    <row r="157" spans="1:10" ht="12.75" customHeight="1" x14ac:dyDescent="0.2">
      <c r="A157" s="505">
        <f>1+A155</f>
        <v>6</v>
      </c>
      <c r="B157" s="501"/>
      <c r="C157" s="501" t="s">
        <v>1549</v>
      </c>
      <c r="D157" s="501"/>
      <c r="E157" s="501"/>
      <c r="F157" s="501"/>
      <c r="G157" s="741">
        <f>+G153-G155</f>
        <v>59909589.239999995</v>
      </c>
      <c r="H157" s="500"/>
      <c r="I157" s="500"/>
      <c r="J157" s="500"/>
    </row>
    <row r="158" spans="1:10" ht="12.75" customHeight="1" x14ac:dyDescent="0.2">
      <c r="A158" s="505"/>
      <c r="B158" s="501"/>
      <c r="C158" s="501"/>
      <c r="D158" s="501"/>
      <c r="E158" s="501"/>
      <c r="F158" s="501"/>
      <c r="G158" s="501"/>
      <c r="H158" s="500"/>
      <c r="I158" s="500"/>
      <c r="J158" s="500"/>
    </row>
    <row r="159" spans="1:10" ht="12.75" customHeight="1" x14ac:dyDescent="0.2">
      <c r="A159" s="505"/>
      <c r="B159" s="501"/>
      <c r="C159" s="501"/>
      <c r="D159" s="501"/>
      <c r="E159" s="501"/>
      <c r="F159" s="501"/>
      <c r="G159" s="501"/>
      <c r="H159" s="500"/>
      <c r="I159" s="500"/>
      <c r="J159" s="500"/>
    </row>
    <row r="160" spans="1:10" ht="12.75" customHeight="1" x14ac:dyDescent="0.2">
      <c r="A160" s="505"/>
      <c r="B160" s="501"/>
      <c r="C160" s="501"/>
      <c r="D160" s="501"/>
      <c r="E160" s="501"/>
      <c r="F160" s="501"/>
      <c r="G160" s="501"/>
      <c r="H160" s="500"/>
      <c r="I160" s="500"/>
      <c r="J160" s="500"/>
    </row>
    <row r="161" spans="1:10" ht="12.75" customHeight="1" x14ac:dyDescent="0.2">
      <c r="A161" s="1436" t="s">
        <v>477</v>
      </c>
      <c r="B161" s="1436"/>
      <c r="C161" s="1436"/>
      <c r="D161" s="1436"/>
      <c r="E161" s="1436"/>
      <c r="F161" s="1436"/>
      <c r="G161" s="1436"/>
      <c r="H161" s="500"/>
      <c r="I161" s="500"/>
      <c r="J161" s="500"/>
    </row>
    <row r="162" spans="1:10" ht="12.75" customHeight="1" x14ac:dyDescent="0.2">
      <c r="A162" s="1436" t="str">
        <f>+Input!C4</f>
        <v>CASE NO. 2017-xxxxx</v>
      </c>
      <c r="B162" s="1436"/>
      <c r="C162" s="1436"/>
      <c r="D162" s="1436"/>
      <c r="E162" s="1436"/>
      <c r="F162" s="1436"/>
      <c r="G162" s="1436"/>
      <c r="H162" s="500"/>
      <c r="I162" s="500"/>
      <c r="J162" s="500"/>
    </row>
    <row r="163" spans="1:10" ht="12.75" customHeight="1" x14ac:dyDescent="0.2">
      <c r="A163" s="1436" t="s">
        <v>1500</v>
      </c>
      <c r="B163" s="1436"/>
      <c r="C163" s="1436"/>
      <c r="D163" s="1436"/>
      <c r="E163" s="1436"/>
      <c r="F163" s="1436"/>
      <c r="G163" s="1436"/>
      <c r="H163" s="500"/>
      <c r="I163" s="500"/>
      <c r="J163" s="500"/>
    </row>
    <row r="164" spans="1:10" ht="12.75" customHeight="1" x14ac:dyDescent="0.2">
      <c r="A164" s="1437" t="s">
        <v>1550</v>
      </c>
      <c r="B164" s="1437"/>
      <c r="C164" s="1437"/>
      <c r="D164" s="1437"/>
      <c r="E164" s="1437"/>
      <c r="F164" s="1437"/>
      <c r="G164" s="1437"/>
      <c r="H164" s="500"/>
      <c r="I164" s="500"/>
      <c r="J164" s="500"/>
    </row>
    <row r="165" spans="1:10" ht="12.75" customHeight="1" x14ac:dyDescent="0.2">
      <c r="A165" s="1436" t="str">
        <f>+Input!C6</f>
        <v>TWELVE MONTHS ENDED DECEMBER 31, 2017</v>
      </c>
      <c r="B165" s="1436"/>
      <c r="C165" s="1436"/>
      <c r="D165" s="1436"/>
      <c r="E165" s="1436"/>
      <c r="F165" s="1436"/>
      <c r="G165" s="1436"/>
      <c r="H165" s="500"/>
      <c r="I165" s="500"/>
      <c r="J165" s="500"/>
    </row>
    <row r="166" spans="1:10" ht="12.75" customHeight="1" x14ac:dyDescent="0.2">
      <c r="A166" s="505"/>
      <c r="B166" s="501"/>
      <c r="C166" s="501"/>
      <c r="D166" s="501"/>
      <c r="E166" s="501"/>
      <c r="F166" s="501"/>
      <c r="G166" s="501"/>
      <c r="H166" s="500"/>
      <c r="I166" s="500"/>
      <c r="J166" s="500"/>
    </row>
    <row r="167" spans="1:10" ht="12.75" customHeight="1" x14ac:dyDescent="0.2">
      <c r="A167" s="505"/>
      <c r="B167" s="501"/>
      <c r="C167" s="501"/>
      <c r="D167" s="501"/>
      <c r="E167" s="501"/>
      <c r="F167" s="501"/>
      <c r="G167" s="501"/>
      <c r="H167" s="500"/>
      <c r="I167" s="500"/>
      <c r="J167" s="500"/>
    </row>
    <row r="168" spans="1:10" ht="12.75" customHeight="1" x14ac:dyDescent="0.2">
      <c r="A168" s="501" t="s">
        <v>1502</v>
      </c>
      <c r="B168" s="501"/>
      <c r="D168" s="501"/>
      <c r="E168" s="501"/>
      <c r="F168" s="501"/>
      <c r="G168" s="502" t="s">
        <v>1503</v>
      </c>
      <c r="H168" s="500"/>
      <c r="I168" s="500"/>
      <c r="J168" s="500"/>
    </row>
    <row r="169" spans="1:10" ht="12.75" customHeight="1" x14ac:dyDescent="0.2">
      <c r="A169" s="501" t="s">
        <v>847</v>
      </c>
      <c r="B169" s="501"/>
      <c r="D169" s="501"/>
      <c r="E169" s="501"/>
      <c r="F169" s="501"/>
      <c r="G169" s="502" t="s">
        <v>288</v>
      </c>
      <c r="H169" s="500"/>
      <c r="I169" s="500"/>
      <c r="J169" s="500"/>
    </row>
    <row r="170" spans="1:10" ht="12.75" customHeight="1" x14ac:dyDescent="0.2">
      <c r="A170" s="503" t="s">
        <v>1551</v>
      </c>
      <c r="B170" s="503"/>
      <c r="C170" s="776"/>
      <c r="D170" s="503"/>
      <c r="E170" s="503"/>
      <c r="F170" s="503"/>
      <c r="G170" s="504" t="str">
        <f>+Input!E27</f>
        <v>WITNESS:  C. Y. LAI</v>
      </c>
      <c r="H170" s="500"/>
      <c r="I170" s="500"/>
      <c r="J170" s="500"/>
    </row>
    <row r="171" spans="1:10" ht="12.75" customHeight="1" x14ac:dyDescent="0.2">
      <c r="A171" s="510"/>
      <c r="B171" s="501"/>
      <c r="D171" s="510"/>
      <c r="E171" s="510"/>
      <c r="F171" s="510"/>
      <c r="G171" s="775"/>
      <c r="H171" s="500"/>
      <c r="I171" s="500"/>
      <c r="J171" s="500"/>
    </row>
    <row r="172" spans="1:10" ht="12.75" customHeight="1" x14ac:dyDescent="0.2">
      <c r="A172" s="471" t="s">
        <v>493</v>
      </c>
      <c r="B172" s="501"/>
      <c r="C172" s="501"/>
      <c r="D172" s="501"/>
      <c r="E172" s="501"/>
      <c r="F172" s="501"/>
      <c r="G172" s="501"/>
      <c r="H172" s="500"/>
      <c r="I172" s="500"/>
      <c r="J172" s="500"/>
    </row>
    <row r="173" spans="1:10" ht="12.75" customHeight="1" x14ac:dyDescent="0.2">
      <c r="A173" s="771" t="s">
        <v>496</v>
      </c>
      <c r="B173" s="503"/>
      <c r="C173" s="503" t="s">
        <v>1505</v>
      </c>
      <c r="D173" s="503"/>
      <c r="E173" s="503"/>
      <c r="F173" s="503"/>
      <c r="G173" s="777" t="s">
        <v>1248</v>
      </c>
      <c r="H173" s="500"/>
      <c r="I173" s="500"/>
      <c r="J173" s="500"/>
    </row>
    <row r="174" spans="1:10" ht="12.75" customHeight="1" x14ac:dyDescent="0.2">
      <c r="A174" s="505"/>
      <c r="B174" s="501"/>
      <c r="C174" s="501"/>
      <c r="D174" s="501"/>
      <c r="E174" s="501"/>
      <c r="F174" s="501"/>
      <c r="G174" s="505" t="s">
        <v>500</v>
      </c>
      <c r="H174" s="500"/>
      <c r="I174" s="500"/>
      <c r="J174" s="500"/>
    </row>
    <row r="175" spans="1:10" ht="12.75" customHeight="1" x14ac:dyDescent="0.2">
      <c r="A175" s="505"/>
      <c r="B175" s="501"/>
      <c r="C175" s="501"/>
      <c r="D175" s="501"/>
      <c r="E175" s="501"/>
      <c r="F175" s="501"/>
      <c r="G175" s="501"/>
      <c r="H175" s="500"/>
      <c r="I175" s="500"/>
      <c r="J175" s="500"/>
    </row>
    <row r="176" spans="1:10" ht="12.75" customHeight="1" x14ac:dyDescent="0.2">
      <c r="A176" s="505"/>
      <c r="B176" s="501"/>
      <c r="C176" s="501" t="s">
        <v>1552</v>
      </c>
      <c r="D176" s="501"/>
      <c r="E176" s="501"/>
      <c r="F176" s="501"/>
      <c r="G176" s="501"/>
      <c r="H176" s="500"/>
      <c r="I176" s="500"/>
      <c r="J176" s="500"/>
    </row>
    <row r="177" spans="1:10" ht="12.75" customHeight="1" x14ac:dyDescent="0.2">
      <c r="A177" s="505"/>
      <c r="B177" s="501"/>
      <c r="C177" s="501" t="s">
        <v>1207</v>
      </c>
      <c r="D177" s="501"/>
      <c r="E177" s="501"/>
      <c r="G177" s="501"/>
      <c r="H177" s="500"/>
      <c r="I177" s="500"/>
      <c r="J177" s="500"/>
    </row>
    <row r="178" spans="1:10" ht="12.75" customHeight="1" x14ac:dyDescent="0.2">
      <c r="A178" s="505"/>
      <c r="B178" s="501"/>
      <c r="C178" s="501" t="s">
        <v>1208</v>
      </c>
      <c r="D178" s="501"/>
      <c r="E178" s="501"/>
      <c r="F178" s="505" t="s">
        <v>1509</v>
      </c>
      <c r="G178" s="501"/>
      <c r="H178" s="500"/>
      <c r="I178" s="500"/>
      <c r="J178" s="500"/>
    </row>
    <row r="179" spans="1:10" ht="12.75" customHeight="1" x14ac:dyDescent="0.2">
      <c r="A179" s="505"/>
      <c r="B179" s="501"/>
      <c r="C179" s="501"/>
      <c r="D179" s="501"/>
      <c r="E179" s="501"/>
      <c r="F179" s="501"/>
      <c r="G179" s="501"/>
      <c r="H179" s="500"/>
      <c r="I179" s="500"/>
      <c r="J179" s="500"/>
    </row>
    <row r="180" spans="1:10" ht="12.75" customHeight="1" x14ac:dyDescent="0.2">
      <c r="A180" s="505">
        <v>1</v>
      </c>
      <c r="B180" s="501"/>
      <c r="C180" s="501" t="s">
        <v>1270</v>
      </c>
      <c r="D180" s="501"/>
      <c r="E180" s="501"/>
      <c r="F180" s="505" t="s">
        <v>1511</v>
      </c>
      <c r="G180" s="740">
        <f>+'Schedule M Input'!C30</f>
        <v>93281164.909999967</v>
      </c>
      <c r="H180" s="500"/>
      <c r="I180" s="806"/>
      <c r="J180" s="510"/>
    </row>
    <row r="181" spans="1:10" ht="12.75" customHeight="1" x14ac:dyDescent="0.2">
      <c r="A181" s="505">
        <f>1+A180</f>
        <v>2</v>
      </c>
      <c r="B181" s="501"/>
      <c r="C181" s="501" t="s">
        <v>1272</v>
      </c>
      <c r="D181" s="501"/>
      <c r="E181" s="501"/>
      <c r="F181" s="505" t="s">
        <v>1511</v>
      </c>
      <c r="G181" s="808">
        <f>+'Schedule M Input'!C31</f>
        <v>6736144.6099999994</v>
      </c>
      <c r="H181" s="500"/>
      <c r="I181" s="806"/>
      <c r="J181" s="510"/>
    </row>
    <row r="182" spans="1:10" ht="12.75" customHeight="1" x14ac:dyDescent="0.2">
      <c r="A182" s="505">
        <f>1+A181</f>
        <v>3</v>
      </c>
      <c r="B182" s="501"/>
      <c r="C182" s="501" t="s">
        <v>1273</v>
      </c>
      <c r="D182" s="501"/>
      <c r="E182" s="501"/>
      <c r="F182" s="505"/>
      <c r="G182" s="740">
        <f>+G180+G181</f>
        <v>100017309.51999997</v>
      </c>
      <c r="H182" s="500"/>
      <c r="I182" s="806"/>
      <c r="J182" s="510"/>
    </row>
    <row r="183" spans="1:10" ht="12.75" customHeight="1" x14ac:dyDescent="0.2">
      <c r="A183" s="505"/>
      <c r="B183" s="501"/>
      <c r="C183" s="501"/>
      <c r="D183" s="501"/>
      <c r="E183" s="501"/>
      <c r="F183" s="501"/>
      <c r="G183" s="501"/>
      <c r="H183" s="500"/>
      <c r="I183" s="806"/>
      <c r="J183" s="510"/>
    </row>
    <row r="184" spans="1:10" ht="12.75" customHeight="1" x14ac:dyDescent="0.2">
      <c r="A184" s="505">
        <f>1+A182</f>
        <v>4</v>
      </c>
      <c r="B184" s="501"/>
      <c r="C184" s="501" t="s">
        <v>1570</v>
      </c>
      <c r="D184" s="501"/>
      <c r="E184" s="501"/>
      <c r="F184" s="505" t="s">
        <v>112</v>
      </c>
      <c r="G184" s="512">
        <f>+'Gross Conversion Factor H-1'!F15</f>
        <v>9.2332899999999999E-3</v>
      </c>
      <c r="H184" s="500"/>
      <c r="I184" s="806"/>
      <c r="J184" s="510"/>
    </row>
    <row r="185" spans="1:10" ht="12.75" customHeight="1" x14ac:dyDescent="0.2">
      <c r="A185" s="505"/>
      <c r="B185" s="501"/>
      <c r="C185" s="501"/>
      <c r="D185" s="501"/>
      <c r="E185" s="501"/>
      <c r="F185" s="501"/>
      <c r="G185" s="501"/>
      <c r="H185" s="500"/>
      <c r="I185" s="806"/>
      <c r="J185" s="510"/>
    </row>
    <row r="186" spans="1:10" ht="12.75" customHeight="1" x14ac:dyDescent="0.2">
      <c r="A186" s="505">
        <f>1+A184</f>
        <v>5</v>
      </c>
      <c r="B186" s="501"/>
      <c r="C186" s="501" t="s">
        <v>1571</v>
      </c>
      <c r="D186" s="501"/>
      <c r="E186" s="501"/>
      <c r="F186" s="501"/>
      <c r="G186" s="741">
        <f>ROUND(G182*G184,0)</f>
        <v>923489</v>
      </c>
      <c r="H186" s="500"/>
      <c r="I186" s="806"/>
      <c r="J186" s="510"/>
    </row>
    <row r="187" spans="1:10" ht="12.75" customHeight="1" x14ac:dyDescent="0.2">
      <c r="A187" s="505"/>
      <c r="B187" s="501"/>
      <c r="C187" s="501"/>
      <c r="D187" s="501"/>
      <c r="E187" s="501"/>
      <c r="F187" s="501"/>
      <c r="G187" s="741"/>
      <c r="H187" s="807"/>
      <c r="I187" s="806"/>
      <c r="J187" s="510"/>
    </row>
    <row r="188" spans="1:10" ht="12.75" customHeight="1" x14ac:dyDescent="0.2">
      <c r="A188" s="505">
        <f>1+A186</f>
        <v>6</v>
      </c>
      <c r="B188" s="501"/>
      <c r="C188" s="501" t="s">
        <v>1322</v>
      </c>
      <c r="D188" s="501"/>
      <c r="E188" s="501"/>
      <c r="F188" s="505" t="s">
        <v>1513</v>
      </c>
      <c r="G188" s="1232">
        <f>1910000-G195</f>
        <v>1371336</v>
      </c>
      <c r="H188" s="510"/>
      <c r="I188" s="806"/>
      <c r="J188" s="510"/>
    </row>
    <row r="189" spans="1:10" ht="12.75" customHeight="1" x14ac:dyDescent="0.2">
      <c r="A189" s="505"/>
      <c r="B189" s="501"/>
      <c r="C189" s="501"/>
      <c r="D189" s="501"/>
      <c r="E189" s="501"/>
      <c r="F189" s="501"/>
      <c r="G189" s="741"/>
      <c r="H189" s="807"/>
      <c r="I189" s="806"/>
      <c r="J189" s="510"/>
    </row>
    <row r="190" spans="1:10" ht="12.75" customHeight="1" x14ac:dyDescent="0.2">
      <c r="A190" s="505">
        <f>1+A188</f>
        <v>7</v>
      </c>
      <c r="B190" s="501"/>
      <c r="C190" s="501" t="s">
        <v>292</v>
      </c>
      <c r="D190" s="501"/>
      <c r="E190" s="501"/>
      <c r="F190" s="501"/>
      <c r="G190" s="743">
        <f>+G186-G188</f>
        <v>-447847</v>
      </c>
      <c r="H190" s="807"/>
      <c r="I190" s="806"/>
      <c r="J190" s="510"/>
    </row>
    <row r="191" spans="1:10" ht="12.75" customHeight="1" x14ac:dyDescent="0.2">
      <c r="A191" s="505"/>
      <c r="B191" s="501"/>
      <c r="C191" s="501"/>
      <c r="D191" s="501"/>
      <c r="E191" s="501"/>
      <c r="F191" s="501"/>
      <c r="G191" s="743"/>
      <c r="H191" s="500"/>
      <c r="I191" s="806"/>
      <c r="J191" s="510"/>
    </row>
    <row r="192" spans="1:10" ht="12.75" customHeight="1" x14ac:dyDescent="0.2">
      <c r="A192" s="505">
        <f>1+A190</f>
        <v>8</v>
      </c>
      <c r="B192" s="501"/>
      <c r="C192" s="501" t="s">
        <v>1209</v>
      </c>
      <c r="D192" s="501"/>
      <c r="E192" s="501"/>
      <c r="F192" s="505" t="s">
        <v>1210</v>
      </c>
      <c r="G192" s="743">
        <f>+'Schedule M Input'!C42</f>
        <v>467902.91</v>
      </c>
      <c r="H192" s="500"/>
      <c r="I192" s="806"/>
      <c r="J192" s="510"/>
    </row>
    <row r="193" spans="1:10" ht="12.75" customHeight="1" x14ac:dyDescent="0.2">
      <c r="A193" s="505"/>
      <c r="B193" s="501"/>
      <c r="C193" s="501"/>
      <c r="D193" s="501"/>
      <c r="E193" s="501"/>
      <c r="F193" s="505" t="s">
        <v>161</v>
      </c>
      <c r="G193" s="743"/>
      <c r="H193" s="500"/>
      <c r="I193" s="806"/>
      <c r="J193" s="510"/>
    </row>
    <row r="194" spans="1:10" ht="12.75" customHeight="1" x14ac:dyDescent="0.2">
      <c r="A194" s="505"/>
      <c r="B194" s="501"/>
      <c r="C194" s="501"/>
      <c r="D194" s="501"/>
      <c r="E194" s="501"/>
      <c r="F194" s="501"/>
      <c r="G194" s="743"/>
      <c r="H194" s="500"/>
      <c r="I194" s="806"/>
      <c r="J194" s="510"/>
    </row>
    <row r="195" spans="1:10" ht="12.75" customHeight="1" x14ac:dyDescent="0.2">
      <c r="A195" s="505">
        <f>1+A192</f>
        <v>9</v>
      </c>
      <c r="B195" s="501"/>
      <c r="C195" s="501" t="s">
        <v>290</v>
      </c>
      <c r="D195" s="501"/>
      <c r="E195" s="501"/>
      <c r="F195" s="501"/>
      <c r="G195" s="977">
        <v>538664</v>
      </c>
      <c r="H195" s="500"/>
      <c r="I195" s="806"/>
      <c r="J195" s="510"/>
    </row>
    <row r="196" spans="1:10" ht="12.75" customHeight="1" x14ac:dyDescent="0.2">
      <c r="A196" s="505"/>
      <c r="B196" s="501"/>
      <c r="C196" s="501"/>
      <c r="D196" s="501"/>
      <c r="E196" s="501"/>
      <c r="F196" s="501"/>
      <c r="G196" s="743"/>
      <c r="H196" s="500"/>
      <c r="I196" s="806"/>
      <c r="J196" s="510"/>
    </row>
    <row r="197" spans="1:10" ht="12.75" customHeight="1" x14ac:dyDescent="0.2">
      <c r="A197" s="505">
        <f>1+A195</f>
        <v>10</v>
      </c>
      <c r="B197" s="501"/>
      <c r="C197" s="501" t="s">
        <v>291</v>
      </c>
      <c r="D197" s="501"/>
      <c r="E197" s="501"/>
      <c r="F197" s="505"/>
      <c r="G197" s="741">
        <f>+G192-G195</f>
        <v>-70761.090000000026</v>
      </c>
      <c r="I197" s="806"/>
      <c r="J197" s="510"/>
    </row>
    <row r="198" spans="1:10" ht="12.75" customHeight="1" x14ac:dyDescent="0.2">
      <c r="A198" s="505"/>
      <c r="B198" s="501"/>
      <c r="C198" s="501"/>
      <c r="D198" s="501"/>
      <c r="E198" s="501"/>
      <c r="F198" s="501"/>
      <c r="G198" s="743"/>
      <c r="H198" s="500"/>
      <c r="I198" s="806"/>
      <c r="J198" s="510"/>
    </row>
    <row r="199" spans="1:10" ht="12.75" customHeight="1" x14ac:dyDescent="0.2">
      <c r="A199" s="505">
        <f>1+A197</f>
        <v>11</v>
      </c>
      <c r="B199" s="501"/>
      <c r="C199" s="501" t="s">
        <v>1574</v>
      </c>
      <c r="D199" s="501"/>
      <c r="E199" s="501"/>
      <c r="F199" s="501"/>
      <c r="G199" s="507">
        <v>1</v>
      </c>
      <c r="H199" s="500"/>
      <c r="I199" s="806"/>
      <c r="J199" s="510"/>
    </row>
    <row r="200" spans="1:10" ht="12.75" customHeight="1" x14ac:dyDescent="0.2">
      <c r="A200" s="505"/>
      <c r="B200" s="501"/>
      <c r="C200" s="501"/>
      <c r="D200" s="501"/>
      <c r="E200" s="501"/>
      <c r="F200" s="501"/>
      <c r="G200" s="501"/>
      <c r="H200" s="500"/>
      <c r="I200" s="806"/>
      <c r="J200" s="510"/>
    </row>
    <row r="201" spans="1:10" ht="12.75" customHeight="1" x14ac:dyDescent="0.2">
      <c r="A201" s="505">
        <f>1+A199</f>
        <v>12</v>
      </c>
      <c r="B201" s="501"/>
      <c r="C201" s="501" t="s">
        <v>1575</v>
      </c>
      <c r="D201" s="501"/>
      <c r="E201" s="501"/>
      <c r="F201" s="501"/>
      <c r="G201" s="741">
        <f>+G197+G190</f>
        <v>-518608.09</v>
      </c>
      <c r="H201" s="500"/>
      <c r="I201" s="510"/>
      <c r="J201" s="510"/>
    </row>
    <row r="202" spans="1:10" ht="12.75" customHeight="1" x14ac:dyDescent="0.2">
      <c r="A202" s="505"/>
      <c r="B202" s="501"/>
      <c r="C202" s="501"/>
      <c r="D202" s="501"/>
      <c r="E202" s="501"/>
      <c r="F202" s="501"/>
      <c r="G202" s="501"/>
      <c r="H202" s="500"/>
      <c r="I202" s="807"/>
      <c r="J202" s="807"/>
    </row>
    <row r="203" spans="1:10" ht="12.75" customHeight="1" x14ac:dyDescent="0.2">
      <c r="A203" s="505"/>
      <c r="B203" s="501"/>
      <c r="C203" s="501"/>
      <c r="D203" s="501"/>
      <c r="E203" s="501"/>
      <c r="F203" s="501"/>
      <c r="G203" s="501"/>
      <c r="H203" s="500"/>
      <c r="I203" s="807"/>
      <c r="J203" s="807"/>
    </row>
    <row r="204" spans="1:10" ht="12.75" customHeight="1" x14ac:dyDescent="0.2">
      <c r="A204" s="1436" t="s">
        <v>477</v>
      </c>
      <c r="B204" s="1436"/>
      <c r="C204" s="1436"/>
      <c r="D204" s="1436"/>
      <c r="E204" s="1436"/>
      <c r="F204" s="1436"/>
      <c r="G204" s="1436"/>
      <c r="H204" s="500"/>
      <c r="I204" s="500"/>
      <c r="J204" s="500"/>
    </row>
    <row r="205" spans="1:10" ht="12.75" customHeight="1" x14ac:dyDescent="0.2">
      <c r="A205" s="1436" t="str">
        <f>+Input!C4</f>
        <v>CASE NO. 2017-xxxxx</v>
      </c>
      <c r="B205" s="1436"/>
      <c r="C205" s="1436"/>
      <c r="D205" s="1436"/>
      <c r="E205" s="1436"/>
      <c r="F205" s="1436"/>
      <c r="G205" s="1436"/>
      <c r="H205" s="500"/>
      <c r="I205" s="500"/>
      <c r="J205" s="500"/>
    </row>
    <row r="206" spans="1:10" ht="12.75" customHeight="1" x14ac:dyDescent="0.2">
      <c r="A206" s="1436" t="s">
        <v>1500</v>
      </c>
      <c r="B206" s="1436"/>
      <c r="C206" s="1436"/>
      <c r="D206" s="1436"/>
      <c r="E206" s="1436"/>
      <c r="F206" s="1436"/>
      <c r="G206" s="1436"/>
      <c r="H206" s="500"/>
      <c r="I206" s="500"/>
      <c r="J206" s="500"/>
    </row>
    <row r="207" spans="1:10" ht="12.75" customHeight="1" x14ac:dyDescent="0.2">
      <c r="A207" s="1437" t="s">
        <v>1576</v>
      </c>
      <c r="B207" s="1437"/>
      <c r="C207" s="1437"/>
      <c r="D207" s="1437"/>
      <c r="E207" s="1437"/>
      <c r="F207" s="1437"/>
      <c r="G207" s="1437"/>
      <c r="H207" s="500"/>
      <c r="I207" s="500"/>
      <c r="J207" s="500"/>
    </row>
    <row r="208" spans="1:10" ht="12.75" customHeight="1" x14ac:dyDescent="0.2">
      <c r="A208" s="1436" t="str">
        <f>+Input!C6</f>
        <v>TWELVE MONTHS ENDED DECEMBER 31, 2017</v>
      </c>
      <c r="B208" s="1436"/>
      <c r="C208" s="1436"/>
      <c r="D208" s="1436"/>
      <c r="E208" s="1436"/>
      <c r="F208" s="1436"/>
      <c r="G208" s="1436"/>
      <c r="H208" s="500"/>
      <c r="I208" s="500"/>
      <c r="J208" s="500"/>
    </row>
    <row r="209" spans="1:10" ht="12.75" customHeight="1" x14ac:dyDescent="0.2">
      <c r="A209" s="505"/>
      <c r="B209" s="501"/>
      <c r="C209" s="501"/>
      <c r="D209" s="501"/>
      <c r="E209" s="501"/>
      <c r="F209" s="501"/>
      <c r="G209" s="501"/>
      <c r="H209" s="500"/>
      <c r="I209" s="500"/>
      <c r="J209" s="500"/>
    </row>
    <row r="210" spans="1:10" ht="12.75" customHeight="1" x14ac:dyDescent="0.2">
      <c r="A210" s="505"/>
      <c r="B210" s="501"/>
      <c r="C210" s="501"/>
      <c r="D210" s="501"/>
      <c r="E210" s="501"/>
      <c r="F210" s="501"/>
      <c r="G210" s="501"/>
      <c r="H210" s="500"/>
      <c r="I210" s="500"/>
      <c r="J210" s="500"/>
    </row>
    <row r="211" spans="1:10" ht="12.75" customHeight="1" x14ac:dyDescent="0.2">
      <c r="A211" s="501" t="s">
        <v>1502</v>
      </c>
      <c r="B211" s="501"/>
      <c r="D211" s="501"/>
      <c r="E211" s="501"/>
      <c r="F211" s="501"/>
      <c r="G211" s="502" t="s">
        <v>1503</v>
      </c>
      <c r="H211" s="500"/>
      <c r="I211" s="500"/>
      <c r="J211" s="500"/>
    </row>
    <row r="212" spans="1:10" ht="12.75" customHeight="1" x14ac:dyDescent="0.2">
      <c r="A212" s="501" t="s">
        <v>847</v>
      </c>
      <c r="B212" s="501"/>
      <c r="D212" s="501"/>
      <c r="E212" s="501"/>
      <c r="F212" s="501"/>
      <c r="G212" s="502" t="s">
        <v>289</v>
      </c>
      <c r="H212" s="500"/>
      <c r="I212" s="500"/>
      <c r="J212" s="500"/>
    </row>
    <row r="213" spans="1:10" ht="12.75" customHeight="1" x14ac:dyDescent="0.2">
      <c r="A213" s="503" t="s">
        <v>1504</v>
      </c>
      <c r="B213" s="503"/>
      <c r="C213" s="776"/>
      <c r="D213" s="503"/>
      <c r="E213" s="503"/>
      <c r="F213" s="503"/>
      <c r="G213" s="504" t="str">
        <f>+Input!E27</f>
        <v>WITNESS:  C. Y. LAI</v>
      </c>
      <c r="H213" s="500"/>
      <c r="I213" s="500"/>
      <c r="J213" s="500"/>
    </row>
    <row r="214" spans="1:10" ht="12.75" customHeight="1" x14ac:dyDescent="0.2">
      <c r="A214" s="510"/>
      <c r="B214" s="501"/>
      <c r="D214" s="510"/>
      <c r="E214" s="510"/>
      <c r="F214" s="510"/>
      <c r="G214" s="775"/>
      <c r="H214" s="500"/>
      <c r="I214" s="500"/>
      <c r="J214" s="500"/>
    </row>
    <row r="215" spans="1:10" ht="12.75" customHeight="1" x14ac:dyDescent="0.2">
      <c r="A215" s="471" t="s">
        <v>493</v>
      </c>
      <c r="B215" s="501"/>
      <c r="C215" s="501"/>
      <c r="D215" s="501"/>
      <c r="E215" s="501"/>
      <c r="F215" s="501"/>
      <c r="G215" s="501"/>
      <c r="H215" s="500"/>
      <c r="I215" s="500"/>
      <c r="J215" s="500"/>
    </row>
    <row r="216" spans="1:10" ht="12.75" customHeight="1" x14ac:dyDescent="0.2">
      <c r="A216" s="771" t="s">
        <v>496</v>
      </c>
      <c r="B216" s="503"/>
      <c r="C216" s="503" t="s">
        <v>1505</v>
      </c>
      <c r="D216" s="503"/>
      <c r="E216" s="503"/>
      <c r="F216" s="503"/>
      <c r="G216" s="777" t="s">
        <v>1248</v>
      </c>
      <c r="H216" s="500"/>
      <c r="I216" s="500"/>
      <c r="J216" s="500"/>
    </row>
    <row r="217" spans="1:10" ht="12.75" customHeight="1" x14ac:dyDescent="0.2">
      <c r="A217" s="505"/>
      <c r="B217" s="501"/>
      <c r="C217" s="501"/>
      <c r="D217" s="501"/>
      <c r="E217" s="501"/>
      <c r="F217" s="501"/>
      <c r="G217" s="505" t="s">
        <v>500</v>
      </c>
      <c r="H217" s="500"/>
      <c r="I217" s="500"/>
      <c r="J217" s="500"/>
    </row>
    <row r="218" spans="1:10" ht="12.75" customHeight="1" x14ac:dyDescent="0.2">
      <c r="A218" s="505"/>
      <c r="B218" s="501"/>
      <c r="C218" s="501"/>
      <c r="D218" s="501"/>
      <c r="E218" s="501"/>
      <c r="F218" s="501"/>
      <c r="G218" s="501"/>
      <c r="H218" s="500"/>
      <c r="I218" s="500"/>
      <c r="J218" s="500"/>
    </row>
    <row r="219" spans="1:10" ht="12.75" customHeight="1" x14ac:dyDescent="0.2">
      <c r="A219" s="505"/>
      <c r="B219" s="501"/>
      <c r="C219" s="501" t="s">
        <v>1577</v>
      </c>
      <c r="D219" s="501"/>
      <c r="E219" s="501"/>
      <c r="F219" s="501"/>
      <c r="G219" s="501"/>
      <c r="H219" s="500"/>
      <c r="I219" s="500"/>
      <c r="J219" s="500"/>
    </row>
    <row r="220" spans="1:10" ht="12.75" customHeight="1" x14ac:dyDescent="0.2">
      <c r="A220" s="505"/>
      <c r="B220" s="501"/>
      <c r="C220" s="501" t="s">
        <v>1286</v>
      </c>
      <c r="D220" s="501"/>
      <c r="E220" s="501"/>
      <c r="F220" s="505" t="s">
        <v>1509</v>
      </c>
      <c r="G220" s="501"/>
      <c r="H220" s="500"/>
      <c r="I220" s="500"/>
      <c r="J220" s="500"/>
    </row>
    <row r="221" spans="1:10" ht="12.75" customHeight="1" x14ac:dyDescent="0.2">
      <c r="A221" s="505"/>
      <c r="B221" s="501"/>
      <c r="C221" s="501"/>
      <c r="D221" s="501"/>
      <c r="E221" s="501"/>
      <c r="F221" s="501"/>
      <c r="G221" s="501"/>
      <c r="H221" s="500"/>
      <c r="I221" s="500"/>
      <c r="J221" s="500"/>
    </row>
    <row r="222" spans="1:10" ht="12.75" customHeight="1" x14ac:dyDescent="0.2">
      <c r="A222" s="505">
        <v>1</v>
      </c>
      <c r="B222" s="501"/>
      <c r="C222" s="501" t="s">
        <v>1578</v>
      </c>
      <c r="D222" s="501"/>
      <c r="E222" s="501"/>
      <c r="F222" s="505" t="s">
        <v>575</v>
      </c>
      <c r="G222" s="741" t="e">
        <f>+'Attachment CYL - 1'!#REF!</f>
        <v>#REF!</v>
      </c>
      <c r="H222" s="500"/>
      <c r="I222" s="500"/>
      <c r="J222" s="500"/>
    </row>
    <row r="223" spans="1:10" ht="12.75" customHeight="1" x14ac:dyDescent="0.2">
      <c r="A223" s="505"/>
      <c r="B223" s="501"/>
      <c r="C223" s="501"/>
      <c r="D223" s="501"/>
      <c r="E223" s="501"/>
      <c r="F223" s="501"/>
      <c r="G223" s="501"/>
      <c r="H223" s="500"/>
      <c r="I223" s="500"/>
      <c r="J223" s="500"/>
    </row>
    <row r="224" spans="1:10" ht="12.75" customHeight="1" x14ac:dyDescent="0.2">
      <c r="A224" s="505">
        <f>1+A222</f>
        <v>2</v>
      </c>
      <c r="B224" s="501"/>
      <c r="C224" s="501" t="s">
        <v>1570</v>
      </c>
      <c r="D224" s="501"/>
      <c r="E224" s="501"/>
      <c r="F224" s="505" t="s">
        <v>112</v>
      </c>
      <c r="G224" s="513">
        <f>+'Gross Conversion Factor H-1'!F17</f>
        <v>1.9009999999999999E-3</v>
      </c>
      <c r="H224" s="500"/>
      <c r="I224" s="500"/>
      <c r="J224" s="500"/>
    </row>
    <row r="225" spans="1:10" ht="12.75" customHeight="1" x14ac:dyDescent="0.2">
      <c r="A225" s="505"/>
      <c r="B225" s="501"/>
      <c r="C225" s="501"/>
      <c r="D225" s="501"/>
      <c r="E225" s="501"/>
      <c r="F225" s="501"/>
      <c r="G225" s="501"/>
      <c r="H225" s="500"/>
      <c r="I225" s="500"/>
      <c r="J225" s="500"/>
    </row>
    <row r="226" spans="1:10" ht="12.75" customHeight="1" x14ac:dyDescent="0.2">
      <c r="A226" s="505">
        <f>1+A224</f>
        <v>3</v>
      </c>
      <c r="B226" s="501"/>
      <c r="C226" s="501" t="s">
        <v>111</v>
      </c>
      <c r="D226" s="501"/>
      <c r="E226" s="501"/>
      <c r="F226" s="501"/>
      <c r="G226" s="741" t="e">
        <f>ROUND(G222*G224,0)</f>
        <v>#REF!</v>
      </c>
      <c r="H226" s="500"/>
      <c r="I226" s="500"/>
      <c r="J226" s="500"/>
    </row>
    <row r="227" spans="1:10" ht="12.75" customHeight="1" x14ac:dyDescent="0.2">
      <c r="A227" s="505"/>
      <c r="B227" s="501"/>
      <c r="C227" s="501"/>
      <c r="D227" s="501"/>
      <c r="E227" s="501"/>
      <c r="F227" s="501"/>
      <c r="G227" s="741"/>
      <c r="H227" s="500"/>
      <c r="I227" s="500"/>
      <c r="J227" s="500"/>
    </row>
    <row r="228" spans="1:10" ht="12.75" customHeight="1" x14ac:dyDescent="0.2">
      <c r="A228" s="505">
        <f>1+A226</f>
        <v>4</v>
      </c>
      <c r="B228" s="501"/>
      <c r="C228" s="501" t="s">
        <v>1572</v>
      </c>
      <c r="D228" s="501"/>
      <c r="E228" s="501"/>
      <c r="F228" s="501"/>
      <c r="G228" s="975">
        <v>250082</v>
      </c>
      <c r="H228" s="500"/>
      <c r="I228" s="500"/>
      <c r="J228" s="500"/>
    </row>
    <row r="229" spans="1:10" ht="12.75" customHeight="1" x14ac:dyDescent="0.2">
      <c r="A229" s="505"/>
      <c r="B229" s="501"/>
      <c r="C229" s="501"/>
      <c r="D229" s="501"/>
      <c r="E229" s="501"/>
      <c r="F229" s="501"/>
      <c r="G229" s="741"/>
      <c r="H229" s="500"/>
      <c r="I229" s="500"/>
      <c r="J229" s="500"/>
    </row>
    <row r="230" spans="1:10" ht="12.75" customHeight="1" x14ac:dyDescent="0.2">
      <c r="A230" s="505">
        <f>1+A228</f>
        <v>5</v>
      </c>
      <c r="B230" s="501"/>
      <c r="C230" s="501" t="s">
        <v>1573</v>
      </c>
      <c r="D230" s="501"/>
      <c r="E230" s="501"/>
      <c r="F230" s="501"/>
      <c r="G230" s="741" t="e">
        <f>+G226-G228</f>
        <v>#REF!</v>
      </c>
      <c r="H230" s="500"/>
      <c r="I230" s="500"/>
      <c r="J230" s="500"/>
    </row>
    <row r="231" spans="1:10" ht="12.75" customHeight="1" x14ac:dyDescent="0.2">
      <c r="A231" s="505"/>
      <c r="B231" s="501"/>
      <c r="C231" s="501"/>
      <c r="D231" s="501"/>
      <c r="E231" s="501"/>
      <c r="F231" s="501"/>
      <c r="G231" s="501"/>
      <c r="H231" s="500"/>
      <c r="I231" s="500"/>
      <c r="J231" s="500"/>
    </row>
    <row r="232" spans="1:10" ht="12.75" customHeight="1" x14ac:dyDescent="0.2">
      <c r="A232" s="505">
        <f>1+A230</f>
        <v>6</v>
      </c>
      <c r="B232" s="501"/>
      <c r="C232" s="501" t="s">
        <v>1574</v>
      </c>
      <c r="D232" s="501"/>
      <c r="E232" s="501"/>
      <c r="F232" s="501"/>
      <c r="G232" s="507">
        <v>1</v>
      </c>
      <c r="H232" s="500"/>
      <c r="I232" s="500"/>
      <c r="J232" s="500"/>
    </row>
    <row r="233" spans="1:10" ht="12.75" customHeight="1" x14ac:dyDescent="0.2">
      <c r="A233" s="505"/>
      <c r="B233" s="501"/>
      <c r="C233" s="501"/>
      <c r="D233" s="501"/>
      <c r="E233" s="501"/>
      <c r="F233" s="501"/>
      <c r="G233" s="501"/>
      <c r="H233" s="500"/>
      <c r="I233" s="500"/>
      <c r="J233" s="500"/>
    </row>
    <row r="234" spans="1:10" ht="12.75" customHeight="1" x14ac:dyDescent="0.2">
      <c r="A234" s="505">
        <f>1+A232</f>
        <v>7</v>
      </c>
      <c r="B234" s="501"/>
      <c r="C234" s="501" t="s">
        <v>1575</v>
      </c>
      <c r="D234" s="501"/>
      <c r="E234" s="501"/>
      <c r="F234" s="501"/>
      <c r="G234" s="741" t="e">
        <f>ROUND(G230*G232,0)</f>
        <v>#REF!</v>
      </c>
      <c r="H234" s="500"/>
      <c r="I234" s="500"/>
      <c r="J234" s="500"/>
    </row>
    <row r="235" spans="1:10" ht="12.75" customHeight="1" x14ac:dyDescent="0.2">
      <c r="A235" s="505"/>
      <c r="B235" s="501"/>
      <c r="C235" s="501"/>
      <c r="D235" s="501"/>
      <c r="E235" s="501"/>
      <c r="F235" s="501"/>
      <c r="G235" s="501"/>
      <c r="H235" s="500"/>
      <c r="I235" s="500"/>
      <c r="J235" s="500"/>
    </row>
    <row r="236" spans="1:10" ht="12.75" customHeight="1" x14ac:dyDescent="0.2">
      <c r="A236" s="505"/>
      <c r="B236" s="501"/>
      <c r="C236" s="501"/>
      <c r="D236" s="501"/>
      <c r="E236" s="501"/>
      <c r="F236" s="501"/>
      <c r="G236" s="501"/>
      <c r="H236" s="500"/>
      <c r="I236" s="500"/>
      <c r="J236" s="500"/>
    </row>
    <row r="237" spans="1:10" ht="12.75" customHeight="1" x14ac:dyDescent="0.2">
      <c r="A237" s="505"/>
      <c r="B237" s="501"/>
      <c r="C237" s="501"/>
      <c r="D237" s="501"/>
      <c r="E237" s="501"/>
      <c r="F237" s="501"/>
      <c r="G237" s="501"/>
      <c r="H237" s="500"/>
      <c r="I237" s="500"/>
      <c r="J237" s="500"/>
    </row>
    <row r="238" spans="1:10" ht="12.75" customHeight="1" x14ac:dyDescent="0.2">
      <c r="A238" s="505"/>
      <c r="B238" s="501"/>
      <c r="C238" s="501"/>
      <c r="D238" s="501"/>
      <c r="E238" s="501"/>
      <c r="F238" s="501"/>
      <c r="G238" s="501"/>
      <c r="H238" s="500"/>
      <c r="I238" s="500"/>
      <c r="J238" s="500"/>
    </row>
    <row r="239" spans="1:10" ht="12.75" customHeight="1" x14ac:dyDescent="0.2">
      <c r="A239" s="505"/>
      <c r="B239" s="501"/>
      <c r="C239" s="501"/>
      <c r="D239" s="501"/>
      <c r="E239" s="501"/>
      <c r="F239" s="501"/>
      <c r="G239" s="501"/>
      <c r="H239" s="500"/>
      <c r="I239" s="500"/>
      <c r="J239" s="500"/>
    </row>
    <row r="240" spans="1:10" ht="12.75" customHeight="1" x14ac:dyDescent="0.2">
      <c r="A240" s="505"/>
      <c r="B240" s="501"/>
      <c r="C240" s="501"/>
      <c r="D240" s="501"/>
      <c r="E240" s="501"/>
      <c r="F240" s="501"/>
      <c r="G240" s="501"/>
      <c r="H240" s="500"/>
      <c r="I240" s="500"/>
      <c r="J240" s="500"/>
    </row>
    <row r="241" spans="1:10" ht="12.75" customHeight="1" x14ac:dyDescent="0.2">
      <c r="A241" s="505"/>
      <c r="B241" s="501"/>
      <c r="C241" s="501"/>
      <c r="D241" s="501"/>
      <c r="E241" s="501"/>
      <c r="F241" s="501"/>
      <c r="G241" s="501"/>
      <c r="H241" s="500"/>
      <c r="I241" s="500"/>
      <c r="J241" s="500"/>
    </row>
    <row r="242" spans="1:10" ht="12.75" customHeight="1" x14ac:dyDescent="0.2">
      <c r="A242" s="505"/>
      <c r="B242" s="501"/>
      <c r="C242" s="501"/>
      <c r="D242" s="501"/>
      <c r="E242" s="501"/>
      <c r="F242" s="501"/>
      <c r="G242" s="501"/>
      <c r="H242" s="500"/>
      <c r="I242" s="500"/>
      <c r="J242" s="500"/>
    </row>
    <row r="243" spans="1:10" ht="12.75" customHeight="1" x14ac:dyDescent="0.2">
      <c r="A243" s="505"/>
      <c r="B243" s="501"/>
      <c r="C243" s="501"/>
      <c r="D243" s="501"/>
      <c r="E243" s="501"/>
      <c r="F243" s="501"/>
      <c r="G243" s="501"/>
      <c r="H243" s="500"/>
      <c r="I243" s="500"/>
      <c r="J243" s="500"/>
    </row>
    <row r="244" spans="1:10" ht="12.75" customHeight="1" x14ac:dyDescent="0.2">
      <c r="A244" s="505"/>
      <c r="B244" s="501"/>
      <c r="C244" s="501"/>
      <c r="D244" s="501"/>
      <c r="E244" s="501"/>
      <c r="F244" s="501"/>
      <c r="G244" s="501"/>
      <c r="H244" s="500"/>
      <c r="I244" s="500"/>
      <c r="J244" s="500"/>
    </row>
    <row r="245" spans="1:10" ht="12.75" customHeight="1" x14ac:dyDescent="0.2">
      <c r="A245" s="505"/>
      <c r="B245" s="501"/>
      <c r="C245" s="501"/>
      <c r="D245" s="501"/>
      <c r="E245" s="501"/>
      <c r="F245" s="501"/>
      <c r="G245" s="501"/>
      <c r="H245" s="500"/>
      <c r="I245" s="500"/>
      <c r="J245" s="500"/>
    </row>
    <row r="246" spans="1:10" ht="12.75" customHeight="1" x14ac:dyDescent="0.2">
      <c r="A246" s="505"/>
      <c r="B246" s="501"/>
      <c r="C246" s="501"/>
      <c r="D246" s="501"/>
      <c r="E246" s="501"/>
      <c r="F246" s="501"/>
      <c r="G246" s="501"/>
      <c r="H246" s="500"/>
      <c r="I246" s="500"/>
      <c r="J246" s="500"/>
    </row>
    <row r="247" spans="1:10" ht="12.75" customHeight="1" x14ac:dyDescent="0.2">
      <c r="A247" s="505"/>
      <c r="B247" s="501"/>
      <c r="C247" s="501"/>
      <c r="D247" s="501"/>
      <c r="E247" s="501"/>
      <c r="F247" s="501"/>
      <c r="G247" s="501"/>
      <c r="H247" s="500"/>
      <c r="I247" s="500"/>
      <c r="J247" s="500"/>
    </row>
    <row r="248" spans="1:10" ht="12.75" customHeight="1" x14ac:dyDescent="0.2">
      <c r="A248" s="505"/>
      <c r="B248" s="501"/>
      <c r="C248" s="501"/>
      <c r="D248" s="501"/>
      <c r="E248" s="501"/>
      <c r="F248" s="501"/>
      <c r="G248" s="501"/>
      <c r="H248" s="500"/>
      <c r="I248" s="500"/>
      <c r="J248" s="500"/>
    </row>
    <row r="249" spans="1:10" ht="12.75" customHeight="1" x14ac:dyDescent="0.2">
      <c r="A249" s="505"/>
      <c r="B249" s="501"/>
      <c r="C249" s="501"/>
      <c r="D249" s="501"/>
      <c r="E249" s="501"/>
      <c r="F249" s="501"/>
      <c r="G249" s="501"/>
      <c r="H249" s="500"/>
      <c r="I249" s="500"/>
      <c r="J249" s="500"/>
    </row>
    <row r="250" spans="1:10" ht="12.75" customHeight="1" x14ac:dyDescent="0.2">
      <c r="A250" s="505"/>
      <c r="B250" s="501"/>
      <c r="C250" s="501"/>
      <c r="D250" s="501"/>
      <c r="E250" s="501"/>
      <c r="F250" s="501"/>
      <c r="G250" s="501"/>
      <c r="H250" s="500"/>
      <c r="I250" s="500"/>
      <c r="J250" s="500"/>
    </row>
    <row r="251" spans="1:10" ht="12.75" customHeight="1" x14ac:dyDescent="0.2">
      <c r="A251" s="505"/>
      <c r="B251" s="501"/>
      <c r="C251" s="501"/>
      <c r="D251" s="501"/>
      <c r="E251" s="501"/>
      <c r="F251" s="501"/>
      <c r="G251" s="501"/>
      <c r="H251" s="500"/>
      <c r="I251" s="500"/>
      <c r="J251" s="500"/>
    </row>
    <row r="252" spans="1:10" ht="12.75" customHeight="1" x14ac:dyDescent="0.2">
      <c r="A252" s="505"/>
      <c r="B252" s="501"/>
      <c r="C252" s="501"/>
      <c r="D252" s="501"/>
      <c r="E252" s="501"/>
      <c r="F252" s="501"/>
      <c r="G252" s="501"/>
      <c r="H252" s="500"/>
      <c r="I252" s="500"/>
      <c r="J252" s="500"/>
    </row>
    <row r="253" spans="1:10" ht="12.75" customHeight="1" x14ac:dyDescent="0.2">
      <c r="A253" s="505"/>
      <c r="B253" s="501"/>
      <c r="C253" s="501"/>
      <c r="D253" s="501"/>
      <c r="E253" s="501"/>
      <c r="F253" s="501"/>
      <c r="G253" s="501"/>
      <c r="H253" s="500"/>
      <c r="I253" s="500"/>
      <c r="J253" s="500"/>
    </row>
    <row r="254" spans="1:10" ht="12.75" customHeight="1" x14ac:dyDescent="0.2">
      <c r="A254" s="505"/>
      <c r="B254" s="501"/>
      <c r="C254" s="501"/>
      <c r="D254" s="501"/>
      <c r="E254" s="501"/>
      <c r="F254" s="501"/>
      <c r="G254" s="501"/>
      <c r="H254" s="500"/>
      <c r="I254" s="500"/>
      <c r="J254" s="500"/>
    </row>
    <row r="255" spans="1:10" ht="12.75" customHeight="1" x14ac:dyDescent="0.2">
      <c r="A255" s="505"/>
      <c r="B255" s="501"/>
      <c r="C255" s="501"/>
      <c r="D255" s="501"/>
      <c r="E255" s="501"/>
      <c r="F255" s="501"/>
      <c r="G255" s="501"/>
      <c r="H255" s="500"/>
      <c r="I255" s="500"/>
      <c r="J255" s="500"/>
    </row>
    <row r="256" spans="1:10" ht="12.75" customHeight="1" x14ac:dyDescent="0.2">
      <c r="A256" s="505"/>
      <c r="B256" s="501"/>
      <c r="C256" s="501"/>
      <c r="D256" s="501"/>
      <c r="E256" s="501"/>
      <c r="F256" s="501"/>
      <c r="G256" s="501"/>
      <c r="H256" s="500"/>
      <c r="I256" s="500"/>
      <c r="J256" s="500"/>
    </row>
    <row r="257" spans="1:10" ht="12.75" customHeight="1" x14ac:dyDescent="0.2">
      <c r="A257" s="505"/>
      <c r="B257" s="501"/>
      <c r="C257" s="501"/>
      <c r="D257" s="501"/>
      <c r="E257" s="501"/>
      <c r="F257" s="501"/>
      <c r="G257" s="501"/>
      <c r="H257" s="500"/>
      <c r="I257" s="500"/>
      <c r="J257" s="500"/>
    </row>
    <row r="258" spans="1:10" ht="12.75" customHeight="1" x14ac:dyDescent="0.2">
      <c r="A258" s="505"/>
      <c r="B258" s="501"/>
      <c r="C258" s="501"/>
      <c r="D258" s="501"/>
      <c r="E258" s="501"/>
      <c r="F258" s="501"/>
      <c r="G258" s="501"/>
      <c r="H258" s="500"/>
      <c r="I258" s="500"/>
      <c r="J258" s="500"/>
    </row>
    <row r="259" spans="1:10" ht="12.75" customHeight="1" x14ac:dyDescent="0.2">
      <c r="A259" s="505"/>
      <c r="B259" s="501"/>
      <c r="C259" s="501"/>
      <c r="D259" s="501"/>
      <c r="E259" s="501"/>
      <c r="F259" s="501"/>
      <c r="G259" s="501"/>
      <c r="H259" s="500"/>
      <c r="I259" s="500"/>
      <c r="J259" s="500"/>
    </row>
    <row r="260" spans="1:10" ht="12.75" customHeight="1" x14ac:dyDescent="0.2">
      <c r="A260" s="505"/>
      <c r="B260" s="501"/>
      <c r="C260" s="501"/>
      <c r="D260" s="501"/>
      <c r="E260" s="501"/>
      <c r="F260" s="501"/>
      <c r="G260" s="501"/>
      <c r="H260" s="500"/>
      <c r="I260" s="500"/>
      <c r="J260" s="500"/>
    </row>
    <row r="261" spans="1:10" ht="12.75" customHeight="1" x14ac:dyDescent="0.2">
      <c r="A261" s="505"/>
      <c r="B261" s="501"/>
      <c r="C261" s="501"/>
      <c r="D261" s="501"/>
      <c r="E261" s="501"/>
      <c r="F261" s="501"/>
      <c r="G261" s="501"/>
      <c r="H261" s="500"/>
      <c r="I261" s="500"/>
      <c r="J261" s="500"/>
    </row>
    <row r="262" spans="1:10" ht="12.75" customHeight="1" x14ac:dyDescent="0.2">
      <c r="A262" s="505"/>
      <c r="B262" s="501"/>
      <c r="C262" s="501"/>
      <c r="D262" s="501"/>
      <c r="E262" s="501"/>
      <c r="F262" s="501"/>
      <c r="G262" s="501"/>
      <c r="H262" s="500"/>
      <c r="I262" s="500"/>
      <c r="J262" s="500"/>
    </row>
    <row r="263" spans="1:10" ht="12.75" customHeight="1" x14ac:dyDescent="0.2">
      <c r="A263" s="505"/>
      <c r="B263" s="501"/>
      <c r="C263" s="501"/>
      <c r="D263" s="501"/>
      <c r="E263" s="501"/>
      <c r="F263" s="501"/>
      <c r="G263" s="501"/>
      <c r="H263" s="500"/>
      <c r="I263" s="500"/>
      <c r="J263" s="500"/>
    </row>
    <row r="264" spans="1:10" ht="12.75" customHeight="1" x14ac:dyDescent="0.2">
      <c r="A264" s="505"/>
      <c r="B264" s="501"/>
      <c r="C264" s="501"/>
      <c r="D264" s="501"/>
      <c r="E264" s="501"/>
      <c r="F264" s="501"/>
      <c r="G264" s="501"/>
      <c r="H264" s="500"/>
      <c r="I264" s="500"/>
      <c r="J264" s="500"/>
    </row>
    <row r="265" spans="1:10" ht="12.75" customHeight="1" x14ac:dyDescent="0.2">
      <c r="A265" s="505"/>
      <c r="B265" s="501"/>
      <c r="C265" s="501"/>
      <c r="D265" s="501"/>
      <c r="E265" s="501"/>
      <c r="F265" s="501"/>
      <c r="G265" s="501"/>
      <c r="H265" s="500"/>
      <c r="I265" s="500"/>
      <c r="J265" s="500"/>
    </row>
    <row r="266" spans="1:10" ht="12.75" customHeight="1" x14ac:dyDescent="0.2">
      <c r="A266" s="505"/>
      <c r="B266" s="501"/>
      <c r="C266" s="501"/>
      <c r="D266" s="501"/>
      <c r="E266" s="501"/>
      <c r="F266" s="501"/>
      <c r="G266" s="501"/>
      <c r="H266" s="500"/>
      <c r="I266" s="500"/>
      <c r="J266" s="500"/>
    </row>
    <row r="267" spans="1:10" ht="12.75" customHeight="1" x14ac:dyDescent="0.2">
      <c r="A267" s="505"/>
      <c r="B267" s="501"/>
      <c r="C267" s="501"/>
      <c r="D267" s="501"/>
      <c r="E267" s="501"/>
      <c r="F267" s="501"/>
      <c r="G267" s="501"/>
      <c r="H267" s="500"/>
      <c r="I267" s="500"/>
      <c r="J267" s="500"/>
    </row>
    <row r="268" spans="1:10" ht="12.75" customHeight="1" x14ac:dyDescent="0.2">
      <c r="A268" s="505"/>
      <c r="B268" s="501"/>
      <c r="C268" s="501"/>
      <c r="D268" s="501"/>
      <c r="E268" s="501"/>
      <c r="F268" s="501"/>
      <c r="G268" s="501"/>
      <c r="H268" s="500"/>
      <c r="I268" s="500"/>
      <c r="J268" s="500"/>
    </row>
    <row r="269" spans="1:10" ht="12.75" customHeight="1" x14ac:dyDescent="0.2">
      <c r="A269" s="505"/>
      <c r="B269" s="501"/>
      <c r="C269" s="501"/>
      <c r="D269" s="501"/>
      <c r="E269" s="501"/>
      <c r="F269" s="501"/>
      <c r="G269" s="501"/>
      <c r="H269" s="500"/>
      <c r="I269" s="500"/>
      <c r="J269" s="500"/>
    </row>
    <row r="270" spans="1:10" ht="12.75" customHeight="1" x14ac:dyDescent="0.2">
      <c r="A270" s="505"/>
      <c r="B270" s="501"/>
      <c r="C270" s="501"/>
      <c r="D270" s="501"/>
      <c r="E270" s="501"/>
      <c r="F270" s="501"/>
      <c r="G270" s="501"/>
      <c r="H270" s="500"/>
      <c r="I270" s="500"/>
      <c r="J270" s="500"/>
    </row>
    <row r="271" spans="1:10" ht="12.75" customHeight="1" x14ac:dyDescent="0.2">
      <c r="A271" s="505"/>
      <c r="B271" s="501"/>
      <c r="C271" s="501"/>
      <c r="D271" s="501"/>
      <c r="E271" s="501"/>
      <c r="F271" s="501"/>
      <c r="G271" s="501"/>
      <c r="H271" s="500"/>
      <c r="I271" s="500"/>
      <c r="J271" s="500"/>
    </row>
    <row r="272" spans="1:10" ht="12.75" customHeight="1" x14ac:dyDescent="0.2">
      <c r="A272" s="505"/>
      <c r="B272" s="501"/>
      <c r="C272" s="501"/>
      <c r="D272" s="501"/>
      <c r="E272" s="501"/>
      <c r="F272" s="501"/>
      <c r="G272" s="501"/>
      <c r="H272" s="500"/>
      <c r="I272" s="500"/>
      <c r="J272" s="500"/>
    </row>
    <row r="273" spans="1:10" ht="12.75" customHeight="1" x14ac:dyDescent="0.2">
      <c r="A273" s="505"/>
      <c r="B273" s="501"/>
      <c r="C273" s="501"/>
      <c r="D273" s="501"/>
      <c r="E273" s="501"/>
      <c r="F273" s="501"/>
      <c r="G273" s="501"/>
      <c r="H273" s="500"/>
      <c r="I273" s="500"/>
      <c r="J273" s="500"/>
    </row>
    <row r="274" spans="1:10" ht="12.75" customHeight="1" x14ac:dyDescent="0.2">
      <c r="A274" s="505"/>
      <c r="B274" s="501"/>
      <c r="C274" s="501"/>
      <c r="D274" s="501"/>
      <c r="E274" s="501"/>
      <c r="F274" s="501"/>
      <c r="G274" s="501"/>
      <c r="H274" s="500"/>
      <c r="I274" s="500"/>
      <c r="J274" s="500"/>
    </row>
    <row r="275" spans="1:10" ht="12.75" customHeight="1" x14ac:dyDescent="0.2">
      <c r="A275" s="505"/>
      <c r="B275" s="501"/>
      <c r="C275" s="501"/>
      <c r="D275" s="501"/>
      <c r="E275" s="501"/>
      <c r="F275" s="501"/>
      <c r="G275" s="501"/>
      <c r="H275" s="500"/>
      <c r="I275" s="500"/>
      <c r="J275" s="500"/>
    </row>
    <row r="276" spans="1:10" ht="12.75" customHeight="1" x14ac:dyDescent="0.2">
      <c r="A276" s="505"/>
      <c r="B276" s="501"/>
      <c r="C276" s="501"/>
      <c r="D276" s="501"/>
      <c r="E276" s="501"/>
      <c r="F276" s="501"/>
      <c r="G276" s="501"/>
      <c r="H276" s="500"/>
      <c r="I276" s="500"/>
      <c r="J276" s="500"/>
    </row>
    <row r="277" spans="1:10" ht="12.75" customHeight="1" x14ac:dyDescent="0.2">
      <c r="A277" s="505"/>
      <c r="B277" s="501"/>
      <c r="C277" s="501"/>
      <c r="D277" s="501"/>
      <c r="E277" s="501"/>
      <c r="F277" s="501"/>
      <c r="G277" s="501"/>
      <c r="H277" s="500"/>
      <c r="I277" s="500"/>
      <c r="J277" s="500"/>
    </row>
    <row r="278" spans="1:10" ht="12.75" customHeight="1" x14ac:dyDescent="0.2">
      <c r="A278" s="505"/>
      <c r="B278" s="501"/>
      <c r="C278" s="501"/>
      <c r="D278" s="501"/>
      <c r="E278" s="501"/>
      <c r="F278" s="501"/>
      <c r="G278" s="501"/>
      <c r="H278" s="500"/>
      <c r="I278" s="500"/>
      <c r="J278" s="500"/>
    </row>
    <row r="279" spans="1:10" ht="12.75" customHeight="1" x14ac:dyDescent="0.2">
      <c r="A279" s="505"/>
      <c r="B279" s="501"/>
      <c r="C279" s="501"/>
      <c r="D279" s="501"/>
      <c r="E279" s="501"/>
      <c r="F279" s="501"/>
      <c r="G279" s="501"/>
      <c r="H279" s="500"/>
      <c r="I279" s="500"/>
      <c r="J279" s="500"/>
    </row>
    <row r="280" spans="1:10" ht="12.75" customHeight="1" x14ac:dyDescent="0.2">
      <c r="A280" s="505"/>
      <c r="B280" s="501"/>
      <c r="C280" s="501"/>
      <c r="D280" s="501"/>
      <c r="E280" s="501"/>
      <c r="F280" s="501"/>
      <c r="G280" s="501"/>
      <c r="H280" s="500"/>
      <c r="I280" s="500"/>
      <c r="J280" s="500"/>
    </row>
    <row r="281" spans="1:10" ht="12.75" customHeight="1" x14ac:dyDescent="0.2">
      <c r="A281" s="505"/>
      <c r="B281" s="501"/>
      <c r="C281" s="501"/>
      <c r="D281" s="501"/>
      <c r="E281" s="501"/>
      <c r="F281" s="501"/>
      <c r="G281" s="501"/>
      <c r="H281" s="500"/>
      <c r="I281" s="500"/>
      <c r="J281" s="500"/>
    </row>
    <row r="282" spans="1:10" ht="12.75" customHeight="1" x14ac:dyDescent="0.2">
      <c r="A282" s="505"/>
      <c r="B282" s="501"/>
      <c r="C282" s="501"/>
      <c r="D282" s="501"/>
      <c r="E282" s="501"/>
      <c r="F282" s="501"/>
      <c r="G282" s="501"/>
      <c r="H282" s="500"/>
      <c r="I282" s="500"/>
      <c r="J282" s="500"/>
    </row>
    <row r="283" spans="1:10" ht="12.75" customHeight="1" x14ac:dyDescent="0.2">
      <c r="A283" s="505"/>
      <c r="B283" s="501"/>
      <c r="C283" s="501"/>
      <c r="D283" s="501"/>
      <c r="E283" s="501"/>
      <c r="F283" s="501"/>
      <c r="G283" s="501"/>
      <c r="H283" s="500"/>
      <c r="I283" s="500"/>
      <c r="J283" s="500"/>
    </row>
    <row r="284" spans="1:10" ht="12.75" customHeight="1" x14ac:dyDescent="0.2">
      <c r="A284" s="505"/>
      <c r="B284" s="501"/>
      <c r="C284" s="501"/>
      <c r="D284" s="501"/>
      <c r="E284" s="501"/>
      <c r="F284" s="501"/>
      <c r="G284" s="501"/>
      <c r="H284" s="500"/>
      <c r="I284" s="500"/>
      <c r="J284" s="500"/>
    </row>
    <row r="285" spans="1:10" ht="12.75" customHeight="1" x14ac:dyDescent="0.2">
      <c r="A285" s="505"/>
      <c r="B285" s="501"/>
      <c r="C285" s="501"/>
      <c r="D285" s="501"/>
      <c r="E285" s="501"/>
      <c r="F285" s="501"/>
      <c r="G285" s="501"/>
      <c r="H285" s="500"/>
      <c r="I285" s="500"/>
      <c r="J285" s="500"/>
    </row>
    <row r="286" spans="1:10" ht="12.75" customHeight="1" x14ac:dyDescent="0.2">
      <c r="A286" s="505"/>
      <c r="B286" s="501"/>
      <c r="C286" s="501"/>
      <c r="D286" s="501"/>
      <c r="E286" s="501"/>
      <c r="F286" s="501"/>
      <c r="G286" s="501"/>
      <c r="H286" s="500"/>
      <c r="I286" s="500"/>
      <c r="J286" s="500"/>
    </row>
    <row r="287" spans="1:10" ht="12.75" customHeight="1" x14ac:dyDescent="0.2">
      <c r="A287" s="505"/>
      <c r="B287" s="501"/>
      <c r="C287" s="501"/>
      <c r="D287" s="501"/>
      <c r="E287" s="501"/>
      <c r="F287" s="501"/>
      <c r="G287" s="501"/>
      <c r="H287" s="500"/>
      <c r="I287" s="500"/>
      <c r="J287" s="500"/>
    </row>
    <row r="288" spans="1:10" ht="12.75" customHeight="1" x14ac:dyDescent="0.2">
      <c r="A288" s="505"/>
      <c r="B288" s="501"/>
      <c r="C288" s="501"/>
      <c r="D288" s="501"/>
      <c r="E288" s="501"/>
      <c r="F288" s="501"/>
      <c r="G288" s="501"/>
      <c r="H288" s="500"/>
      <c r="I288" s="500"/>
      <c r="J288" s="500"/>
    </row>
    <row r="289" spans="1:10" ht="12.75" customHeight="1" x14ac:dyDescent="0.2">
      <c r="A289" s="505"/>
      <c r="B289" s="501"/>
      <c r="C289" s="501"/>
      <c r="D289" s="501"/>
      <c r="E289" s="501"/>
      <c r="F289" s="501"/>
      <c r="G289" s="501"/>
      <c r="H289" s="500"/>
      <c r="I289" s="500"/>
      <c r="J289" s="500"/>
    </row>
    <row r="290" spans="1:10" ht="12.75" customHeight="1" x14ac:dyDescent="0.2">
      <c r="A290" s="505"/>
      <c r="B290" s="501"/>
      <c r="C290" s="501"/>
      <c r="D290" s="501"/>
      <c r="E290" s="501"/>
      <c r="F290" s="501"/>
      <c r="G290" s="501"/>
      <c r="H290" s="500"/>
      <c r="I290" s="500"/>
      <c r="J290" s="500"/>
    </row>
    <row r="291" spans="1:10" ht="12.75" customHeight="1" x14ac:dyDescent="0.2">
      <c r="A291" s="505"/>
      <c r="B291" s="501"/>
      <c r="C291" s="501"/>
      <c r="D291" s="501"/>
      <c r="E291" s="501"/>
      <c r="F291" s="501"/>
      <c r="G291" s="501"/>
      <c r="H291" s="500"/>
      <c r="I291" s="500"/>
      <c r="J291" s="500"/>
    </row>
    <row r="292" spans="1:10" ht="12.75" customHeight="1" x14ac:dyDescent="0.2">
      <c r="A292" s="505"/>
      <c r="B292" s="501"/>
      <c r="C292" s="501"/>
      <c r="D292" s="501"/>
      <c r="E292" s="501"/>
      <c r="F292" s="501"/>
      <c r="G292" s="501"/>
      <c r="H292" s="500"/>
      <c r="I292" s="500"/>
      <c r="J292" s="500"/>
    </row>
    <row r="293" spans="1:10" ht="12.75" customHeight="1" x14ac:dyDescent="0.2">
      <c r="A293" s="505"/>
      <c r="B293" s="501"/>
      <c r="C293" s="501"/>
      <c r="D293" s="501"/>
      <c r="E293" s="501"/>
      <c r="F293" s="501"/>
      <c r="G293" s="501"/>
      <c r="H293" s="500"/>
      <c r="I293" s="500"/>
      <c r="J293" s="500"/>
    </row>
    <row r="294" spans="1:10" ht="12.75" customHeight="1" x14ac:dyDescent="0.2">
      <c r="A294" s="505"/>
      <c r="B294" s="501"/>
      <c r="C294" s="501"/>
      <c r="D294" s="501"/>
      <c r="E294" s="501"/>
      <c r="F294" s="501"/>
      <c r="G294" s="501"/>
      <c r="H294" s="500"/>
      <c r="I294" s="500"/>
      <c r="J294" s="500"/>
    </row>
    <row r="295" spans="1:10" ht="12.75" customHeight="1" x14ac:dyDescent="0.2">
      <c r="A295" s="505"/>
      <c r="B295" s="501"/>
      <c r="C295" s="501"/>
      <c r="D295" s="501"/>
      <c r="E295" s="501"/>
      <c r="F295" s="501"/>
      <c r="G295" s="501"/>
      <c r="H295" s="500"/>
      <c r="I295" s="500"/>
      <c r="J295" s="500"/>
    </row>
    <row r="296" spans="1:10" ht="12.75" customHeight="1" x14ac:dyDescent="0.2">
      <c r="A296" s="505"/>
      <c r="B296" s="501"/>
      <c r="C296" s="501"/>
      <c r="D296" s="501"/>
      <c r="E296" s="501"/>
      <c r="F296" s="501"/>
      <c r="G296" s="501"/>
      <c r="H296" s="500"/>
      <c r="I296" s="500"/>
      <c r="J296" s="500"/>
    </row>
    <row r="297" spans="1:10" ht="12.75" customHeight="1" x14ac:dyDescent="0.2">
      <c r="A297" s="505"/>
      <c r="B297" s="501"/>
      <c r="C297" s="501"/>
      <c r="D297" s="501"/>
      <c r="E297" s="501"/>
      <c r="F297" s="501"/>
      <c r="G297" s="501"/>
      <c r="H297" s="500"/>
      <c r="I297" s="500"/>
      <c r="J297" s="500"/>
    </row>
    <row r="298" spans="1:10" ht="12.75" customHeight="1" x14ac:dyDescent="0.2">
      <c r="A298" s="505"/>
      <c r="B298" s="501"/>
      <c r="C298" s="501"/>
      <c r="D298" s="501"/>
      <c r="E298" s="501"/>
      <c r="F298" s="501"/>
      <c r="G298" s="501"/>
      <c r="H298" s="500"/>
      <c r="I298" s="500"/>
      <c r="J298" s="500"/>
    </row>
    <row r="299" spans="1:10" ht="12.75" customHeight="1" x14ac:dyDescent="0.2">
      <c r="A299" s="505"/>
      <c r="B299" s="501"/>
      <c r="C299" s="501"/>
      <c r="D299" s="501"/>
      <c r="E299" s="501"/>
      <c r="F299" s="501"/>
      <c r="G299" s="501"/>
      <c r="H299" s="500"/>
      <c r="I299" s="500"/>
      <c r="J299" s="500"/>
    </row>
    <row r="300" spans="1:10" ht="12.75" customHeight="1" x14ac:dyDescent="0.2">
      <c r="A300" s="505"/>
      <c r="B300" s="501"/>
      <c r="C300" s="501"/>
      <c r="D300" s="501"/>
      <c r="E300" s="501"/>
      <c r="F300" s="501"/>
      <c r="G300" s="501"/>
      <c r="H300" s="500"/>
      <c r="I300" s="500"/>
      <c r="J300" s="500"/>
    </row>
    <row r="301" spans="1:10" ht="12.75" customHeight="1" x14ac:dyDescent="0.2">
      <c r="A301" s="505"/>
      <c r="B301" s="501"/>
      <c r="C301" s="501"/>
      <c r="D301" s="501"/>
      <c r="E301" s="501"/>
      <c r="F301" s="501"/>
      <c r="G301" s="501"/>
      <c r="H301" s="500"/>
      <c r="I301" s="500"/>
      <c r="J301" s="500"/>
    </row>
    <row r="302" spans="1:10" ht="12.75" customHeight="1" x14ac:dyDescent="0.2">
      <c r="A302" s="505"/>
      <c r="B302" s="501"/>
      <c r="C302" s="501"/>
      <c r="D302" s="501"/>
      <c r="E302" s="501"/>
      <c r="F302" s="501"/>
      <c r="G302" s="501"/>
      <c r="H302" s="500"/>
      <c r="I302" s="500"/>
      <c r="J302" s="500"/>
    </row>
    <row r="303" spans="1:10" ht="12.75" customHeight="1" x14ac:dyDescent="0.2">
      <c r="A303" s="505"/>
      <c r="B303" s="501"/>
      <c r="C303" s="501"/>
      <c r="D303" s="501"/>
      <c r="E303" s="501"/>
      <c r="F303" s="501"/>
      <c r="G303" s="501"/>
      <c r="H303" s="500"/>
      <c r="I303" s="500"/>
      <c r="J303" s="500"/>
    </row>
    <row r="304" spans="1:10" ht="12.75" customHeight="1" x14ac:dyDescent="0.2">
      <c r="A304" s="505"/>
      <c r="B304" s="501"/>
      <c r="C304" s="501"/>
      <c r="D304" s="501"/>
      <c r="E304" s="501"/>
      <c r="F304" s="501"/>
      <c r="G304" s="501"/>
      <c r="H304" s="500"/>
      <c r="I304" s="500"/>
      <c r="J304" s="500"/>
    </row>
    <row r="305" spans="1:10" ht="12.75" customHeight="1" x14ac:dyDescent="0.2">
      <c r="A305" s="505"/>
      <c r="B305" s="501"/>
      <c r="C305" s="501"/>
      <c r="D305" s="501"/>
      <c r="E305" s="501"/>
      <c r="F305" s="501"/>
      <c r="G305" s="501"/>
      <c r="H305" s="500"/>
      <c r="I305" s="500"/>
      <c r="J305" s="500"/>
    </row>
    <row r="306" spans="1:10" ht="12.75" customHeight="1" x14ac:dyDescent="0.2">
      <c r="A306" s="505"/>
      <c r="B306" s="501"/>
      <c r="C306" s="501"/>
      <c r="D306" s="501"/>
      <c r="E306" s="501"/>
      <c r="F306" s="501"/>
      <c r="G306" s="501"/>
      <c r="H306" s="500"/>
      <c r="I306" s="500"/>
      <c r="J306" s="500"/>
    </row>
    <row r="307" spans="1:10" ht="12.75" customHeight="1" x14ac:dyDescent="0.2">
      <c r="A307" s="505"/>
      <c r="B307" s="501"/>
      <c r="C307" s="501"/>
      <c r="D307" s="501"/>
      <c r="E307" s="501"/>
      <c r="F307" s="501"/>
      <c r="G307" s="501"/>
      <c r="H307" s="500"/>
      <c r="I307" s="500"/>
      <c r="J307" s="500"/>
    </row>
    <row r="308" spans="1:10" ht="12.75" customHeight="1" x14ac:dyDescent="0.2">
      <c r="A308" s="505"/>
      <c r="B308" s="501"/>
      <c r="C308" s="501"/>
      <c r="D308" s="501"/>
      <c r="E308" s="501"/>
      <c r="F308" s="501"/>
      <c r="G308" s="501"/>
      <c r="H308" s="500"/>
      <c r="I308" s="500"/>
      <c r="J308" s="500"/>
    </row>
    <row r="309" spans="1:10" ht="12.75" customHeight="1" x14ac:dyDescent="0.2">
      <c r="A309" s="505"/>
      <c r="B309" s="501"/>
      <c r="C309" s="501"/>
      <c r="D309" s="501"/>
      <c r="E309" s="501"/>
      <c r="F309" s="501"/>
      <c r="G309" s="501"/>
      <c r="H309" s="500"/>
      <c r="I309" s="500"/>
      <c r="J309" s="500"/>
    </row>
    <row r="310" spans="1:10" ht="12.75" customHeight="1" x14ac:dyDescent="0.2">
      <c r="A310" s="505"/>
      <c r="B310" s="501"/>
      <c r="C310" s="501"/>
      <c r="D310" s="501"/>
      <c r="E310" s="501"/>
      <c r="F310" s="501"/>
      <c r="G310" s="501"/>
      <c r="H310" s="500"/>
      <c r="I310" s="500"/>
      <c r="J310" s="500"/>
    </row>
    <row r="311" spans="1:10" ht="12.75" customHeight="1" x14ac:dyDescent="0.2">
      <c r="A311" s="505"/>
      <c r="B311" s="501"/>
      <c r="C311" s="501"/>
      <c r="D311" s="501"/>
      <c r="E311" s="501"/>
      <c r="F311" s="501"/>
      <c r="G311" s="501"/>
      <c r="H311" s="500"/>
      <c r="I311" s="500"/>
      <c r="J311" s="500"/>
    </row>
    <row r="312" spans="1:10" ht="12.75" customHeight="1" x14ac:dyDescent="0.2">
      <c r="A312" s="505"/>
      <c r="B312" s="501"/>
      <c r="C312" s="501"/>
      <c r="D312" s="501"/>
      <c r="E312" s="501"/>
      <c r="F312" s="501"/>
      <c r="G312" s="501"/>
      <c r="H312" s="500"/>
      <c r="I312" s="500"/>
      <c r="J312" s="500"/>
    </row>
    <row r="313" spans="1:10" ht="12.75" customHeight="1" x14ac:dyDescent="0.2">
      <c r="A313" s="505"/>
      <c r="B313" s="501"/>
      <c r="C313" s="501"/>
      <c r="D313" s="501"/>
      <c r="E313" s="501"/>
      <c r="F313" s="501"/>
      <c r="G313" s="501"/>
      <c r="H313" s="500"/>
      <c r="I313" s="500"/>
      <c r="J313" s="500"/>
    </row>
    <row r="314" spans="1:10" ht="12.75" customHeight="1" x14ac:dyDescent="0.2">
      <c r="A314" s="505"/>
      <c r="B314" s="501"/>
      <c r="C314" s="501"/>
      <c r="D314" s="501"/>
      <c r="E314" s="501"/>
      <c r="F314" s="501"/>
      <c r="G314" s="501"/>
      <c r="H314" s="500"/>
      <c r="I314" s="500"/>
      <c r="J314" s="500"/>
    </row>
    <row r="315" spans="1:10" ht="12.75" customHeight="1" x14ac:dyDescent="0.2">
      <c r="A315" s="505"/>
      <c r="B315" s="501"/>
      <c r="C315" s="501"/>
      <c r="D315" s="501"/>
      <c r="E315" s="501"/>
      <c r="F315" s="501"/>
      <c r="G315" s="501"/>
      <c r="H315" s="500"/>
      <c r="I315" s="500"/>
      <c r="J315" s="500"/>
    </row>
    <row r="316" spans="1:10" ht="12.75" customHeight="1" x14ac:dyDescent="0.2">
      <c r="A316" s="505"/>
      <c r="B316" s="501"/>
      <c r="C316" s="501"/>
      <c r="D316" s="501"/>
      <c r="E316" s="501"/>
      <c r="F316" s="501"/>
      <c r="G316" s="501"/>
      <c r="H316" s="500"/>
      <c r="I316" s="500"/>
      <c r="J316" s="500"/>
    </row>
    <row r="317" spans="1:10" ht="12.75" customHeight="1" x14ac:dyDescent="0.2">
      <c r="A317" s="505"/>
      <c r="B317" s="501"/>
      <c r="C317" s="501"/>
      <c r="D317" s="501"/>
      <c r="E317" s="501"/>
      <c r="F317" s="501"/>
      <c r="G317" s="501"/>
      <c r="H317" s="500"/>
      <c r="I317" s="500"/>
      <c r="J317" s="500"/>
    </row>
    <row r="318" spans="1:10" ht="12.75" customHeight="1" x14ac:dyDescent="0.2">
      <c r="A318" s="505"/>
      <c r="B318" s="501"/>
      <c r="C318" s="501"/>
      <c r="D318" s="501"/>
      <c r="E318" s="501"/>
      <c r="F318" s="501"/>
      <c r="G318" s="501"/>
      <c r="H318" s="500"/>
      <c r="I318" s="500"/>
      <c r="J318" s="500"/>
    </row>
    <row r="319" spans="1:10" ht="12.75" customHeight="1" x14ac:dyDescent="0.2">
      <c r="A319" s="505"/>
      <c r="B319" s="501"/>
      <c r="C319" s="501"/>
      <c r="D319" s="501"/>
      <c r="E319" s="501"/>
      <c r="F319" s="501"/>
      <c r="G319" s="501"/>
      <c r="H319" s="500"/>
      <c r="I319" s="500"/>
      <c r="J319" s="500"/>
    </row>
    <row r="320" spans="1:10" ht="12.75" customHeight="1" x14ac:dyDescent="0.2">
      <c r="A320" s="505"/>
      <c r="B320" s="501"/>
      <c r="C320" s="501"/>
      <c r="D320" s="501"/>
      <c r="E320" s="501"/>
      <c r="F320" s="501"/>
      <c r="G320" s="501"/>
      <c r="H320" s="500"/>
      <c r="I320" s="500"/>
      <c r="J320" s="500"/>
    </row>
    <row r="321" spans="1:10" ht="12.75" customHeight="1" x14ac:dyDescent="0.2">
      <c r="A321" s="505"/>
      <c r="B321" s="501"/>
      <c r="C321" s="501"/>
      <c r="D321" s="501"/>
      <c r="E321" s="501"/>
      <c r="F321" s="501"/>
      <c r="G321" s="501"/>
      <c r="H321" s="500"/>
      <c r="I321" s="500"/>
      <c r="J321" s="500"/>
    </row>
    <row r="322" spans="1:10" ht="12.75" customHeight="1" x14ac:dyDescent="0.2">
      <c r="A322" s="505"/>
      <c r="B322" s="501"/>
      <c r="C322" s="501"/>
      <c r="D322" s="501"/>
      <c r="E322" s="501"/>
      <c r="F322" s="501"/>
      <c r="G322" s="501"/>
      <c r="H322" s="500"/>
      <c r="I322" s="500"/>
      <c r="J322" s="500"/>
    </row>
    <row r="323" spans="1:10" ht="12.75" customHeight="1" x14ac:dyDescent="0.2">
      <c r="A323" s="505"/>
      <c r="B323" s="501"/>
      <c r="C323" s="501"/>
      <c r="D323" s="501"/>
      <c r="E323" s="501"/>
      <c r="F323" s="501"/>
      <c r="G323" s="501"/>
      <c r="H323" s="500"/>
      <c r="I323" s="500"/>
      <c r="J323" s="500"/>
    </row>
    <row r="324" spans="1:10" ht="12.75" customHeight="1" x14ac:dyDescent="0.2">
      <c r="A324" s="505"/>
      <c r="B324" s="501"/>
      <c r="C324" s="501"/>
      <c r="D324" s="501"/>
      <c r="E324" s="501"/>
      <c r="F324" s="501"/>
      <c r="G324" s="501"/>
      <c r="H324" s="500"/>
      <c r="I324" s="500"/>
      <c r="J324" s="500"/>
    </row>
    <row r="325" spans="1:10" ht="12.75" customHeight="1" x14ac:dyDescent="0.2">
      <c r="A325" s="505"/>
      <c r="B325" s="501"/>
      <c r="C325" s="501"/>
      <c r="D325" s="501"/>
      <c r="E325" s="501"/>
      <c r="F325" s="501"/>
      <c r="G325" s="501"/>
      <c r="H325" s="500"/>
      <c r="I325" s="500"/>
      <c r="J325" s="500"/>
    </row>
    <row r="326" spans="1:10" ht="12.75" customHeight="1" x14ac:dyDescent="0.2">
      <c r="A326" s="505"/>
      <c r="B326" s="501"/>
      <c r="C326" s="501"/>
      <c r="D326" s="501"/>
      <c r="E326" s="501"/>
      <c r="F326" s="501"/>
      <c r="G326" s="501"/>
      <c r="H326" s="500"/>
      <c r="I326" s="500"/>
      <c r="J326" s="500"/>
    </row>
    <row r="327" spans="1:10" ht="12.75" customHeight="1" x14ac:dyDescent="0.2">
      <c r="A327" s="505"/>
      <c r="B327" s="501"/>
      <c r="C327" s="501"/>
      <c r="D327" s="501"/>
      <c r="E327" s="501"/>
      <c r="F327" s="501"/>
      <c r="G327" s="501"/>
      <c r="H327" s="500"/>
      <c r="I327" s="500"/>
      <c r="J327" s="500"/>
    </row>
    <row r="328" spans="1:10" ht="12.75" customHeight="1" x14ac:dyDescent="0.2">
      <c r="A328" s="505"/>
      <c r="B328" s="501"/>
      <c r="C328" s="501"/>
      <c r="D328" s="501"/>
      <c r="E328" s="501"/>
      <c r="F328" s="501"/>
      <c r="G328" s="501"/>
      <c r="H328" s="500"/>
      <c r="I328" s="500"/>
      <c r="J328" s="500"/>
    </row>
    <row r="329" spans="1:10" ht="12.75" customHeight="1" x14ac:dyDescent="0.2">
      <c r="A329" s="505"/>
      <c r="B329" s="501"/>
      <c r="C329" s="501"/>
      <c r="D329" s="501"/>
      <c r="E329" s="501"/>
      <c r="F329" s="501"/>
      <c r="G329" s="501"/>
      <c r="H329" s="500"/>
      <c r="I329" s="500"/>
      <c r="J329" s="500"/>
    </row>
    <row r="330" spans="1:10" ht="12.75" customHeight="1" x14ac:dyDescent="0.2">
      <c r="A330" s="505"/>
      <c r="B330" s="501"/>
      <c r="C330" s="501"/>
      <c r="D330" s="501"/>
      <c r="E330" s="501"/>
      <c r="F330" s="501"/>
      <c r="G330" s="501"/>
      <c r="H330" s="500"/>
      <c r="I330" s="500"/>
      <c r="J330" s="500"/>
    </row>
    <row r="331" spans="1:10" ht="12.75" customHeight="1" x14ac:dyDescent="0.2">
      <c r="A331" s="505"/>
      <c r="B331" s="501"/>
      <c r="C331" s="501"/>
      <c r="D331" s="501"/>
      <c r="E331" s="501"/>
      <c r="F331" s="501"/>
      <c r="G331" s="501"/>
      <c r="H331" s="500"/>
      <c r="I331" s="500"/>
      <c r="J331" s="500"/>
    </row>
    <row r="332" spans="1:10" ht="12.75" customHeight="1" x14ac:dyDescent="0.2">
      <c r="A332" s="505"/>
      <c r="B332" s="501"/>
      <c r="C332" s="501"/>
      <c r="D332" s="501"/>
      <c r="E332" s="501"/>
      <c r="F332" s="501"/>
      <c r="G332" s="501"/>
      <c r="H332" s="500"/>
      <c r="I332" s="500"/>
      <c r="J332" s="500"/>
    </row>
    <row r="333" spans="1:10" ht="12.75" customHeight="1" x14ac:dyDescent="0.2">
      <c r="A333" s="505"/>
      <c r="B333" s="501"/>
      <c r="C333" s="501"/>
      <c r="D333" s="501"/>
      <c r="E333" s="501"/>
      <c r="F333" s="501"/>
      <c r="G333" s="501"/>
      <c r="H333" s="500"/>
      <c r="I333" s="500"/>
      <c r="J333" s="500"/>
    </row>
    <row r="334" spans="1:10" ht="12.75" customHeight="1" x14ac:dyDescent="0.2">
      <c r="A334" s="505"/>
      <c r="B334" s="501"/>
      <c r="C334" s="501"/>
      <c r="D334" s="501"/>
      <c r="E334" s="501"/>
      <c r="F334" s="501"/>
      <c r="G334" s="501"/>
      <c r="H334" s="500"/>
      <c r="I334" s="500"/>
      <c r="J334" s="500"/>
    </row>
    <row r="335" spans="1:10" ht="12.75" customHeight="1" x14ac:dyDescent="0.2">
      <c r="A335" s="505"/>
      <c r="B335" s="501"/>
      <c r="C335" s="501"/>
      <c r="D335" s="501"/>
      <c r="E335" s="501"/>
      <c r="F335" s="501"/>
      <c r="G335" s="501"/>
      <c r="H335" s="500"/>
      <c r="I335" s="500"/>
      <c r="J335" s="500"/>
    </row>
    <row r="336" spans="1:10" ht="12.75" customHeight="1" x14ac:dyDescent="0.2">
      <c r="A336" s="505"/>
      <c r="B336" s="501"/>
      <c r="C336" s="501"/>
      <c r="D336" s="501"/>
      <c r="E336" s="501"/>
      <c r="F336" s="501"/>
      <c r="G336" s="501"/>
      <c r="H336" s="500"/>
      <c r="I336" s="500"/>
      <c r="J336" s="500"/>
    </row>
    <row r="337" spans="1:10" ht="12.75" customHeight="1" x14ac:dyDescent="0.2">
      <c r="A337" s="505"/>
      <c r="B337" s="501"/>
      <c r="C337" s="501"/>
      <c r="D337" s="501"/>
      <c r="E337" s="501"/>
      <c r="F337" s="501"/>
      <c r="G337" s="501"/>
      <c r="H337" s="500"/>
      <c r="I337" s="500"/>
      <c r="J337" s="500"/>
    </row>
    <row r="338" spans="1:10" ht="12.75" customHeight="1" x14ac:dyDescent="0.2">
      <c r="A338" s="505"/>
      <c r="B338" s="501"/>
      <c r="C338" s="501"/>
      <c r="D338" s="501"/>
      <c r="E338" s="501"/>
      <c r="F338" s="501"/>
      <c r="G338" s="501"/>
      <c r="H338" s="500"/>
      <c r="I338" s="500"/>
      <c r="J338" s="500"/>
    </row>
    <row r="339" spans="1:10" ht="12.75" customHeight="1" x14ac:dyDescent="0.2">
      <c r="A339" s="505"/>
      <c r="B339" s="501"/>
      <c r="C339" s="501"/>
      <c r="D339" s="501"/>
      <c r="E339" s="501"/>
      <c r="F339" s="501"/>
      <c r="G339" s="501"/>
      <c r="H339" s="500"/>
      <c r="I339" s="500"/>
      <c r="J339" s="500"/>
    </row>
    <row r="340" spans="1:10" ht="12.75" customHeight="1" x14ac:dyDescent="0.2">
      <c r="A340" s="505"/>
      <c r="B340" s="501"/>
      <c r="C340" s="501"/>
      <c r="D340" s="501"/>
      <c r="E340" s="501"/>
      <c r="F340" s="501"/>
      <c r="G340" s="501"/>
      <c r="H340" s="500"/>
      <c r="I340" s="500"/>
      <c r="J340" s="500"/>
    </row>
    <row r="341" spans="1:10" ht="12.75" customHeight="1" x14ac:dyDescent="0.2">
      <c r="A341" s="505"/>
      <c r="B341" s="501"/>
      <c r="C341" s="501"/>
      <c r="D341" s="501"/>
      <c r="E341" s="501"/>
      <c r="F341" s="501"/>
      <c r="G341" s="501"/>
      <c r="H341" s="500"/>
      <c r="I341" s="500"/>
      <c r="J341" s="500"/>
    </row>
    <row r="342" spans="1:10" ht="12.75" customHeight="1" x14ac:dyDescent="0.2">
      <c r="A342" s="505"/>
      <c r="B342" s="501"/>
      <c r="C342" s="501"/>
      <c r="D342" s="501"/>
      <c r="E342" s="501"/>
      <c r="F342" s="501"/>
      <c r="G342" s="501"/>
      <c r="H342" s="500"/>
      <c r="I342" s="500"/>
      <c r="J342" s="500"/>
    </row>
    <row r="343" spans="1:10" ht="12.75" customHeight="1" x14ac:dyDescent="0.2">
      <c r="A343" s="505"/>
      <c r="B343" s="501"/>
      <c r="C343" s="501"/>
      <c r="D343" s="501"/>
      <c r="E343" s="501"/>
      <c r="F343" s="501"/>
      <c r="G343" s="501"/>
      <c r="H343" s="500"/>
      <c r="I343" s="500"/>
      <c r="J343" s="500"/>
    </row>
    <row r="344" spans="1:10" ht="12.75" customHeight="1" x14ac:dyDescent="0.2">
      <c r="A344" s="505"/>
      <c r="B344" s="501"/>
      <c r="C344" s="501"/>
      <c r="D344" s="501"/>
      <c r="E344" s="501"/>
      <c r="F344" s="501"/>
      <c r="G344" s="501"/>
      <c r="H344" s="500"/>
      <c r="I344" s="500"/>
      <c r="J344" s="500"/>
    </row>
    <row r="345" spans="1:10" ht="12.75" customHeight="1" x14ac:dyDescent="0.2">
      <c r="A345" s="505"/>
      <c r="B345" s="501"/>
      <c r="C345" s="501"/>
      <c r="D345" s="501"/>
      <c r="E345" s="501"/>
      <c r="F345" s="501"/>
      <c r="G345" s="501"/>
      <c r="H345" s="500"/>
      <c r="I345" s="500"/>
      <c r="J345" s="500"/>
    </row>
    <row r="346" spans="1:10" ht="12.75" customHeight="1" x14ac:dyDescent="0.2">
      <c r="A346" s="505"/>
      <c r="B346" s="501"/>
      <c r="C346" s="501"/>
      <c r="D346" s="501"/>
      <c r="E346" s="501"/>
      <c r="F346" s="501"/>
      <c r="G346" s="501"/>
      <c r="H346" s="500"/>
      <c r="I346" s="500"/>
      <c r="J346" s="500"/>
    </row>
    <row r="347" spans="1:10" ht="12.75" customHeight="1" x14ac:dyDescent="0.2">
      <c r="A347" s="505"/>
      <c r="B347" s="501"/>
      <c r="C347" s="501"/>
      <c r="D347" s="501"/>
      <c r="E347" s="501"/>
      <c r="F347" s="501"/>
      <c r="G347" s="501"/>
      <c r="H347" s="500"/>
      <c r="I347" s="500"/>
      <c r="J347" s="500"/>
    </row>
    <row r="348" spans="1:10" ht="12.75" customHeight="1" x14ac:dyDescent="0.2">
      <c r="A348" s="505"/>
      <c r="B348" s="501"/>
      <c r="C348" s="501"/>
      <c r="D348" s="501"/>
      <c r="E348" s="501"/>
      <c r="F348" s="501"/>
      <c r="G348" s="501"/>
      <c r="H348" s="500"/>
      <c r="I348" s="500"/>
      <c r="J348" s="500"/>
    </row>
    <row r="349" spans="1:10" ht="12.75" customHeight="1" x14ac:dyDescent="0.2">
      <c r="A349" s="505"/>
      <c r="B349" s="501"/>
      <c r="C349" s="501"/>
      <c r="D349" s="501"/>
      <c r="E349" s="501"/>
      <c r="F349" s="501"/>
      <c r="G349" s="501"/>
    </row>
    <row r="350" spans="1:10" ht="12.75" customHeight="1" x14ac:dyDescent="0.2">
      <c r="A350" s="505"/>
      <c r="B350" s="501"/>
      <c r="C350" s="501"/>
      <c r="D350" s="501"/>
      <c r="E350" s="501"/>
      <c r="F350" s="501"/>
      <c r="G350" s="501"/>
    </row>
    <row r="351" spans="1:10" ht="12.75" customHeight="1" x14ac:dyDescent="0.2">
      <c r="A351" s="505"/>
      <c r="B351" s="501"/>
      <c r="C351" s="501"/>
      <c r="D351" s="501"/>
      <c r="E351" s="501"/>
      <c r="F351" s="501"/>
      <c r="G351" s="501"/>
    </row>
    <row r="352" spans="1:10" ht="12.75" customHeight="1" x14ac:dyDescent="0.2">
      <c r="A352" s="505"/>
      <c r="B352" s="501"/>
      <c r="C352" s="501"/>
      <c r="D352" s="501"/>
      <c r="E352" s="501"/>
      <c r="F352" s="501"/>
      <c r="G352" s="501"/>
    </row>
    <row r="353" spans="1:7" ht="12.75" customHeight="1" x14ac:dyDescent="0.2">
      <c r="A353" s="505"/>
      <c r="B353" s="501"/>
      <c r="C353" s="501"/>
      <c r="D353" s="501"/>
      <c r="E353" s="501"/>
      <c r="F353" s="501"/>
      <c r="G353" s="501"/>
    </row>
    <row r="354" spans="1:7" ht="12.75" customHeight="1" x14ac:dyDescent="0.2">
      <c r="A354" s="505"/>
      <c r="B354" s="501"/>
      <c r="C354" s="501"/>
      <c r="D354" s="501"/>
      <c r="E354" s="501"/>
      <c r="F354" s="501"/>
      <c r="G354" s="501"/>
    </row>
    <row r="355" spans="1:7" ht="12.75" customHeight="1" x14ac:dyDescent="0.2">
      <c r="A355" s="505"/>
      <c r="B355" s="501"/>
      <c r="C355" s="501"/>
      <c r="D355" s="501"/>
      <c r="E355" s="501"/>
      <c r="F355" s="501"/>
      <c r="G355" s="501"/>
    </row>
    <row r="356" spans="1:7" ht="12.75" customHeight="1" x14ac:dyDescent="0.2">
      <c r="A356" s="505"/>
      <c r="B356" s="501"/>
      <c r="C356" s="501"/>
      <c r="D356" s="501"/>
      <c r="E356" s="501"/>
      <c r="F356" s="501"/>
      <c r="G356" s="501"/>
    </row>
    <row r="357" spans="1:7" ht="12.75" customHeight="1" x14ac:dyDescent="0.2">
      <c r="A357" s="505"/>
      <c r="B357" s="501"/>
      <c r="C357" s="501"/>
      <c r="D357" s="501"/>
      <c r="E357" s="501"/>
      <c r="F357" s="501"/>
      <c r="G357" s="501"/>
    </row>
    <row r="358" spans="1:7" ht="12.75" customHeight="1" x14ac:dyDescent="0.2">
      <c r="A358" s="505"/>
      <c r="B358" s="501"/>
      <c r="C358" s="501"/>
      <c r="D358" s="501"/>
      <c r="E358" s="501"/>
      <c r="F358" s="501"/>
      <c r="G358" s="501"/>
    </row>
    <row r="359" spans="1:7" ht="12.75" customHeight="1" x14ac:dyDescent="0.2">
      <c r="A359" s="505"/>
      <c r="B359" s="501"/>
      <c r="C359" s="501"/>
      <c r="D359" s="501"/>
      <c r="E359" s="501"/>
      <c r="F359" s="501"/>
      <c r="G359" s="501"/>
    </row>
    <row r="360" spans="1:7" ht="12.75" customHeight="1" x14ac:dyDescent="0.2">
      <c r="A360" s="505"/>
      <c r="B360" s="501"/>
      <c r="C360" s="501"/>
      <c r="D360" s="501"/>
      <c r="E360" s="501"/>
      <c r="F360" s="501"/>
      <c r="G360" s="501"/>
    </row>
    <row r="361" spans="1:7" ht="12.75" customHeight="1" x14ac:dyDescent="0.2">
      <c r="A361" s="505"/>
      <c r="B361" s="501"/>
      <c r="C361" s="501"/>
      <c r="D361" s="501"/>
      <c r="E361" s="501"/>
      <c r="F361" s="501"/>
      <c r="G361" s="501"/>
    </row>
    <row r="362" spans="1:7" ht="12.75" customHeight="1" x14ac:dyDescent="0.2">
      <c r="A362" s="505"/>
      <c r="B362" s="501"/>
      <c r="C362" s="501"/>
      <c r="D362" s="501"/>
      <c r="E362" s="501"/>
      <c r="F362" s="501"/>
      <c r="G362" s="501"/>
    </row>
    <row r="363" spans="1:7" ht="12.75" customHeight="1" x14ac:dyDescent="0.2">
      <c r="A363" s="505"/>
      <c r="B363" s="501"/>
      <c r="C363" s="501"/>
      <c r="D363" s="501"/>
      <c r="E363" s="501"/>
      <c r="F363" s="501"/>
      <c r="G363" s="501"/>
    </row>
    <row r="364" spans="1:7" ht="12.75" customHeight="1" x14ac:dyDescent="0.2">
      <c r="A364" s="505"/>
      <c r="B364" s="501"/>
      <c r="C364" s="501"/>
      <c r="D364" s="501"/>
      <c r="E364" s="501"/>
      <c r="F364" s="501"/>
      <c r="G364" s="501"/>
    </row>
    <row r="365" spans="1:7" ht="12.75" customHeight="1" x14ac:dyDescent="0.2">
      <c r="A365" s="505"/>
      <c r="B365" s="501"/>
      <c r="C365" s="501"/>
      <c r="D365" s="501"/>
      <c r="E365" s="501"/>
      <c r="F365" s="501"/>
      <c r="G365" s="501"/>
    </row>
    <row r="366" spans="1:7" ht="12.75" customHeight="1" x14ac:dyDescent="0.15">
      <c r="A366" s="770"/>
    </row>
    <row r="367" spans="1:7" ht="12.75" customHeight="1" x14ac:dyDescent="0.15">
      <c r="A367" s="770"/>
    </row>
    <row r="368" spans="1:7" ht="12.75" customHeight="1" x14ac:dyDescent="0.15">
      <c r="A368" s="770"/>
    </row>
    <row r="369" spans="1:1" ht="12.75" customHeight="1" x14ac:dyDescent="0.15">
      <c r="A369" s="770"/>
    </row>
    <row r="370" spans="1:1" ht="12.75" customHeight="1" x14ac:dyDescent="0.15">
      <c r="A370" s="770"/>
    </row>
    <row r="371" spans="1:1" ht="12.75" customHeight="1" x14ac:dyDescent="0.15">
      <c r="A371" s="770"/>
    </row>
    <row r="372" spans="1:1" ht="12.75" customHeight="1" x14ac:dyDescent="0.15">
      <c r="A372" s="770"/>
    </row>
    <row r="373" spans="1:1" ht="12.75" customHeight="1" x14ac:dyDescent="0.15">
      <c r="A373" s="770"/>
    </row>
    <row r="374" spans="1:1" ht="12.75" customHeight="1" x14ac:dyDescent="0.15">
      <c r="A374" s="770"/>
    </row>
    <row r="375" spans="1:1" ht="12.75" customHeight="1" x14ac:dyDescent="0.15">
      <c r="A375" s="770"/>
    </row>
    <row r="376" spans="1:1" ht="12.75" customHeight="1" x14ac:dyDescent="0.15">
      <c r="A376" s="770"/>
    </row>
    <row r="377" spans="1:1" ht="12.75" customHeight="1" x14ac:dyDescent="0.15">
      <c r="A377" s="770"/>
    </row>
    <row r="378" spans="1:1" ht="12.75" customHeight="1" x14ac:dyDescent="0.15">
      <c r="A378" s="770"/>
    </row>
    <row r="379" spans="1:1" ht="12.75" customHeight="1" x14ac:dyDescent="0.15">
      <c r="A379" s="770"/>
    </row>
    <row r="380" spans="1:1" ht="12.75" customHeight="1" x14ac:dyDescent="0.15">
      <c r="A380" s="770"/>
    </row>
    <row r="381" spans="1:1" ht="12.75" customHeight="1" x14ac:dyDescent="0.15">
      <c r="A381" s="770"/>
    </row>
    <row r="382" spans="1:1" ht="12.75" customHeight="1" x14ac:dyDescent="0.15">
      <c r="A382" s="770"/>
    </row>
    <row r="383" spans="1:1" ht="12.75" customHeight="1" x14ac:dyDescent="0.15">
      <c r="A383" s="770"/>
    </row>
    <row r="384" spans="1:1" ht="12.75" customHeight="1" x14ac:dyDescent="0.15">
      <c r="A384" s="770"/>
    </row>
  </sheetData>
  <mergeCells count="30">
    <mergeCell ref="A208:G208"/>
    <mergeCell ref="A5:G5"/>
    <mergeCell ref="A58:G58"/>
    <mergeCell ref="A134:G134"/>
    <mergeCell ref="A165:G165"/>
    <mergeCell ref="A54:G54"/>
    <mergeCell ref="A55:G55"/>
    <mergeCell ref="A56:G56"/>
    <mergeCell ref="A57:G57"/>
    <mergeCell ref="A130:G130"/>
    <mergeCell ref="A204:G204"/>
    <mergeCell ref="A205:G205"/>
    <mergeCell ref="A206:G206"/>
    <mergeCell ref="A207:G207"/>
    <mergeCell ref="A1:G1"/>
    <mergeCell ref="A2:G2"/>
    <mergeCell ref="A3:G3"/>
    <mergeCell ref="A4:G4"/>
    <mergeCell ref="A164:G164"/>
    <mergeCell ref="A131:G131"/>
    <mergeCell ref="A132:G132"/>
    <mergeCell ref="A133:G133"/>
    <mergeCell ref="A161:G161"/>
    <mergeCell ref="A96:G96"/>
    <mergeCell ref="A97:G97"/>
    <mergeCell ref="A98:G98"/>
    <mergeCell ref="A99:G99"/>
    <mergeCell ref="A100:G100"/>
    <mergeCell ref="A162:G162"/>
    <mergeCell ref="A163:G163"/>
  </mergeCells>
  <phoneticPr fontId="3" type="noConversion"/>
  <printOptions horizontalCentered="1"/>
  <pageMargins left="0.25" right="0.25" top="1" bottom="0.5" header="0.5" footer="0.5"/>
  <pageSetup scale="98" orientation="portrait" r:id="rId1"/>
  <headerFooter alignWithMargins="0"/>
  <rowBreaks count="5" manualBreakCount="5">
    <brk id="52" max="6" man="1"/>
    <brk id="95" max="6" man="1"/>
    <brk id="128" max="6" man="1"/>
    <brk id="159" max="6" man="1"/>
    <brk id="202" max="6" man="1"/>
  </rowBreaks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workbookViewId="0">
      <selection activeCell="C50" sqref="C50"/>
    </sheetView>
  </sheetViews>
  <sheetFormatPr defaultColWidth="10.6640625" defaultRowHeight="10.5" x14ac:dyDescent="0.15"/>
  <cols>
    <col min="1" max="1" width="5.83203125" style="21" bestFit="1" customWidth="1"/>
    <col min="2" max="2" width="2.83203125" style="21" customWidth="1"/>
    <col min="3" max="3" width="64.33203125" style="21" bestFit="1" customWidth="1"/>
    <col min="4" max="4" width="0.1640625" style="21" customWidth="1"/>
    <col min="5" max="5" width="27.5" style="21" customWidth="1"/>
    <col min="6" max="6" width="17.83203125" style="21" customWidth="1"/>
    <col min="7" max="16384" width="10.6640625" style="21"/>
  </cols>
  <sheetData>
    <row r="1" spans="1:6" ht="12.75" customHeight="1" x14ac:dyDescent="0.2">
      <c r="A1" s="1438" t="s">
        <v>477</v>
      </c>
      <c r="B1" s="1438"/>
      <c r="C1" s="1438"/>
      <c r="D1" s="1438"/>
      <c r="E1" s="1438"/>
      <c r="F1" s="1438"/>
    </row>
    <row r="2" spans="1:6" ht="12.75" customHeight="1" x14ac:dyDescent="0.2">
      <c r="A2" s="1438" t="str">
        <f>+Input!C4</f>
        <v>CASE NO. 2017-xxxxx</v>
      </c>
      <c r="B2" s="1438"/>
      <c r="C2" s="1438"/>
      <c r="D2" s="1438"/>
      <c r="E2" s="1438"/>
      <c r="F2" s="1438"/>
    </row>
    <row r="3" spans="1:6" ht="12.75" customHeight="1" x14ac:dyDescent="0.2">
      <c r="A3" s="1438" t="s">
        <v>1500</v>
      </c>
      <c r="B3" s="1438"/>
      <c r="C3" s="1438"/>
      <c r="D3" s="1438"/>
      <c r="E3" s="1438"/>
      <c r="F3" s="1438"/>
    </row>
    <row r="4" spans="1:6" ht="12.75" customHeight="1" x14ac:dyDescent="0.2">
      <c r="A4" s="1439" t="s">
        <v>1584</v>
      </c>
      <c r="B4" s="1439"/>
      <c r="C4" s="1439"/>
      <c r="D4" s="1439"/>
      <c r="E4" s="1439"/>
      <c r="F4" s="1439"/>
    </row>
    <row r="5" spans="1:6" ht="12.75" customHeight="1" x14ac:dyDescent="0.2">
      <c r="A5" s="1438" t="str">
        <f>+Input!C6</f>
        <v>TWELVE MONTHS ENDED DECEMBER 31, 2017</v>
      </c>
      <c r="B5" s="1438"/>
      <c r="C5" s="1438"/>
      <c r="D5" s="1438"/>
      <c r="E5" s="1438"/>
      <c r="F5" s="1438"/>
    </row>
    <row r="6" spans="1:6" ht="12.75" customHeight="1" x14ac:dyDescent="0.2">
      <c r="A6" s="525"/>
      <c r="B6" s="525"/>
      <c r="C6" s="525"/>
      <c r="D6" s="525"/>
      <c r="E6" s="525"/>
      <c r="F6" s="525"/>
    </row>
    <row r="7" spans="1:6" ht="12.75" customHeight="1" x14ac:dyDescent="0.2">
      <c r="A7" s="525"/>
      <c r="B7" s="525"/>
      <c r="C7" s="525"/>
      <c r="D7" s="525"/>
      <c r="E7" s="525"/>
      <c r="F7" s="525"/>
    </row>
    <row r="8" spans="1:6" ht="12.75" customHeight="1" x14ac:dyDescent="0.2">
      <c r="A8" s="525" t="s">
        <v>1502</v>
      </c>
      <c r="B8" s="525"/>
      <c r="D8" s="526"/>
      <c r="E8" s="525"/>
      <c r="F8" s="526" t="s">
        <v>1579</v>
      </c>
    </row>
    <row r="9" spans="1:6" ht="12.75" customHeight="1" x14ac:dyDescent="0.2">
      <c r="A9" s="525" t="s">
        <v>847</v>
      </c>
      <c r="B9" s="525"/>
      <c r="D9" s="526"/>
      <c r="E9" s="525"/>
      <c r="F9" s="526" t="s">
        <v>491</v>
      </c>
    </row>
    <row r="10" spans="1:6" ht="12.75" customHeight="1" x14ac:dyDescent="0.2">
      <c r="A10" s="528" t="s">
        <v>1596</v>
      </c>
      <c r="B10" s="528"/>
      <c r="C10" s="779"/>
      <c r="D10" s="529"/>
      <c r="E10" s="528"/>
      <c r="F10" s="529" t="str">
        <f>+Input!E27</f>
        <v>WITNESS:  C. Y. LAI</v>
      </c>
    </row>
    <row r="11" spans="1:6" ht="12.75" customHeight="1" x14ac:dyDescent="0.2">
      <c r="A11" s="530"/>
      <c r="B11" s="530"/>
      <c r="C11" s="780"/>
      <c r="D11" s="778"/>
      <c r="E11" s="530"/>
      <c r="F11" s="778"/>
    </row>
    <row r="12" spans="1:6" ht="12.75" customHeight="1" x14ac:dyDescent="0.2">
      <c r="A12" s="481" t="s">
        <v>493</v>
      </c>
      <c r="B12" s="530"/>
      <c r="C12" s="530"/>
      <c r="D12" s="530"/>
      <c r="E12" s="530"/>
      <c r="F12" s="530"/>
    </row>
    <row r="13" spans="1:6" ht="12.75" customHeight="1" x14ac:dyDescent="0.2">
      <c r="A13" s="771" t="s">
        <v>496</v>
      </c>
      <c r="B13" s="528"/>
      <c r="C13" s="528" t="s">
        <v>1505</v>
      </c>
      <c r="D13" s="528"/>
      <c r="E13" s="528"/>
      <c r="F13" s="781" t="s">
        <v>1248</v>
      </c>
    </row>
    <row r="14" spans="1:6" ht="12.75" customHeight="1" x14ac:dyDescent="0.2">
      <c r="A14" s="531"/>
      <c r="B14" s="530"/>
      <c r="C14" s="530"/>
      <c r="D14" s="530"/>
      <c r="E14" s="530"/>
      <c r="F14" s="530"/>
    </row>
    <row r="15" spans="1:6" ht="12.75" customHeight="1" x14ac:dyDescent="0.2">
      <c r="A15" s="531"/>
      <c r="B15" s="530"/>
      <c r="C15" s="530"/>
      <c r="D15" s="530"/>
      <c r="E15" s="530"/>
      <c r="F15" s="530"/>
    </row>
    <row r="16" spans="1:6" ht="12.75" customHeight="1" x14ac:dyDescent="0.2">
      <c r="A16" s="769"/>
      <c r="B16" s="525"/>
      <c r="C16" s="525" t="s">
        <v>1586</v>
      </c>
      <c r="D16" s="525"/>
      <c r="E16" s="525"/>
      <c r="F16" s="525"/>
    </row>
    <row r="17" spans="1:6" ht="12.75" customHeight="1" x14ac:dyDescent="0.2">
      <c r="A17" s="769"/>
      <c r="B17" s="525"/>
      <c r="C17" s="525" t="s">
        <v>1587</v>
      </c>
      <c r="D17" s="525"/>
      <c r="E17" s="525"/>
      <c r="F17" s="525"/>
    </row>
    <row r="18" spans="1:6" ht="12.75" customHeight="1" x14ac:dyDescent="0.2">
      <c r="A18" s="769"/>
      <c r="B18" s="525"/>
      <c r="C18" s="525" t="s">
        <v>1279</v>
      </c>
      <c r="D18" s="525"/>
      <c r="E18" s="525"/>
      <c r="F18" s="525"/>
    </row>
    <row r="19" spans="1:6" ht="12.75" customHeight="1" x14ac:dyDescent="0.2">
      <c r="A19" s="769"/>
      <c r="B19" s="525"/>
      <c r="C19" s="525"/>
      <c r="D19" s="525"/>
      <c r="E19" s="525"/>
      <c r="F19" s="525"/>
    </row>
    <row r="20" spans="1:6" ht="12.75" customHeight="1" x14ac:dyDescent="0.2">
      <c r="A20" s="769">
        <v>1</v>
      </c>
      <c r="B20" s="525"/>
      <c r="C20" s="525" t="s">
        <v>927</v>
      </c>
      <c r="D20" s="525"/>
      <c r="E20" s="769" t="s">
        <v>932</v>
      </c>
      <c r="F20" s="965">
        <v>998</v>
      </c>
    </row>
    <row r="21" spans="1:6" ht="12.75" customHeight="1" x14ac:dyDescent="0.2">
      <c r="A21" s="769"/>
      <c r="B21" s="525"/>
      <c r="C21" s="525"/>
      <c r="D21" s="525"/>
      <c r="E21" s="525"/>
      <c r="F21" s="525"/>
    </row>
    <row r="22" spans="1:6" ht="12.75" customHeight="1" x14ac:dyDescent="0.2">
      <c r="A22" s="769">
        <f>A20+1</f>
        <v>2</v>
      </c>
      <c r="B22" s="525"/>
      <c r="C22" s="525" t="s">
        <v>920</v>
      </c>
      <c r="D22" s="525"/>
      <c r="E22" s="769" t="s">
        <v>921</v>
      </c>
      <c r="F22" s="965">
        <v>387849</v>
      </c>
    </row>
    <row r="23" spans="1:6" ht="12.75" customHeight="1" x14ac:dyDescent="0.2">
      <c r="A23" s="769"/>
      <c r="B23" s="525"/>
      <c r="C23" s="525"/>
      <c r="D23" s="525"/>
      <c r="E23" s="525"/>
      <c r="F23" s="525"/>
    </row>
    <row r="24" spans="1:6" ht="12.75" customHeight="1" x14ac:dyDescent="0.2">
      <c r="A24" s="769">
        <f>A22+1</f>
        <v>3</v>
      </c>
      <c r="B24" s="525"/>
      <c r="C24" s="525" t="s">
        <v>928</v>
      </c>
      <c r="D24" s="525"/>
      <c r="E24" s="769" t="s">
        <v>922</v>
      </c>
      <c r="F24" s="965">
        <v>61817</v>
      </c>
    </row>
    <row r="25" spans="1:6" ht="12.75" customHeight="1" x14ac:dyDescent="0.2">
      <c r="A25" s="769"/>
      <c r="B25" s="525"/>
      <c r="C25" s="525"/>
      <c r="D25" s="525"/>
      <c r="E25" s="525"/>
      <c r="F25" s="525"/>
    </row>
    <row r="26" spans="1:6" ht="12.75" customHeight="1" x14ac:dyDescent="0.2">
      <c r="A26" s="769">
        <f>A24+1</f>
        <v>4</v>
      </c>
      <c r="B26" s="525"/>
      <c r="C26" s="525" t="s">
        <v>929</v>
      </c>
      <c r="D26" s="525"/>
      <c r="E26" s="769" t="s">
        <v>923</v>
      </c>
      <c r="F26" s="965">
        <v>13767</v>
      </c>
    </row>
    <row r="27" spans="1:6" ht="12.75" customHeight="1" x14ac:dyDescent="0.2">
      <c r="A27" s="769"/>
      <c r="B27" s="525"/>
      <c r="C27" s="525"/>
      <c r="D27" s="525"/>
      <c r="E27" s="525"/>
      <c r="F27" s="525"/>
    </row>
    <row r="28" spans="1:6" ht="12.75" customHeight="1" x14ac:dyDescent="0.2">
      <c r="A28" s="769">
        <f>A26+1</f>
        <v>5</v>
      </c>
      <c r="B28" s="525"/>
      <c r="C28" s="525" t="s">
        <v>930</v>
      </c>
      <c r="D28" s="525"/>
      <c r="E28" s="769" t="s">
        <v>924</v>
      </c>
      <c r="F28" s="965">
        <v>733</v>
      </c>
    </row>
    <row r="29" spans="1:6" ht="12.75" customHeight="1" x14ac:dyDescent="0.2">
      <c r="A29" s="769"/>
      <c r="B29" s="525"/>
      <c r="C29" s="525"/>
      <c r="D29" s="525"/>
      <c r="E29" s="525"/>
      <c r="F29" s="525"/>
    </row>
    <row r="30" spans="1:6" ht="12.75" customHeight="1" x14ac:dyDescent="0.2">
      <c r="A30" s="769">
        <f>A28+1</f>
        <v>6</v>
      </c>
      <c r="B30" s="525"/>
      <c r="C30" s="525" t="s">
        <v>931</v>
      </c>
      <c r="D30" s="525"/>
      <c r="E30" s="769" t="s">
        <v>925</v>
      </c>
      <c r="F30" s="988">
        <v>79022</v>
      </c>
    </row>
    <row r="31" spans="1:6" ht="12.75" customHeight="1" x14ac:dyDescent="0.2">
      <c r="A31" s="769"/>
      <c r="B31" s="525"/>
      <c r="C31" s="525"/>
      <c r="D31" s="525"/>
      <c r="E31" s="525"/>
      <c r="F31" s="525"/>
    </row>
    <row r="32" spans="1:6" ht="12.75" customHeight="1" x14ac:dyDescent="0.2">
      <c r="A32" s="769">
        <f>A30+1</f>
        <v>7</v>
      </c>
      <c r="B32" s="525"/>
      <c r="C32" s="525" t="s">
        <v>926</v>
      </c>
      <c r="D32" s="525"/>
      <c r="E32" s="769"/>
      <c r="F32" s="987">
        <f>SUM(F20:F30)</f>
        <v>544186</v>
      </c>
    </row>
    <row r="33" spans="1:6" ht="12.75" customHeight="1" x14ac:dyDescent="0.2">
      <c r="A33" s="769"/>
      <c r="B33" s="525"/>
      <c r="C33" s="525"/>
      <c r="D33" s="525"/>
      <c r="E33" s="525"/>
      <c r="F33" s="525"/>
    </row>
    <row r="34" spans="1:6" ht="12.75" customHeight="1" x14ac:dyDescent="0.2">
      <c r="A34" s="769">
        <f>1+A32</f>
        <v>8</v>
      </c>
      <c r="B34" s="525"/>
      <c r="C34" s="525" t="s">
        <v>1574</v>
      </c>
      <c r="D34" s="525"/>
      <c r="E34" s="525"/>
      <c r="F34" s="533">
        <v>1</v>
      </c>
    </row>
    <row r="35" spans="1:6" ht="12.75" customHeight="1" x14ac:dyDescent="0.2">
      <c r="A35" s="769"/>
      <c r="B35" s="525"/>
      <c r="C35" s="525"/>
      <c r="D35" s="525"/>
      <c r="E35" s="525"/>
      <c r="F35" s="525"/>
    </row>
    <row r="36" spans="1:6" ht="12.75" customHeight="1" x14ac:dyDescent="0.2">
      <c r="A36" s="769">
        <f>1+A34</f>
        <v>9</v>
      </c>
      <c r="B36" s="525"/>
      <c r="C36" s="525" t="s">
        <v>1575</v>
      </c>
      <c r="D36" s="525"/>
      <c r="E36" s="526" t="s">
        <v>418</v>
      </c>
      <c r="F36" s="532">
        <f>ROUND(F32*F34,0)</f>
        <v>544186</v>
      </c>
    </row>
    <row r="37" spans="1:6" ht="12.75" customHeight="1" x14ac:dyDescent="0.2">
      <c r="B37" s="525"/>
      <c r="C37" s="525"/>
      <c r="D37" s="525"/>
    </row>
    <row r="38" spans="1:6" ht="12.75" customHeight="1" x14ac:dyDescent="0.2">
      <c r="A38" s="769"/>
      <c r="B38" s="525"/>
      <c r="C38" s="525"/>
      <c r="D38" s="525"/>
      <c r="E38" s="525"/>
      <c r="F38" s="525"/>
    </row>
    <row r="39" spans="1:6" ht="12.75" customHeight="1" x14ac:dyDescent="0.2">
      <c r="A39" s="769"/>
      <c r="B39" s="525"/>
      <c r="C39" s="527"/>
      <c r="D39" s="525"/>
      <c r="E39" s="525"/>
      <c r="F39" s="525"/>
    </row>
    <row r="40" spans="1:6" ht="12.75" customHeight="1" x14ac:dyDescent="0.2">
      <c r="A40" s="772"/>
      <c r="C40" s="527"/>
      <c r="D40" s="527"/>
      <c r="E40" s="527"/>
      <c r="F40" s="527"/>
    </row>
    <row r="41" spans="1:6" ht="12.75" customHeight="1" x14ac:dyDescent="0.2">
      <c r="A41" s="772"/>
      <c r="C41" s="527"/>
      <c r="D41" s="527"/>
      <c r="E41" s="527"/>
      <c r="F41" s="527"/>
    </row>
    <row r="42" spans="1:6" ht="12.75" customHeight="1" x14ac:dyDescent="0.2">
      <c r="C42" s="527"/>
      <c r="D42" s="527"/>
      <c r="E42" s="527"/>
      <c r="F42" s="527"/>
    </row>
    <row r="43" spans="1:6" ht="12.75" customHeight="1" x14ac:dyDescent="0.2">
      <c r="C43" s="527"/>
      <c r="D43" s="527"/>
      <c r="E43" s="527"/>
      <c r="F43" s="527"/>
    </row>
    <row r="44" spans="1:6" ht="12.75" customHeight="1" x14ac:dyDescent="0.2">
      <c r="C44" s="527"/>
      <c r="D44" s="527"/>
      <c r="E44" s="527"/>
      <c r="F44" s="527"/>
    </row>
    <row r="45" spans="1:6" ht="12.75" customHeight="1" x14ac:dyDescent="0.2">
      <c r="C45" s="527"/>
      <c r="D45" s="527"/>
      <c r="E45" s="527"/>
      <c r="F45" s="527"/>
    </row>
    <row r="46" spans="1:6" ht="12.75" customHeight="1" x14ac:dyDescent="0.2">
      <c r="C46" s="527"/>
      <c r="D46" s="527"/>
      <c r="E46" s="527"/>
      <c r="F46" s="527"/>
    </row>
    <row r="47" spans="1:6" ht="12.75" customHeight="1" x14ac:dyDescent="0.2">
      <c r="C47" s="527"/>
      <c r="D47" s="527"/>
      <c r="E47" s="527"/>
      <c r="F47" s="527"/>
    </row>
    <row r="48" spans="1:6" ht="12.75" customHeight="1" x14ac:dyDescent="0.2">
      <c r="C48" s="527"/>
      <c r="D48" s="527"/>
      <c r="E48" s="527"/>
      <c r="F48" s="527"/>
    </row>
    <row r="49" spans="3:6" ht="12.75" customHeight="1" x14ac:dyDescent="0.2">
      <c r="C49" s="527"/>
      <c r="D49" s="527"/>
      <c r="E49" s="527"/>
      <c r="F49" s="527"/>
    </row>
    <row r="50" spans="3:6" ht="12.75" customHeight="1" x14ac:dyDescent="0.2">
      <c r="C50" s="527"/>
      <c r="D50" s="527"/>
      <c r="E50" s="527"/>
      <c r="F50" s="527"/>
    </row>
    <row r="51" spans="3:6" ht="12.75" customHeight="1" x14ac:dyDescent="0.2">
      <c r="C51" s="527"/>
      <c r="D51" s="527"/>
      <c r="E51" s="527"/>
      <c r="F51" s="527"/>
    </row>
    <row r="52" spans="3:6" ht="12.75" customHeight="1" x14ac:dyDescent="0.2">
      <c r="C52" s="527"/>
      <c r="D52" s="527"/>
      <c r="E52" s="527"/>
      <c r="F52" s="527"/>
    </row>
    <row r="53" spans="3:6" ht="12.75" customHeight="1" x14ac:dyDescent="0.2">
      <c r="C53" s="527"/>
      <c r="D53" s="527"/>
      <c r="E53" s="527"/>
      <c r="F53" s="527"/>
    </row>
    <row r="54" spans="3:6" ht="12.75" customHeight="1" x14ac:dyDescent="0.2">
      <c r="C54" s="527"/>
      <c r="D54" s="527"/>
      <c r="E54" s="527"/>
      <c r="F54" s="527"/>
    </row>
    <row r="55" spans="3:6" ht="12.75" customHeight="1" x14ac:dyDescent="0.2">
      <c r="C55" s="527"/>
      <c r="D55" s="527"/>
      <c r="E55" s="527"/>
      <c r="F55" s="527"/>
    </row>
    <row r="56" spans="3:6" ht="12.75" customHeight="1" x14ac:dyDescent="0.2">
      <c r="C56" s="527"/>
      <c r="D56" s="527"/>
      <c r="E56" s="527"/>
      <c r="F56" s="527"/>
    </row>
    <row r="57" spans="3:6" ht="12.75" customHeight="1" x14ac:dyDescent="0.2">
      <c r="C57" s="527"/>
      <c r="D57" s="527"/>
      <c r="E57" s="527"/>
      <c r="F57" s="527"/>
    </row>
    <row r="58" spans="3:6" ht="12.75" customHeight="1" x14ac:dyDescent="0.2">
      <c r="C58" s="527"/>
      <c r="D58" s="527"/>
      <c r="E58" s="527"/>
      <c r="F58" s="527"/>
    </row>
    <row r="59" spans="3:6" ht="12.75" customHeight="1" x14ac:dyDescent="0.2">
      <c r="C59" s="527"/>
      <c r="D59" s="527"/>
      <c r="E59" s="527"/>
      <c r="F59" s="527"/>
    </row>
    <row r="60" spans="3:6" ht="12.75" customHeight="1" x14ac:dyDescent="0.2">
      <c r="C60" s="527"/>
      <c r="D60" s="527"/>
      <c r="E60" s="527"/>
      <c r="F60" s="527"/>
    </row>
    <row r="61" spans="3:6" ht="12.75" customHeight="1" x14ac:dyDescent="0.2">
      <c r="C61" s="527"/>
      <c r="D61" s="527"/>
      <c r="E61" s="527"/>
      <c r="F61" s="527"/>
    </row>
    <row r="62" spans="3:6" ht="12.75" customHeight="1" x14ac:dyDescent="0.2">
      <c r="C62" s="527"/>
      <c r="D62" s="527"/>
      <c r="E62" s="527"/>
      <c r="F62" s="527"/>
    </row>
    <row r="63" spans="3:6" ht="12.75" customHeight="1" x14ac:dyDescent="0.2">
      <c r="C63" s="527"/>
      <c r="D63" s="527"/>
      <c r="E63" s="527"/>
      <c r="F63" s="527"/>
    </row>
    <row r="64" spans="3:6" ht="12.75" customHeight="1" x14ac:dyDescent="0.2">
      <c r="C64" s="527"/>
      <c r="D64" s="527"/>
      <c r="E64" s="527"/>
      <c r="F64" s="527"/>
    </row>
    <row r="65" spans="3:6" ht="12.75" customHeight="1" x14ac:dyDescent="0.2">
      <c r="C65" s="527"/>
      <c r="D65" s="527"/>
      <c r="E65" s="527"/>
      <c r="F65" s="527"/>
    </row>
    <row r="66" spans="3:6" ht="12.75" customHeight="1" x14ac:dyDescent="0.2">
      <c r="C66" s="527"/>
      <c r="D66" s="527"/>
      <c r="E66" s="527"/>
      <c r="F66" s="527"/>
    </row>
    <row r="67" spans="3:6" ht="12.75" customHeight="1" x14ac:dyDescent="0.2">
      <c r="C67" s="527"/>
      <c r="D67" s="527"/>
      <c r="E67" s="527"/>
      <c r="F67" s="527"/>
    </row>
    <row r="68" spans="3:6" ht="12.75" customHeight="1" x14ac:dyDescent="0.2">
      <c r="C68" s="527"/>
      <c r="D68" s="527"/>
      <c r="E68" s="527"/>
      <c r="F68" s="527"/>
    </row>
    <row r="69" spans="3:6" ht="12.75" customHeight="1" x14ac:dyDescent="0.2">
      <c r="C69" s="527"/>
      <c r="D69" s="527"/>
      <c r="E69" s="527"/>
      <c r="F69" s="527"/>
    </row>
    <row r="70" spans="3:6" ht="12.75" customHeight="1" x14ac:dyDescent="0.2">
      <c r="C70" s="527"/>
      <c r="D70" s="527"/>
      <c r="E70" s="527"/>
      <c r="F70" s="527"/>
    </row>
    <row r="71" spans="3:6" ht="12.75" customHeight="1" x14ac:dyDescent="0.2">
      <c r="C71" s="527"/>
      <c r="D71" s="527"/>
      <c r="E71" s="527"/>
      <c r="F71" s="527"/>
    </row>
    <row r="72" spans="3:6" ht="12.75" customHeight="1" x14ac:dyDescent="0.2">
      <c r="C72" s="527"/>
      <c r="D72" s="527"/>
      <c r="E72" s="527"/>
      <c r="F72" s="527"/>
    </row>
    <row r="73" spans="3:6" ht="12.75" customHeight="1" x14ac:dyDescent="0.2">
      <c r="C73" s="527"/>
      <c r="D73" s="527"/>
      <c r="E73" s="527"/>
      <c r="F73" s="527"/>
    </row>
    <row r="74" spans="3:6" ht="12.75" customHeight="1" x14ac:dyDescent="0.2">
      <c r="C74" s="527"/>
      <c r="D74" s="527"/>
      <c r="E74" s="527"/>
      <c r="F74" s="527"/>
    </row>
    <row r="75" spans="3:6" ht="12.75" customHeight="1" x14ac:dyDescent="0.2">
      <c r="C75" s="527"/>
      <c r="D75" s="527"/>
      <c r="E75" s="527"/>
      <c r="F75" s="527"/>
    </row>
    <row r="76" spans="3:6" ht="12.75" customHeight="1" x14ac:dyDescent="0.2">
      <c r="C76" s="527"/>
      <c r="D76" s="527"/>
      <c r="E76" s="527"/>
      <c r="F76" s="527"/>
    </row>
    <row r="77" spans="3:6" ht="12.75" customHeight="1" x14ac:dyDescent="0.2">
      <c r="C77" s="527"/>
      <c r="D77" s="527"/>
      <c r="E77" s="527"/>
      <c r="F77" s="527"/>
    </row>
    <row r="78" spans="3:6" ht="12.75" customHeight="1" x14ac:dyDescent="0.2">
      <c r="C78" s="527"/>
      <c r="D78" s="527"/>
      <c r="E78" s="527"/>
      <c r="F78" s="527"/>
    </row>
    <row r="79" spans="3:6" ht="12.75" customHeight="1" x14ac:dyDescent="0.2">
      <c r="C79" s="527"/>
      <c r="D79" s="527"/>
      <c r="E79" s="527"/>
      <c r="F79" s="527"/>
    </row>
    <row r="80" spans="3:6" ht="12.75" customHeight="1" x14ac:dyDescent="0.2">
      <c r="C80" s="527"/>
      <c r="D80" s="527"/>
      <c r="E80" s="527"/>
      <c r="F80" s="527"/>
    </row>
    <row r="81" spans="3:6" ht="12.75" customHeight="1" x14ac:dyDescent="0.2">
      <c r="C81" s="527"/>
      <c r="D81" s="527"/>
      <c r="E81" s="527"/>
      <c r="F81" s="527"/>
    </row>
    <row r="82" spans="3:6" ht="12.75" customHeight="1" x14ac:dyDescent="0.2">
      <c r="C82" s="527"/>
      <c r="D82" s="527"/>
      <c r="E82" s="527"/>
      <c r="F82" s="527"/>
    </row>
    <row r="83" spans="3:6" ht="12.75" customHeight="1" x14ac:dyDescent="0.2">
      <c r="C83" s="527"/>
      <c r="D83" s="527"/>
      <c r="E83" s="527"/>
      <c r="F83" s="527"/>
    </row>
    <row r="84" spans="3:6" ht="12.75" customHeight="1" x14ac:dyDescent="0.2">
      <c r="C84" s="527"/>
      <c r="D84" s="527"/>
      <c r="E84" s="527"/>
      <c r="F84" s="527"/>
    </row>
    <row r="85" spans="3:6" ht="12.75" customHeight="1" x14ac:dyDescent="0.2">
      <c r="C85" s="527"/>
      <c r="D85" s="527"/>
      <c r="E85" s="527"/>
      <c r="F85" s="527"/>
    </row>
    <row r="86" spans="3:6" ht="12.75" customHeight="1" x14ac:dyDescent="0.2">
      <c r="C86" s="527"/>
      <c r="D86" s="527"/>
      <c r="E86" s="527"/>
      <c r="F86" s="527"/>
    </row>
    <row r="87" spans="3:6" ht="12.75" customHeight="1" x14ac:dyDescent="0.2">
      <c r="C87" s="527"/>
      <c r="D87" s="527"/>
      <c r="E87" s="527"/>
      <c r="F87" s="527"/>
    </row>
    <row r="88" spans="3:6" ht="12.75" customHeight="1" x14ac:dyDescent="0.2">
      <c r="C88" s="527"/>
      <c r="D88" s="527"/>
      <c r="E88" s="527"/>
      <c r="F88" s="527"/>
    </row>
    <row r="89" spans="3:6" ht="12.75" customHeight="1" x14ac:dyDescent="0.2">
      <c r="C89" s="527"/>
      <c r="D89" s="527"/>
      <c r="E89" s="527"/>
      <c r="F89" s="527"/>
    </row>
    <row r="90" spans="3:6" ht="12.75" customHeight="1" x14ac:dyDescent="0.2">
      <c r="C90" s="527"/>
      <c r="D90" s="527"/>
      <c r="E90" s="527"/>
      <c r="F90" s="527"/>
    </row>
    <row r="91" spans="3:6" ht="12.75" customHeight="1" x14ac:dyDescent="0.2">
      <c r="C91" s="527"/>
      <c r="D91" s="527"/>
      <c r="E91" s="527"/>
      <c r="F91" s="527"/>
    </row>
    <row r="92" spans="3:6" ht="12.75" customHeight="1" x14ac:dyDescent="0.2">
      <c r="C92" s="527"/>
      <c r="D92" s="527"/>
      <c r="E92" s="527"/>
      <c r="F92" s="527"/>
    </row>
    <row r="93" spans="3:6" ht="12.75" customHeight="1" x14ac:dyDescent="0.2">
      <c r="C93" s="527"/>
      <c r="D93" s="527"/>
      <c r="E93" s="527"/>
      <c r="F93" s="527"/>
    </row>
    <row r="94" spans="3:6" ht="12.75" customHeight="1" x14ac:dyDescent="0.2">
      <c r="C94" s="527"/>
      <c r="D94" s="527"/>
      <c r="E94" s="527"/>
      <c r="F94" s="527"/>
    </row>
    <row r="95" spans="3:6" ht="12.75" customHeight="1" x14ac:dyDescent="0.2">
      <c r="C95" s="527"/>
      <c r="D95" s="527"/>
      <c r="E95" s="527"/>
      <c r="F95" s="527"/>
    </row>
    <row r="96" spans="3:6" ht="12.75" customHeight="1" x14ac:dyDescent="0.2">
      <c r="C96" s="527"/>
      <c r="D96" s="527"/>
      <c r="E96" s="527"/>
      <c r="F96" s="527"/>
    </row>
    <row r="97" spans="3:6" ht="12.75" customHeight="1" x14ac:dyDescent="0.2">
      <c r="C97" s="527"/>
      <c r="D97" s="527"/>
      <c r="E97" s="527"/>
      <c r="F97" s="527"/>
    </row>
    <row r="98" spans="3:6" ht="12.75" customHeight="1" x14ac:dyDescent="0.2">
      <c r="C98" s="527"/>
      <c r="D98" s="527"/>
      <c r="E98" s="527"/>
      <c r="F98" s="527"/>
    </row>
    <row r="99" spans="3:6" ht="12.75" customHeight="1" x14ac:dyDescent="0.2">
      <c r="C99" s="527"/>
      <c r="D99" s="527"/>
      <c r="E99" s="527"/>
      <c r="F99" s="527"/>
    </row>
    <row r="100" spans="3:6" ht="12.75" customHeight="1" x14ac:dyDescent="0.2">
      <c r="C100" s="527"/>
      <c r="D100" s="527"/>
      <c r="E100" s="527"/>
      <c r="F100" s="527"/>
    </row>
    <row r="101" spans="3:6" ht="12.75" customHeight="1" x14ac:dyDescent="0.2">
      <c r="C101" s="527"/>
      <c r="D101" s="527"/>
      <c r="E101" s="527"/>
      <c r="F101" s="527"/>
    </row>
    <row r="102" spans="3:6" ht="12.75" customHeight="1" x14ac:dyDescent="0.2">
      <c r="C102" s="527"/>
      <c r="D102" s="527"/>
      <c r="E102" s="527"/>
      <c r="F102" s="527"/>
    </row>
    <row r="103" spans="3:6" ht="12.75" customHeight="1" x14ac:dyDescent="0.2">
      <c r="C103" s="527"/>
      <c r="D103" s="527"/>
      <c r="E103" s="527"/>
      <c r="F103" s="527"/>
    </row>
    <row r="104" spans="3:6" ht="12.75" customHeight="1" x14ac:dyDescent="0.2">
      <c r="C104" s="527"/>
      <c r="D104" s="527"/>
      <c r="E104" s="527"/>
      <c r="F104" s="527"/>
    </row>
    <row r="105" spans="3:6" ht="12.75" customHeight="1" x14ac:dyDescent="0.2">
      <c r="C105" s="527"/>
      <c r="D105" s="527"/>
      <c r="E105" s="527"/>
      <c r="F105" s="527"/>
    </row>
    <row r="106" spans="3:6" ht="12.75" customHeight="1" x14ac:dyDescent="0.2">
      <c r="C106" s="527"/>
      <c r="D106" s="527"/>
      <c r="E106" s="527"/>
      <c r="F106" s="527"/>
    </row>
    <row r="107" spans="3:6" ht="12.75" customHeight="1" x14ac:dyDescent="0.2">
      <c r="C107" s="527"/>
      <c r="D107" s="527"/>
      <c r="E107" s="527"/>
      <c r="F107" s="527"/>
    </row>
    <row r="108" spans="3:6" ht="12.75" customHeight="1" x14ac:dyDescent="0.2">
      <c r="C108" s="527"/>
      <c r="D108" s="527"/>
      <c r="E108" s="527"/>
      <c r="F108" s="527"/>
    </row>
    <row r="109" spans="3:6" ht="12.75" customHeight="1" x14ac:dyDescent="0.2">
      <c r="C109" s="527"/>
      <c r="D109" s="527"/>
      <c r="E109" s="527"/>
      <c r="F109" s="527"/>
    </row>
    <row r="110" spans="3:6" ht="12.75" customHeight="1" x14ac:dyDescent="0.2">
      <c r="C110" s="527"/>
      <c r="D110" s="527"/>
      <c r="E110" s="527"/>
      <c r="F110" s="527"/>
    </row>
    <row r="111" spans="3:6" ht="12.75" customHeight="1" x14ac:dyDescent="0.2">
      <c r="C111" s="527"/>
      <c r="D111" s="527"/>
      <c r="E111" s="527"/>
      <c r="F111" s="527"/>
    </row>
    <row r="112" spans="3:6" ht="12.75" customHeight="1" x14ac:dyDescent="0.2">
      <c r="C112" s="527"/>
      <c r="D112" s="527"/>
      <c r="E112" s="527"/>
      <c r="F112" s="527"/>
    </row>
    <row r="113" spans="3:6" ht="12.75" customHeight="1" x14ac:dyDescent="0.2">
      <c r="C113" s="527"/>
      <c r="D113" s="527"/>
      <c r="E113" s="527"/>
      <c r="F113" s="527"/>
    </row>
    <row r="114" spans="3:6" ht="12.75" customHeight="1" x14ac:dyDescent="0.2">
      <c r="C114" s="527"/>
      <c r="D114" s="527"/>
      <c r="E114" s="527"/>
      <c r="F114" s="527"/>
    </row>
    <row r="115" spans="3:6" ht="12.75" customHeight="1" x14ac:dyDescent="0.2">
      <c r="C115" s="527"/>
      <c r="D115" s="527"/>
      <c r="E115" s="527"/>
      <c r="F115" s="527"/>
    </row>
    <row r="116" spans="3:6" ht="12.75" customHeight="1" x14ac:dyDescent="0.2">
      <c r="C116" s="527"/>
      <c r="D116" s="527"/>
      <c r="E116" s="527"/>
      <c r="F116" s="527"/>
    </row>
    <row r="117" spans="3:6" ht="12.75" customHeight="1" x14ac:dyDescent="0.2">
      <c r="C117" s="527"/>
      <c r="D117" s="527"/>
      <c r="E117" s="527"/>
      <c r="F117" s="527"/>
    </row>
    <row r="118" spans="3:6" ht="12.75" customHeight="1" x14ac:dyDescent="0.2">
      <c r="C118" s="527"/>
      <c r="D118" s="527"/>
      <c r="E118" s="527"/>
      <c r="F118" s="527"/>
    </row>
    <row r="119" spans="3:6" ht="12.75" customHeight="1" x14ac:dyDescent="0.2">
      <c r="C119" s="527"/>
      <c r="D119" s="527"/>
      <c r="E119" s="527"/>
      <c r="F119" s="527"/>
    </row>
    <row r="120" spans="3:6" ht="12.75" customHeight="1" x14ac:dyDescent="0.2">
      <c r="C120" s="527"/>
      <c r="D120" s="527"/>
      <c r="E120" s="527"/>
      <c r="F120" s="527"/>
    </row>
    <row r="121" spans="3:6" ht="12.75" customHeight="1" x14ac:dyDescent="0.2">
      <c r="C121" s="527"/>
      <c r="D121" s="527"/>
      <c r="E121" s="527"/>
      <c r="F121" s="527"/>
    </row>
    <row r="122" spans="3:6" ht="12.75" customHeight="1" x14ac:dyDescent="0.2">
      <c r="C122" s="527"/>
      <c r="D122" s="527"/>
      <c r="E122" s="527"/>
      <c r="F122" s="527"/>
    </row>
    <row r="123" spans="3:6" ht="12.75" customHeight="1" x14ac:dyDescent="0.2">
      <c r="C123" s="527"/>
      <c r="D123" s="527"/>
      <c r="E123" s="527"/>
      <c r="F123" s="527"/>
    </row>
    <row r="124" spans="3:6" ht="12.75" customHeight="1" x14ac:dyDescent="0.2">
      <c r="C124" s="527"/>
      <c r="D124" s="527"/>
      <c r="E124" s="527"/>
      <c r="F124" s="527"/>
    </row>
    <row r="125" spans="3:6" ht="12.75" customHeight="1" x14ac:dyDescent="0.2">
      <c r="C125" s="527"/>
      <c r="D125" s="527"/>
      <c r="E125" s="527"/>
      <c r="F125" s="527"/>
    </row>
    <row r="126" spans="3:6" ht="12.75" customHeight="1" x14ac:dyDescent="0.2">
      <c r="C126" s="527"/>
      <c r="D126" s="527"/>
      <c r="E126" s="527"/>
      <c r="F126" s="527"/>
    </row>
    <row r="127" spans="3:6" ht="12.75" customHeight="1" x14ac:dyDescent="0.2">
      <c r="C127" s="527"/>
      <c r="D127" s="527"/>
      <c r="E127" s="527"/>
      <c r="F127" s="527"/>
    </row>
    <row r="128" spans="3:6" ht="12.75" customHeight="1" x14ac:dyDescent="0.2">
      <c r="C128" s="527"/>
      <c r="D128" s="527"/>
      <c r="E128" s="527"/>
      <c r="F128" s="527"/>
    </row>
    <row r="129" spans="3:6" ht="12.75" customHeight="1" x14ac:dyDescent="0.2">
      <c r="C129" s="527"/>
      <c r="D129" s="527"/>
      <c r="E129" s="527"/>
      <c r="F129" s="527"/>
    </row>
    <row r="130" spans="3:6" ht="12.75" customHeight="1" x14ac:dyDescent="0.2">
      <c r="C130" s="527"/>
      <c r="D130" s="527"/>
      <c r="E130" s="527"/>
      <c r="F130" s="527"/>
    </row>
    <row r="131" spans="3:6" ht="12.75" customHeight="1" x14ac:dyDescent="0.2">
      <c r="C131" s="527"/>
      <c r="D131" s="527"/>
      <c r="E131" s="527"/>
      <c r="F131" s="527"/>
    </row>
    <row r="132" spans="3:6" ht="12.75" customHeight="1" x14ac:dyDescent="0.2">
      <c r="C132" s="527"/>
      <c r="D132" s="527"/>
      <c r="E132" s="527"/>
      <c r="F132" s="527"/>
    </row>
    <row r="133" spans="3:6" ht="12.75" customHeight="1" x14ac:dyDescent="0.2">
      <c r="C133" s="527"/>
      <c r="D133" s="527"/>
      <c r="E133" s="527"/>
      <c r="F133" s="527"/>
    </row>
    <row r="134" spans="3:6" ht="12.75" customHeight="1" x14ac:dyDescent="0.2">
      <c r="C134" s="527"/>
      <c r="D134" s="527"/>
      <c r="E134" s="527"/>
      <c r="F134" s="527"/>
    </row>
    <row r="135" spans="3:6" ht="12.75" customHeight="1" x14ac:dyDescent="0.2">
      <c r="C135" s="527"/>
      <c r="D135" s="527"/>
      <c r="E135" s="527"/>
      <c r="F135" s="527"/>
    </row>
    <row r="136" spans="3:6" ht="12.75" customHeight="1" x14ac:dyDescent="0.2">
      <c r="C136" s="527"/>
      <c r="D136" s="527"/>
      <c r="E136" s="527"/>
      <c r="F136" s="527"/>
    </row>
    <row r="137" spans="3:6" ht="12.75" customHeight="1" x14ac:dyDescent="0.2">
      <c r="C137" s="527"/>
      <c r="D137" s="527"/>
      <c r="E137" s="527"/>
      <c r="F137" s="527"/>
    </row>
    <row r="138" spans="3:6" ht="12.75" customHeight="1" x14ac:dyDescent="0.2">
      <c r="C138" s="527"/>
      <c r="D138" s="527"/>
      <c r="E138" s="527"/>
      <c r="F138" s="527"/>
    </row>
    <row r="139" spans="3:6" ht="12.75" customHeight="1" x14ac:dyDescent="0.2">
      <c r="C139" s="527"/>
      <c r="D139" s="527"/>
      <c r="E139" s="527"/>
      <c r="F139" s="527"/>
    </row>
    <row r="140" spans="3:6" ht="12.75" customHeight="1" x14ac:dyDescent="0.2">
      <c r="C140" s="527"/>
      <c r="D140" s="527"/>
      <c r="E140" s="527"/>
      <c r="F140" s="527"/>
    </row>
    <row r="141" spans="3:6" ht="12.75" customHeight="1" x14ac:dyDescent="0.2">
      <c r="C141" s="527"/>
      <c r="D141" s="527"/>
      <c r="E141" s="527"/>
      <c r="F141" s="527"/>
    </row>
    <row r="142" spans="3:6" ht="12.75" customHeight="1" x14ac:dyDescent="0.2">
      <c r="C142" s="527"/>
      <c r="D142" s="527"/>
      <c r="E142" s="527"/>
      <c r="F142" s="527"/>
    </row>
    <row r="143" spans="3:6" ht="12.75" customHeight="1" x14ac:dyDescent="0.2">
      <c r="C143" s="527"/>
      <c r="D143" s="527"/>
      <c r="E143" s="527"/>
      <c r="F143" s="527"/>
    </row>
    <row r="144" spans="3:6" ht="12.75" customHeight="1" x14ac:dyDescent="0.2">
      <c r="C144" s="527"/>
      <c r="D144" s="527"/>
      <c r="E144" s="527"/>
      <c r="F144" s="527"/>
    </row>
    <row r="145" spans="3:6" ht="12.75" customHeight="1" x14ac:dyDescent="0.2">
      <c r="C145" s="527"/>
      <c r="D145" s="527"/>
      <c r="E145" s="527"/>
      <c r="F145" s="527"/>
    </row>
    <row r="146" spans="3:6" ht="12.75" customHeight="1" x14ac:dyDescent="0.2">
      <c r="C146" s="527"/>
      <c r="D146" s="527"/>
      <c r="E146" s="527"/>
      <c r="F146" s="527"/>
    </row>
    <row r="147" spans="3:6" ht="12.75" customHeight="1" x14ac:dyDescent="0.2">
      <c r="C147" s="527"/>
      <c r="D147" s="527"/>
      <c r="E147" s="527"/>
      <c r="F147" s="527"/>
    </row>
    <row r="148" spans="3:6" ht="12.75" customHeight="1" x14ac:dyDescent="0.2">
      <c r="C148" s="527"/>
      <c r="D148" s="527"/>
      <c r="E148" s="527"/>
      <c r="F148" s="527"/>
    </row>
    <row r="149" spans="3:6" ht="12.75" customHeight="1" x14ac:dyDescent="0.2">
      <c r="C149" s="527"/>
      <c r="D149" s="527"/>
      <c r="E149" s="527"/>
      <c r="F149" s="527"/>
    </row>
    <row r="150" spans="3:6" ht="12.75" customHeight="1" x14ac:dyDescent="0.2">
      <c r="C150" s="527"/>
      <c r="D150" s="527"/>
      <c r="E150" s="527"/>
      <c r="F150" s="527"/>
    </row>
    <row r="151" spans="3:6" ht="12.75" customHeight="1" x14ac:dyDescent="0.2">
      <c r="C151" s="527"/>
      <c r="D151" s="527"/>
      <c r="E151" s="527"/>
      <c r="F151" s="527"/>
    </row>
    <row r="152" spans="3:6" ht="12.75" customHeight="1" x14ac:dyDescent="0.2">
      <c r="C152" s="527"/>
      <c r="D152" s="527"/>
      <c r="E152" s="527"/>
      <c r="F152" s="527"/>
    </row>
    <row r="153" spans="3:6" ht="12.75" customHeight="1" x14ac:dyDescent="0.2">
      <c r="C153" s="527"/>
      <c r="D153" s="527"/>
      <c r="E153" s="527"/>
      <c r="F153" s="527"/>
    </row>
    <row r="154" spans="3:6" ht="12.75" customHeight="1" x14ac:dyDescent="0.2">
      <c r="C154" s="527"/>
      <c r="D154" s="527"/>
      <c r="E154" s="527"/>
      <c r="F154" s="527"/>
    </row>
    <row r="155" spans="3:6" ht="12.75" customHeight="1" x14ac:dyDescent="0.2">
      <c r="C155" s="527"/>
      <c r="D155" s="527"/>
      <c r="E155" s="527"/>
      <c r="F155" s="527"/>
    </row>
    <row r="156" spans="3:6" ht="12.75" customHeight="1" x14ac:dyDescent="0.2">
      <c r="C156" s="527"/>
      <c r="D156" s="527"/>
      <c r="E156" s="527"/>
      <c r="F156" s="527"/>
    </row>
    <row r="157" spans="3:6" ht="12.75" customHeight="1" x14ac:dyDescent="0.2">
      <c r="C157" s="527"/>
      <c r="D157" s="527"/>
      <c r="E157" s="527"/>
      <c r="F157" s="527"/>
    </row>
    <row r="158" spans="3:6" ht="12.75" customHeight="1" x14ac:dyDescent="0.2">
      <c r="C158" s="527"/>
      <c r="D158" s="527"/>
      <c r="E158" s="527"/>
      <c r="F158" s="527"/>
    </row>
    <row r="159" spans="3:6" ht="12.75" customHeight="1" x14ac:dyDescent="0.2">
      <c r="C159" s="527"/>
      <c r="D159" s="527"/>
      <c r="E159" s="527"/>
      <c r="F159" s="527"/>
    </row>
    <row r="160" spans="3:6" ht="12.75" customHeight="1" x14ac:dyDescent="0.2">
      <c r="C160" s="527"/>
      <c r="D160" s="527"/>
      <c r="E160" s="527"/>
      <c r="F160" s="527"/>
    </row>
    <row r="161" spans="3:6" ht="12.75" customHeight="1" x14ac:dyDescent="0.2">
      <c r="C161" s="527"/>
      <c r="D161" s="527"/>
      <c r="E161" s="527"/>
      <c r="F161" s="527"/>
    </row>
    <row r="162" spans="3:6" ht="12.75" customHeight="1" x14ac:dyDescent="0.2">
      <c r="C162" s="527"/>
      <c r="D162" s="527"/>
      <c r="E162" s="527"/>
      <c r="F162" s="527"/>
    </row>
    <row r="163" spans="3:6" ht="12.75" customHeight="1" x14ac:dyDescent="0.2">
      <c r="C163" s="527"/>
      <c r="D163" s="527"/>
      <c r="E163" s="527"/>
      <c r="F163" s="527"/>
    </row>
    <row r="164" spans="3:6" ht="12.75" customHeight="1" x14ac:dyDescent="0.2">
      <c r="C164" s="527"/>
      <c r="D164" s="527"/>
      <c r="E164" s="527"/>
      <c r="F164" s="527"/>
    </row>
    <row r="165" spans="3:6" ht="12.75" customHeight="1" x14ac:dyDescent="0.2">
      <c r="C165" s="527"/>
      <c r="D165" s="527"/>
      <c r="E165" s="527"/>
      <c r="F165" s="527"/>
    </row>
    <row r="166" spans="3:6" ht="12.75" customHeight="1" x14ac:dyDescent="0.2">
      <c r="C166" s="527"/>
      <c r="D166" s="527"/>
      <c r="E166" s="527"/>
      <c r="F166" s="527"/>
    </row>
    <row r="167" spans="3:6" ht="12.75" customHeight="1" x14ac:dyDescent="0.2">
      <c r="C167" s="527"/>
      <c r="D167" s="527"/>
      <c r="E167" s="527"/>
      <c r="F167" s="527"/>
    </row>
    <row r="168" spans="3:6" ht="12.75" customHeight="1" x14ac:dyDescent="0.2">
      <c r="C168" s="527"/>
      <c r="D168" s="527"/>
      <c r="E168" s="527"/>
      <c r="F168" s="527"/>
    </row>
    <row r="169" spans="3:6" ht="12.75" customHeight="1" x14ac:dyDescent="0.2">
      <c r="C169" s="527"/>
      <c r="D169" s="527"/>
      <c r="E169" s="527"/>
      <c r="F169" s="527"/>
    </row>
    <row r="170" spans="3:6" ht="12.75" customHeight="1" x14ac:dyDescent="0.2">
      <c r="C170" s="527"/>
      <c r="D170" s="527"/>
      <c r="E170" s="527"/>
      <c r="F170" s="527"/>
    </row>
    <row r="171" spans="3:6" ht="12.75" customHeight="1" x14ac:dyDescent="0.2">
      <c r="C171" s="527"/>
      <c r="D171" s="527"/>
      <c r="E171" s="527"/>
      <c r="F171" s="527"/>
    </row>
    <row r="172" spans="3:6" ht="12.75" customHeight="1" x14ac:dyDescent="0.2">
      <c r="C172" s="527"/>
      <c r="D172" s="527"/>
      <c r="E172" s="527"/>
      <c r="F172" s="527"/>
    </row>
    <row r="173" spans="3:6" ht="12.75" customHeight="1" x14ac:dyDescent="0.2">
      <c r="C173" s="527"/>
      <c r="D173" s="527"/>
      <c r="E173" s="527"/>
      <c r="F173" s="527"/>
    </row>
    <row r="174" spans="3:6" ht="12.75" customHeight="1" x14ac:dyDescent="0.2">
      <c r="C174" s="527"/>
      <c r="D174" s="527"/>
      <c r="E174" s="527"/>
      <c r="F174" s="527"/>
    </row>
    <row r="175" spans="3:6" ht="12.75" customHeight="1" x14ac:dyDescent="0.2">
      <c r="C175" s="527"/>
      <c r="D175" s="527"/>
      <c r="E175" s="527"/>
      <c r="F175" s="527"/>
    </row>
    <row r="176" spans="3:6" ht="12.75" customHeight="1" x14ac:dyDescent="0.2">
      <c r="C176" s="527"/>
      <c r="D176" s="527"/>
      <c r="E176" s="527"/>
      <c r="F176" s="527"/>
    </row>
    <row r="177" spans="3:6" ht="12.75" customHeight="1" x14ac:dyDescent="0.2">
      <c r="C177" s="527"/>
      <c r="D177" s="527"/>
      <c r="E177" s="527"/>
      <c r="F177" s="527"/>
    </row>
    <row r="178" spans="3:6" ht="12.75" customHeight="1" x14ac:dyDescent="0.2">
      <c r="C178" s="527"/>
      <c r="D178" s="527"/>
      <c r="E178" s="527"/>
      <c r="F178" s="527"/>
    </row>
    <row r="179" spans="3:6" ht="12.75" customHeight="1" x14ac:dyDescent="0.2">
      <c r="C179" s="527"/>
      <c r="D179" s="527"/>
      <c r="E179" s="527"/>
      <c r="F179" s="527"/>
    </row>
    <row r="180" spans="3:6" ht="12.75" customHeight="1" x14ac:dyDescent="0.2">
      <c r="C180" s="527"/>
      <c r="D180" s="527"/>
      <c r="E180" s="527"/>
      <c r="F180" s="527"/>
    </row>
    <row r="181" spans="3:6" ht="12.75" customHeight="1" x14ac:dyDescent="0.2">
      <c r="C181" s="527"/>
      <c r="D181" s="527"/>
      <c r="E181" s="527"/>
      <c r="F181" s="527"/>
    </row>
    <row r="182" spans="3:6" ht="12.75" customHeight="1" x14ac:dyDescent="0.2">
      <c r="C182" s="527"/>
      <c r="D182" s="527"/>
      <c r="E182" s="527"/>
      <c r="F182" s="527"/>
    </row>
    <row r="183" spans="3:6" ht="12.75" customHeight="1" x14ac:dyDescent="0.2">
      <c r="C183" s="527"/>
      <c r="D183" s="527"/>
      <c r="E183" s="527"/>
      <c r="F183" s="527"/>
    </row>
    <row r="184" spans="3:6" ht="12.75" customHeight="1" x14ac:dyDescent="0.2">
      <c r="C184" s="527"/>
      <c r="D184" s="527"/>
      <c r="E184" s="527"/>
      <c r="F184" s="527"/>
    </row>
    <row r="185" spans="3:6" ht="12.75" customHeight="1" x14ac:dyDescent="0.2">
      <c r="C185" s="527"/>
      <c r="D185" s="527"/>
      <c r="E185" s="527"/>
      <c r="F185" s="527"/>
    </row>
    <row r="186" spans="3:6" ht="12.75" customHeight="1" x14ac:dyDescent="0.2">
      <c r="C186" s="527"/>
      <c r="D186" s="527"/>
      <c r="E186" s="527"/>
      <c r="F186" s="527"/>
    </row>
    <row r="187" spans="3:6" ht="12.75" customHeight="1" x14ac:dyDescent="0.2">
      <c r="C187" s="527"/>
      <c r="D187" s="527"/>
      <c r="E187" s="527"/>
      <c r="F187" s="527"/>
    </row>
    <row r="188" spans="3:6" ht="12.75" customHeight="1" x14ac:dyDescent="0.2">
      <c r="C188" s="527"/>
      <c r="D188" s="527"/>
      <c r="E188" s="527"/>
      <c r="F188" s="527"/>
    </row>
    <row r="189" spans="3:6" ht="12.75" customHeight="1" x14ac:dyDescent="0.2">
      <c r="C189" s="527"/>
      <c r="D189" s="527"/>
      <c r="E189" s="527"/>
      <c r="F189" s="527"/>
    </row>
    <row r="190" spans="3:6" ht="12.75" customHeight="1" x14ac:dyDescent="0.2">
      <c r="C190" s="527"/>
      <c r="D190" s="527"/>
      <c r="E190" s="527"/>
      <c r="F190" s="527"/>
    </row>
    <row r="191" spans="3:6" ht="12.75" customHeight="1" x14ac:dyDescent="0.2">
      <c r="C191" s="527"/>
      <c r="D191" s="527"/>
      <c r="E191" s="527"/>
      <c r="F191" s="527"/>
    </row>
    <row r="192" spans="3:6" ht="12.75" customHeight="1" x14ac:dyDescent="0.2">
      <c r="C192" s="527"/>
      <c r="D192" s="527"/>
      <c r="E192" s="527"/>
      <c r="F192" s="527"/>
    </row>
    <row r="193" spans="3:6" ht="12.75" customHeight="1" x14ac:dyDescent="0.2">
      <c r="C193" s="527"/>
      <c r="D193" s="527"/>
      <c r="E193" s="527"/>
      <c r="F193" s="527"/>
    </row>
    <row r="194" spans="3:6" ht="12.75" customHeight="1" x14ac:dyDescent="0.2">
      <c r="C194" s="527"/>
      <c r="D194" s="527"/>
      <c r="E194" s="527"/>
      <c r="F194" s="527"/>
    </row>
    <row r="195" spans="3:6" ht="12.75" customHeight="1" x14ac:dyDescent="0.2">
      <c r="C195" s="527"/>
      <c r="D195" s="527"/>
      <c r="E195" s="527"/>
      <c r="F195" s="527"/>
    </row>
    <row r="196" spans="3:6" ht="12.75" customHeight="1" x14ac:dyDescent="0.2">
      <c r="C196" s="527"/>
      <c r="D196" s="527"/>
      <c r="E196" s="527"/>
      <c r="F196" s="527"/>
    </row>
    <row r="197" spans="3:6" ht="12.75" customHeight="1" x14ac:dyDescent="0.2">
      <c r="C197" s="527"/>
      <c r="D197" s="527"/>
      <c r="E197" s="527"/>
      <c r="F197" s="527"/>
    </row>
    <row r="198" spans="3:6" ht="12.75" customHeight="1" x14ac:dyDescent="0.2">
      <c r="C198" s="527"/>
      <c r="D198" s="527"/>
      <c r="E198" s="527"/>
      <c r="F198" s="527"/>
    </row>
    <row r="199" spans="3:6" ht="12.75" customHeight="1" x14ac:dyDescent="0.2">
      <c r="C199" s="527"/>
      <c r="D199" s="527"/>
      <c r="E199" s="527"/>
      <c r="F199" s="527"/>
    </row>
    <row r="200" spans="3:6" ht="12.75" customHeight="1" x14ac:dyDescent="0.2">
      <c r="C200" s="527"/>
      <c r="D200" s="527"/>
      <c r="E200" s="527"/>
      <c r="F200" s="527"/>
    </row>
    <row r="201" spans="3:6" ht="12.75" customHeight="1" x14ac:dyDescent="0.2">
      <c r="C201" s="527"/>
      <c r="D201" s="527"/>
      <c r="E201" s="527"/>
      <c r="F201" s="527"/>
    </row>
    <row r="202" spans="3:6" ht="12.75" customHeight="1" x14ac:dyDescent="0.2">
      <c r="C202" s="527"/>
      <c r="D202" s="527"/>
      <c r="E202" s="527"/>
      <c r="F202" s="527"/>
    </row>
    <row r="203" spans="3:6" ht="12.75" customHeight="1" x14ac:dyDescent="0.2">
      <c r="C203" s="527"/>
      <c r="D203" s="527"/>
      <c r="E203" s="527"/>
      <c r="F203" s="527"/>
    </row>
    <row r="204" spans="3:6" ht="12.75" customHeight="1" x14ac:dyDescent="0.2">
      <c r="C204" s="527"/>
      <c r="D204" s="527"/>
      <c r="E204" s="527"/>
      <c r="F204" s="527"/>
    </row>
    <row r="205" spans="3:6" ht="12.75" customHeight="1" x14ac:dyDescent="0.2">
      <c r="C205" s="527"/>
      <c r="D205" s="527"/>
      <c r="E205" s="527"/>
      <c r="F205" s="527"/>
    </row>
    <row r="206" spans="3:6" ht="12.75" customHeight="1" x14ac:dyDescent="0.2">
      <c r="C206" s="527"/>
      <c r="D206" s="527"/>
      <c r="E206" s="527"/>
      <c r="F206" s="527"/>
    </row>
    <row r="207" spans="3:6" ht="12.75" customHeight="1" x14ac:dyDescent="0.2">
      <c r="C207" s="527"/>
      <c r="D207" s="527"/>
      <c r="E207" s="527"/>
      <c r="F207" s="527"/>
    </row>
    <row r="208" spans="3:6" ht="12.75" customHeight="1" x14ac:dyDescent="0.2">
      <c r="C208" s="527"/>
      <c r="D208" s="527"/>
      <c r="E208" s="527"/>
      <c r="F208" s="527"/>
    </row>
    <row r="209" spans="3:6" ht="12.75" customHeight="1" x14ac:dyDescent="0.2">
      <c r="C209" s="527"/>
      <c r="D209" s="527"/>
      <c r="E209" s="527"/>
      <c r="F209" s="527"/>
    </row>
    <row r="210" spans="3:6" ht="12.75" customHeight="1" x14ac:dyDescent="0.2">
      <c r="C210" s="527"/>
      <c r="D210" s="527"/>
      <c r="E210" s="527"/>
      <c r="F210" s="527"/>
    </row>
    <row r="211" spans="3:6" ht="12.75" customHeight="1" x14ac:dyDescent="0.2">
      <c r="C211" s="527"/>
      <c r="D211" s="527"/>
      <c r="E211" s="527"/>
      <c r="F211" s="527"/>
    </row>
    <row r="212" spans="3:6" ht="12.75" customHeight="1" x14ac:dyDescent="0.2">
      <c r="C212" s="527"/>
      <c r="D212" s="527"/>
      <c r="E212" s="527"/>
      <c r="F212" s="527"/>
    </row>
    <row r="213" spans="3:6" ht="12.75" customHeight="1" x14ac:dyDescent="0.2">
      <c r="C213" s="527"/>
      <c r="D213" s="527"/>
      <c r="E213" s="527"/>
      <c r="F213" s="527"/>
    </row>
    <row r="214" spans="3:6" ht="12.75" customHeight="1" x14ac:dyDescent="0.2">
      <c r="C214" s="527"/>
      <c r="D214" s="527"/>
      <c r="E214" s="527"/>
      <c r="F214" s="527"/>
    </row>
    <row r="215" spans="3:6" ht="12.75" customHeight="1" x14ac:dyDescent="0.2">
      <c r="C215" s="527"/>
      <c r="D215" s="527"/>
      <c r="E215" s="527"/>
      <c r="F215" s="527"/>
    </row>
    <row r="216" spans="3:6" ht="12.75" customHeight="1" x14ac:dyDescent="0.2">
      <c r="C216" s="527"/>
      <c r="D216" s="527"/>
      <c r="E216" s="527"/>
      <c r="F216" s="527"/>
    </row>
    <row r="217" spans="3:6" ht="12.75" customHeight="1" x14ac:dyDescent="0.2">
      <c r="C217" s="527"/>
      <c r="D217" s="527"/>
      <c r="E217" s="527"/>
      <c r="F217" s="527"/>
    </row>
    <row r="218" spans="3:6" ht="12.75" customHeight="1" x14ac:dyDescent="0.2">
      <c r="C218" s="527"/>
      <c r="D218" s="527"/>
      <c r="E218" s="527"/>
      <c r="F218" s="527"/>
    </row>
    <row r="219" spans="3:6" ht="12.75" customHeight="1" x14ac:dyDescent="0.2">
      <c r="C219" s="527"/>
      <c r="D219" s="527"/>
      <c r="E219" s="527"/>
      <c r="F219" s="527"/>
    </row>
    <row r="220" spans="3:6" ht="12.75" customHeight="1" x14ac:dyDescent="0.2">
      <c r="C220" s="527"/>
      <c r="D220" s="527"/>
      <c r="E220" s="527"/>
      <c r="F220" s="527"/>
    </row>
    <row r="221" spans="3:6" ht="12.75" customHeight="1" x14ac:dyDescent="0.2">
      <c r="C221" s="527"/>
      <c r="D221" s="527"/>
      <c r="E221" s="527"/>
      <c r="F221" s="527"/>
    </row>
    <row r="222" spans="3:6" ht="12.75" customHeight="1" x14ac:dyDescent="0.2">
      <c r="C222" s="527"/>
      <c r="D222" s="527"/>
      <c r="E222" s="527"/>
      <c r="F222" s="527"/>
    </row>
    <row r="223" spans="3:6" ht="12.75" customHeight="1" x14ac:dyDescent="0.2">
      <c r="D223" s="527"/>
      <c r="E223" s="527"/>
      <c r="F223" s="527"/>
    </row>
  </sheetData>
  <mergeCells count="5">
    <mergeCell ref="A5:F5"/>
    <mergeCell ref="A1:F1"/>
    <mergeCell ref="A2:F2"/>
    <mergeCell ref="A3:F3"/>
    <mergeCell ref="A4:F4"/>
  </mergeCells>
  <phoneticPr fontId="3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workbookViewId="0">
      <selection activeCell="E20" sqref="E20"/>
    </sheetView>
  </sheetViews>
  <sheetFormatPr defaultColWidth="10.6640625" defaultRowHeight="10.5" x14ac:dyDescent="0.15"/>
  <cols>
    <col min="1" max="1" width="5.83203125" style="43" bestFit="1" customWidth="1"/>
    <col min="2" max="2" width="2.83203125" style="43" customWidth="1"/>
    <col min="3" max="3" width="72.1640625" style="43" bestFit="1" customWidth="1"/>
    <col min="4" max="4" width="28.83203125" style="43" customWidth="1"/>
    <col min="5" max="5" width="12.83203125" style="43" customWidth="1"/>
    <col min="6" max="16384" width="10.6640625" style="43"/>
  </cols>
  <sheetData>
    <row r="1" spans="1:8" ht="12.75" customHeight="1" x14ac:dyDescent="0.2">
      <c r="A1" s="1440" t="s">
        <v>477</v>
      </c>
      <c r="B1" s="1440"/>
      <c r="C1" s="1440"/>
      <c r="D1" s="1440"/>
      <c r="E1" s="1440"/>
      <c r="F1" s="544"/>
      <c r="G1" s="544"/>
      <c r="H1" s="544"/>
    </row>
    <row r="2" spans="1:8" ht="12.75" customHeight="1" x14ac:dyDescent="0.2">
      <c r="A2" s="1440" t="str">
        <f>+Input!C4</f>
        <v>CASE NO. 2017-xxxxx</v>
      </c>
      <c r="B2" s="1440"/>
      <c r="C2" s="1440"/>
      <c r="D2" s="1440"/>
      <c r="E2" s="1440"/>
      <c r="F2" s="544"/>
      <c r="G2" s="544"/>
      <c r="H2" s="544"/>
    </row>
    <row r="3" spans="1:8" ht="12.75" customHeight="1" x14ac:dyDescent="0.2">
      <c r="A3" s="1440" t="s">
        <v>1500</v>
      </c>
      <c r="B3" s="1440"/>
      <c r="C3" s="1440"/>
      <c r="D3" s="1440"/>
      <c r="E3" s="1440"/>
      <c r="F3" s="544"/>
      <c r="G3" s="544"/>
      <c r="H3" s="544"/>
    </row>
    <row r="4" spans="1:8" ht="12.75" customHeight="1" x14ac:dyDescent="0.2">
      <c r="A4" s="1441" t="s">
        <v>747</v>
      </c>
      <c r="B4" s="1441"/>
      <c r="C4" s="1441"/>
      <c r="D4" s="1441"/>
      <c r="E4" s="1441"/>
      <c r="F4" s="544"/>
      <c r="G4" s="544"/>
      <c r="H4" s="544"/>
    </row>
    <row r="5" spans="1:8" ht="12.75" customHeight="1" x14ac:dyDescent="0.2">
      <c r="A5" s="1440" t="str">
        <f>+Input!C6</f>
        <v>TWELVE MONTHS ENDED DECEMBER 31, 2017</v>
      </c>
      <c r="B5" s="1440"/>
      <c r="C5" s="1440"/>
      <c r="D5" s="1440"/>
      <c r="E5" s="1440"/>
      <c r="F5" s="544"/>
      <c r="G5" s="544"/>
      <c r="H5" s="544"/>
    </row>
    <row r="6" spans="1:8" ht="12.75" customHeight="1" x14ac:dyDescent="0.2">
      <c r="A6" s="544"/>
      <c r="B6" s="544"/>
      <c r="C6" s="544"/>
      <c r="D6" s="544"/>
      <c r="E6" s="544"/>
      <c r="F6" s="544"/>
      <c r="G6" s="544"/>
      <c r="H6" s="544"/>
    </row>
    <row r="7" spans="1:8" ht="12.75" customHeight="1" x14ac:dyDescent="0.2">
      <c r="A7" s="544"/>
      <c r="B7" s="544"/>
      <c r="C7" s="544"/>
      <c r="D7" s="544"/>
      <c r="E7" s="544"/>
      <c r="F7" s="544"/>
      <c r="G7" s="544"/>
      <c r="H7" s="544"/>
    </row>
    <row r="8" spans="1:8" ht="12.75" customHeight="1" x14ac:dyDescent="0.2">
      <c r="A8" s="548" t="s">
        <v>839</v>
      </c>
      <c r="B8" s="544"/>
      <c r="D8" s="544"/>
      <c r="E8" s="549" t="s">
        <v>1582</v>
      </c>
      <c r="F8" s="544"/>
      <c r="G8" s="544"/>
      <c r="H8" s="544"/>
    </row>
    <row r="9" spans="1:8" ht="12.75" customHeight="1" x14ac:dyDescent="0.2">
      <c r="A9" s="548" t="s">
        <v>490</v>
      </c>
      <c r="B9" s="544"/>
      <c r="D9" s="544"/>
      <c r="E9" s="549" t="s">
        <v>491</v>
      </c>
      <c r="F9" s="544"/>
      <c r="G9" s="544"/>
      <c r="H9" s="544"/>
    </row>
    <row r="10" spans="1:8" ht="12.75" customHeight="1" x14ac:dyDescent="0.2">
      <c r="A10" s="550" t="s">
        <v>396</v>
      </c>
      <c r="B10" s="551"/>
      <c r="C10" s="785"/>
      <c r="D10" s="551"/>
      <c r="E10" s="552" t="str">
        <f>+Input!E27</f>
        <v>WITNESS:  C. Y. LAI</v>
      </c>
      <c r="F10" s="544"/>
      <c r="G10" s="544"/>
      <c r="H10" s="544"/>
    </row>
    <row r="11" spans="1:8" ht="12.75" customHeight="1" x14ac:dyDescent="0.2">
      <c r="A11" s="782"/>
      <c r="B11" s="544"/>
      <c r="D11" s="783"/>
      <c r="E11" s="784"/>
      <c r="F11" s="544"/>
      <c r="G11" s="544"/>
      <c r="H11" s="544"/>
    </row>
    <row r="12" spans="1:8" ht="12.75" customHeight="1" x14ac:dyDescent="0.2">
      <c r="A12" s="471" t="s">
        <v>493</v>
      </c>
      <c r="B12" s="544"/>
      <c r="C12" s="544"/>
      <c r="D12" s="544"/>
      <c r="E12" s="544"/>
      <c r="F12" s="544"/>
      <c r="G12" s="544"/>
      <c r="H12" s="544"/>
    </row>
    <row r="13" spans="1:8" ht="12.75" customHeight="1" x14ac:dyDescent="0.2">
      <c r="A13" s="771" t="s">
        <v>496</v>
      </c>
      <c r="B13" s="551"/>
      <c r="C13" s="551" t="s">
        <v>1505</v>
      </c>
      <c r="D13" s="551"/>
      <c r="E13" s="786" t="s">
        <v>1248</v>
      </c>
      <c r="F13" s="544"/>
      <c r="G13" s="544"/>
      <c r="H13" s="544"/>
    </row>
    <row r="14" spans="1:8" ht="12.75" customHeight="1" x14ac:dyDescent="0.2">
      <c r="A14" s="544"/>
      <c r="B14" s="544"/>
      <c r="C14" s="544"/>
      <c r="D14" s="544"/>
      <c r="E14" s="553" t="s">
        <v>500</v>
      </c>
      <c r="F14" s="544"/>
      <c r="G14" s="544"/>
      <c r="H14" s="544"/>
    </row>
    <row r="15" spans="1:8" ht="12.75" customHeight="1" x14ac:dyDescent="0.2">
      <c r="A15" s="544"/>
      <c r="B15" s="544"/>
      <c r="C15" s="544"/>
      <c r="D15" s="544"/>
      <c r="E15" s="553"/>
      <c r="F15" s="544"/>
      <c r="G15" s="544"/>
      <c r="H15" s="544"/>
    </row>
    <row r="16" spans="1:8" ht="12.75" customHeight="1" x14ac:dyDescent="0.2">
      <c r="A16" s="544"/>
      <c r="B16" s="544"/>
      <c r="C16" s="544" t="s">
        <v>1568</v>
      </c>
      <c r="D16" s="544"/>
      <c r="E16" s="553"/>
      <c r="F16" s="544"/>
      <c r="G16" s="544"/>
      <c r="H16" s="544"/>
    </row>
    <row r="17" spans="1:8" ht="12.75" customHeight="1" x14ac:dyDescent="0.2">
      <c r="A17" s="544"/>
      <c r="B17" s="544"/>
      <c r="C17" s="544" t="s">
        <v>1287</v>
      </c>
      <c r="D17" s="544"/>
      <c r="E17" s="553"/>
      <c r="F17" s="544"/>
      <c r="G17" s="544"/>
      <c r="H17" s="544"/>
    </row>
    <row r="18" spans="1:8" ht="12.75" customHeight="1" x14ac:dyDescent="0.2">
      <c r="A18" s="544"/>
      <c r="B18" s="544"/>
      <c r="C18" s="544"/>
      <c r="D18" s="544"/>
      <c r="E18" s="553"/>
      <c r="F18" s="544"/>
      <c r="G18" s="544"/>
      <c r="H18" s="544"/>
    </row>
    <row r="19" spans="1:8" ht="12.75" customHeight="1" x14ac:dyDescent="0.2">
      <c r="A19" s="553">
        <v>1</v>
      </c>
      <c r="B19" s="544"/>
      <c r="C19" s="544" t="s">
        <v>113</v>
      </c>
      <c r="D19" s="544"/>
      <c r="E19" s="553"/>
      <c r="F19" s="544"/>
      <c r="G19" s="544"/>
      <c r="H19" s="544"/>
    </row>
    <row r="20" spans="1:8" ht="12.75" customHeight="1" x14ac:dyDescent="0.2">
      <c r="A20" s="553">
        <f>A19+1</f>
        <v>2</v>
      </c>
      <c r="B20" s="544"/>
      <c r="C20" s="544" t="s">
        <v>625</v>
      </c>
      <c r="D20" s="549"/>
      <c r="E20" s="966">
        <v>203280</v>
      </c>
      <c r="F20" s="544"/>
      <c r="G20" s="544"/>
      <c r="H20" s="544"/>
    </row>
    <row r="21" spans="1:8" ht="12.75" customHeight="1" x14ac:dyDescent="0.2">
      <c r="A21" s="553">
        <f>A20+1</f>
        <v>3</v>
      </c>
      <c r="B21" s="544"/>
      <c r="C21" s="968" t="s">
        <v>162</v>
      </c>
      <c r="D21" s="549"/>
      <c r="E21" s="969">
        <v>29892</v>
      </c>
      <c r="F21" s="544"/>
      <c r="G21" s="544"/>
      <c r="H21" s="544"/>
    </row>
    <row r="22" spans="1:8" ht="12.75" customHeight="1" x14ac:dyDescent="0.2">
      <c r="A22" s="553">
        <f>A21+1</f>
        <v>4</v>
      </c>
      <c r="B22" s="544"/>
      <c r="C22" s="544" t="s">
        <v>163</v>
      </c>
      <c r="D22" s="549"/>
      <c r="E22" s="970">
        <f>E20+E21</f>
        <v>233172</v>
      </c>
      <c r="F22" s="544"/>
      <c r="G22" s="544"/>
      <c r="H22" s="544"/>
    </row>
    <row r="23" spans="1:8" ht="12.75" customHeight="1" x14ac:dyDescent="0.2">
      <c r="A23" s="553"/>
      <c r="B23" s="544"/>
      <c r="C23" s="544"/>
      <c r="D23" s="549"/>
      <c r="E23" s="554"/>
      <c r="F23" s="544"/>
      <c r="G23" s="544"/>
      <c r="H23" s="544"/>
    </row>
    <row r="24" spans="1:8" ht="12.75" customHeight="1" x14ac:dyDescent="0.2">
      <c r="A24" s="553">
        <f>1+A20</f>
        <v>3</v>
      </c>
      <c r="B24" s="544"/>
      <c r="C24" s="544" t="s">
        <v>1569</v>
      </c>
      <c r="D24" s="549"/>
      <c r="E24" s="554"/>
      <c r="F24" s="544"/>
      <c r="G24" s="544"/>
      <c r="H24" s="544"/>
    </row>
    <row r="25" spans="1:8" ht="12.75" customHeight="1" x14ac:dyDescent="0.2">
      <c r="A25" s="553">
        <f>1+A24</f>
        <v>4</v>
      </c>
      <c r="B25" s="544"/>
      <c r="C25" s="544" t="s">
        <v>625</v>
      </c>
      <c r="D25" s="549"/>
      <c r="E25" s="967">
        <v>424603</v>
      </c>
      <c r="F25" s="544"/>
      <c r="G25" s="544"/>
      <c r="H25" s="544"/>
    </row>
    <row r="26" spans="1:8" ht="12.75" customHeight="1" x14ac:dyDescent="0.2">
      <c r="A26" s="553">
        <f>A25+1</f>
        <v>5</v>
      </c>
      <c r="B26" s="544"/>
      <c r="C26" s="968" t="s">
        <v>162</v>
      </c>
      <c r="D26" s="549"/>
      <c r="E26" s="972">
        <v>21695</v>
      </c>
      <c r="F26" s="544"/>
      <c r="G26" s="544"/>
      <c r="H26" s="544"/>
    </row>
    <row r="27" spans="1:8" ht="12.75" customHeight="1" x14ac:dyDescent="0.2">
      <c r="A27" s="553">
        <f>A26+1</f>
        <v>6</v>
      </c>
      <c r="B27" s="544"/>
      <c r="C27" s="544" t="s">
        <v>164</v>
      </c>
      <c r="D27" s="549"/>
      <c r="E27" s="971">
        <f>E25+E26</f>
        <v>446298</v>
      </c>
      <c r="F27" s="544"/>
      <c r="G27" s="544"/>
      <c r="H27" s="544"/>
    </row>
    <row r="28" spans="1:8" ht="12.75" customHeight="1" x14ac:dyDescent="0.2">
      <c r="A28" s="553"/>
      <c r="B28" s="544"/>
      <c r="C28" s="544"/>
      <c r="D28" s="544"/>
      <c r="E28" s="554"/>
      <c r="F28" s="544"/>
      <c r="G28" s="544"/>
      <c r="H28" s="544"/>
    </row>
    <row r="29" spans="1:8" ht="12.75" customHeight="1" x14ac:dyDescent="0.2">
      <c r="A29" s="553">
        <f>A27+1</f>
        <v>7</v>
      </c>
      <c r="B29" s="544"/>
      <c r="C29" s="544" t="s">
        <v>626</v>
      </c>
      <c r="D29" s="544"/>
      <c r="E29" s="554">
        <f>E22-E27</f>
        <v>-213126</v>
      </c>
      <c r="F29" s="544"/>
      <c r="G29" s="544"/>
      <c r="H29" s="544"/>
    </row>
    <row r="30" spans="1:8" ht="12.75" customHeight="1" x14ac:dyDescent="0.2">
      <c r="B30" s="544"/>
      <c r="C30" s="544"/>
      <c r="D30" s="544"/>
      <c r="E30" s="554"/>
      <c r="F30" s="544"/>
      <c r="G30" s="544"/>
      <c r="H30" s="544"/>
    </row>
    <row r="31" spans="1:8" ht="12.75" customHeight="1" x14ac:dyDescent="0.2">
      <c r="A31" s="553">
        <f>1+A29</f>
        <v>8</v>
      </c>
      <c r="B31" s="544"/>
      <c r="C31" s="544" t="s">
        <v>1574</v>
      </c>
      <c r="D31" s="544"/>
      <c r="E31" s="555">
        <v>1</v>
      </c>
      <c r="F31" s="544"/>
      <c r="G31" s="544"/>
      <c r="H31" s="544"/>
    </row>
    <row r="32" spans="1:8" ht="12.75" customHeight="1" x14ac:dyDescent="0.2">
      <c r="A32" s="553"/>
      <c r="B32" s="544"/>
      <c r="C32" s="544"/>
      <c r="D32" s="544"/>
      <c r="E32" s="544"/>
      <c r="F32" s="544"/>
      <c r="G32" s="544"/>
      <c r="H32" s="544"/>
    </row>
    <row r="33" spans="1:8" ht="12.75" customHeight="1" x14ac:dyDescent="0.2">
      <c r="A33" s="553">
        <f>1+A31</f>
        <v>9</v>
      </c>
      <c r="B33" s="544"/>
      <c r="C33" s="544" t="s">
        <v>1575</v>
      </c>
      <c r="D33" s="718" t="s">
        <v>418</v>
      </c>
      <c r="E33" s="554">
        <f>ROUND(E29*E31,0)</f>
        <v>-213126</v>
      </c>
      <c r="F33" s="544"/>
      <c r="G33" s="544"/>
      <c r="H33" s="544"/>
    </row>
    <row r="34" spans="1:8" ht="12.75" customHeight="1" x14ac:dyDescent="0.2">
      <c r="A34" s="553"/>
      <c r="B34" s="544"/>
      <c r="C34" s="544"/>
      <c r="D34" s="544"/>
      <c r="E34" s="544"/>
      <c r="F34" s="544"/>
      <c r="G34" s="544"/>
      <c r="H34" s="544"/>
    </row>
    <row r="35" spans="1:8" ht="12.75" customHeight="1" x14ac:dyDescent="0.2">
      <c r="A35" s="773"/>
      <c r="C35" s="544"/>
      <c r="D35" s="544"/>
      <c r="E35" s="544"/>
      <c r="F35" s="544"/>
      <c r="G35" s="544"/>
      <c r="H35" s="544"/>
    </row>
    <row r="36" spans="1:8" ht="12.75" customHeight="1" x14ac:dyDescent="0.2">
      <c r="A36" s="773"/>
      <c r="C36" s="544"/>
      <c r="D36" s="544"/>
      <c r="E36" s="544"/>
      <c r="F36" s="544"/>
      <c r="G36" s="544"/>
      <c r="H36" s="544"/>
    </row>
    <row r="37" spans="1:8" ht="12.75" customHeight="1" x14ac:dyDescent="0.2">
      <c r="A37" s="773"/>
      <c r="C37" s="544"/>
      <c r="D37" s="544"/>
      <c r="E37" s="544"/>
      <c r="F37" s="544"/>
      <c r="G37" s="544"/>
      <c r="H37" s="544"/>
    </row>
    <row r="38" spans="1:8" ht="12.75" customHeight="1" x14ac:dyDescent="0.2">
      <c r="A38" s="773"/>
      <c r="C38" s="544"/>
      <c r="D38" s="544"/>
      <c r="E38" s="544"/>
      <c r="F38" s="544"/>
      <c r="G38" s="544"/>
      <c r="H38" s="544"/>
    </row>
    <row r="39" spans="1:8" ht="12.75" customHeight="1" x14ac:dyDescent="0.2">
      <c r="A39" s="773"/>
      <c r="C39" s="544"/>
      <c r="D39" s="544"/>
      <c r="E39" s="544"/>
      <c r="F39" s="544"/>
      <c r="G39" s="544"/>
      <c r="H39" s="544"/>
    </row>
    <row r="40" spans="1:8" ht="12.75" customHeight="1" x14ac:dyDescent="0.2">
      <c r="A40" s="773"/>
      <c r="C40" s="544"/>
      <c r="D40" s="544"/>
      <c r="E40" s="544"/>
      <c r="F40" s="544"/>
      <c r="G40" s="544"/>
      <c r="H40" s="544"/>
    </row>
    <row r="41" spans="1:8" ht="12.75" customHeight="1" x14ac:dyDescent="0.2">
      <c r="A41" s="773"/>
      <c r="C41" s="544"/>
      <c r="D41" s="544"/>
      <c r="E41" s="544"/>
      <c r="F41" s="544"/>
      <c r="G41" s="544"/>
      <c r="H41" s="544"/>
    </row>
    <row r="42" spans="1:8" ht="12.75" customHeight="1" x14ac:dyDescent="0.2">
      <c r="A42" s="773"/>
      <c r="C42" s="544"/>
      <c r="D42" s="544"/>
      <c r="E42" s="544"/>
      <c r="F42" s="544"/>
      <c r="G42" s="544"/>
      <c r="H42" s="544"/>
    </row>
    <row r="43" spans="1:8" ht="12.75" customHeight="1" x14ac:dyDescent="0.2">
      <c r="A43" s="773"/>
      <c r="C43" s="544"/>
      <c r="D43" s="544"/>
      <c r="E43" s="544"/>
      <c r="F43" s="544"/>
      <c r="G43" s="544"/>
      <c r="H43" s="544"/>
    </row>
    <row r="44" spans="1:8" ht="12.75" customHeight="1" x14ac:dyDescent="0.2">
      <c r="A44" s="773"/>
      <c r="C44" s="544"/>
      <c r="D44" s="544"/>
      <c r="E44" s="544"/>
      <c r="F44" s="544"/>
      <c r="G44" s="544"/>
      <c r="H44" s="544"/>
    </row>
    <row r="45" spans="1:8" ht="12.75" customHeight="1" x14ac:dyDescent="0.2">
      <c r="A45" s="773"/>
      <c r="C45" s="544"/>
      <c r="D45" s="544"/>
      <c r="E45" s="544"/>
      <c r="F45" s="544"/>
      <c r="G45" s="544"/>
      <c r="H45" s="544"/>
    </row>
    <row r="46" spans="1:8" ht="12.75" customHeight="1" x14ac:dyDescent="0.2">
      <c r="A46" s="773"/>
      <c r="C46" s="544"/>
      <c r="D46" s="544"/>
      <c r="E46" s="544"/>
      <c r="F46" s="544"/>
      <c r="G46" s="544"/>
      <c r="H46" s="544"/>
    </row>
    <row r="47" spans="1:8" ht="12.75" customHeight="1" x14ac:dyDescent="0.2">
      <c r="A47" s="773"/>
      <c r="C47" s="544"/>
      <c r="D47" s="544"/>
      <c r="E47" s="544"/>
      <c r="F47" s="544"/>
      <c r="G47" s="544"/>
      <c r="H47" s="544"/>
    </row>
    <row r="48" spans="1:8" ht="12.75" customHeight="1" x14ac:dyDescent="0.2">
      <c r="A48" s="773"/>
      <c r="C48" s="544"/>
      <c r="D48" s="544"/>
      <c r="E48" s="544"/>
      <c r="F48" s="544"/>
      <c r="G48" s="544"/>
      <c r="H48" s="544"/>
    </row>
    <row r="49" spans="1:8" ht="12.75" customHeight="1" x14ac:dyDescent="0.2">
      <c r="A49" s="773"/>
      <c r="C49" s="544"/>
      <c r="D49" s="544"/>
      <c r="E49" s="544"/>
      <c r="F49" s="544"/>
      <c r="G49" s="544"/>
      <c r="H49" s="544"/>
    </row>
    <row r="50" spans="1:8" ht="12.75" customHeight="1" x14ac:dyDescent="0.2">
      <c r="A50" s="773"/>
      <c r="C50" s="544"/>
      <c r="D50" s="544"/>
      <c r="E50" s="544"/>
      <c r="F50" s="544"/>
      <c r="G50" s="544"/>
      <c r="H50" s="544"/>
    </row>
    <row r="51" spans="1:8" ht="12.75" customHeight="1" x14ac:dyDescent="0.2">
      <c r="A51" s="773"/>
      <c r="C51" s="544"/>
      <c r="D51" s="544"/>
      <c r="E51" s="544"/>
      <c r="F51" s="544"/>
      <c r="G51" s="544"/>
      <c r="H51" s="544"/>
    </row>
    <row r="52" spans="1:8" ht="12.75" customHeight="1" x14ac:dyDescent="0.2">
      <c r="A52" s="773"/>
      <c r="C52" s="544"/>
      <c r="D52" s="544"/>
      <c r="E52" s="544"/>
      <c r="F52" s="544"/>
      <c r="G52" s="544"/>
      <c r="H52" s="544"/>
    </row>
    <row r="53" spans="1:8" ht="12.75" customHeight="1" x14ac:dyDescent="0.2">
      <c r="A53" s="773"/>
      <c r="C53" s="544"/>
      <c r="D53" s="544"/>
      <c r="E53" s="544"/>
      <c r="F53" s="544"/>
      <c r="G53" s="544"/>
      <c r="H53" s="544"/>
    </row>
    <row r="54" spans="1:8" ht="12.75" customHeight="1" x14ac:dyDescent="0.2">
      <c r="A54" s="773"/>
      <c r="C54" s="544"/>
      <c r="D54" s="544"/>
      <c r="E54" s="544"/>
      <c r="F54" s="544"/>
      <c r="G54" s="544"/>
      <c r="H54" s="544"/>
    </row>
    <row r="55" spans="1:8" ht="12.75" customHeight="1" x14ac:dyDescent="0.2">
      <c r="A55" s="773"/>
      <c r="C55" s="544"/>
      <c r="D55" s="544"/>
      <c r="E55" s="544"/>
      <c r="F55" s="544"/>
      <c r="G55" s="544"/>
      <c r="H55" s="544"/>
    </row>
    <row r="56" spans="1:8" ht="12.75" customHeight="1" x14ac:dyDescent="0.2">
      <c r="A56" s="773"/>
      <c r="C56" s="544"/>
      <c r="D56" s="544"/>
      <c r="E56" s="544"/>
      <c r="F56" s="544"/>
      <c r="G56" s="544"/>
      <c r="H56" s="544"/>
    </row>
    <row r="57" spans="1:8" ht="12.75" customHeight="1" x14ac:dyDescent="0.2">
      <c r="A57" s="773"/>
      <c r="C57" s="544"/>
      <c r="D57" s="544"/>
      <c r="E57" s="544"/>
      <c r="F57" s="544"/>
      <c r="G57" s="544"/>
      <c r="H57" s="544"/>
    </row>
    <row r="58" spans="1:8" ht="12.75" customHeight="1" x14ac:dyDescent="0.2">
      <c r="A58" s="773"/>
      <c r="C58" s="544"/>
      <c r="D58" s="544"/>
      <c r="E58" s="544"/>
      <c r="F58" s="544"/>
      <c r="G58" s="544"/>
      <c r="H58" s="544"/>
    </row>
    <row r="59" spans="1:8" ht="12.75" customHeight="1" x14ac:dyDescent="0.2">
      <c r="A59" s="773"/>
      <c r="C59" s="544"/>
      <c r="D59" s="544"/>
      <c r="E59" s="544"/>
      <c r="F59" s="544"/>
      <c r="G59" s="544"/>
      <c r="H59" s="544"/>
    </row>
    <row r="60" spans="1:8" ht="12.75" customHeight="1" x14ac:dyDescent="0.2">
      <c r="A60" s="773"/>
      <c r="C60" s="544"/>
      <c r="D60" s="544"/>
      <c r="E60" s="544"/>
      <c r="F60" s="544"/>
      <c r="G60" s="544"/>
      <c r="H60" s="544"/>
    </row>
    <row r="61" spans="1:8" ht="12.75" customHeight="1" x14ac:dyDescent="0.2">
      <c r="A61" s="773"/>
      <c r="C61" s="544"/>
      <c r="D61" s="544"/>
      <c r="E61" s="544"/>
      <c r="F61" s="544"/>
      <c r="G61" s="544"/>
      <c r="H61" s="544"/>
    </row>
    <row r="62" spans="1:8" ht="12.75" customHeight="1" x14ac:dyDescent="0.2">
      <c r="A62" s="773"/>
      <c r="C62" s="544"/>
      <c r="D62" s="544"/>
      <c r="E62" s="544"/>
      <c r="F62" s="544"/>
      <c r="G62" s="544"/>
      <c r="H62" s="544"/>
    </row>
    <row r="63" spans="1:8" ht="12.75" customHeight="1" x14ac:dyDescent="0.2">
      <c r="A63" s="773"/>
      <c r="C63" s="544"/>
      <c r="D63" s="544"/>
      <c r="E63" s="544"/>
      <c r="F63" s="544"/>
      <c r="G63" s="544"/>
      <c r="H63" s="544"/>
    </row>
    <row r="64" spans="1:8" ht="12.75" customHeight="1" x14ac:dyDescent="0.2">
      <c r="A64" s="773"/>
      <c r="C64" s="544"/>
      <c r="D64" s="544"/>
      <c r="E64" s="544"/>
      <c r="F64" s="544"/>
      <c r="G64" s="544"/>
      <c r="H64" s="544"/>
    </row>
    <row r="65" spans="1:8" ht="12.75" customHeight="1" x14ac:dyDescent="0.2">
      <c r="A65" s="773"/>
      <c r="C65" s="544"/>
      <c r="D65" s="544"/>
      <c r="E65" s="544"/>
      <c r="F65" s="544"/>
      <c r="G65" s="544"/>
      <c r="H65" s="544"/>
    </row>
    <row r="66" spans="1:8" ht="12.75" customHeight="1" x14ac:dyDescent="0.2">
      <c r="A66" s="773"/>
      <c r="C66" s="544"/>
      <c r="D66" s="544"/>
      <c r="E66" s="544"/>
      <c r="F66" s="544"/>
      <c r="G66" s="544"/>
      <c r="H66" s="544"/>
    </row>
    <row r="67" spans="1:8" ht="12.75" customHeight="1" x14ac:dyDescent="0.2">
      <c r="A67" s="773"/>
      <c r="C67" s="544"/>
      <c r="D67" s="544"/>
      <c r="E67" s="544"/>
      <c r="F67" s="544"/>
      <c r="G67" s="544"/>
      <c r="H67" s="544"/>
    </row>
    <row r="68" spans="1:8" ht="12.75" customHeight="1" x14ac:dyDescent="0.2">
      <c r="A68" s="773"/>
      <c r="C68" s="544"/>
      <c r="D68" s="544"/>
      <c r="E68" s="544"/>
      <c r="F68" s="544"/>
      <c r="G68" s="544"/>
      <c r="H68" s="544"/>
    </row>
    <row r="69" spans="1:8" ht="12.75" customHeight="1" x14ac:dyDescent="0.2">
      <c r="A69" s="773"/>
      <c r="C69" s="544"/>
      <c r="D69" s="544"/>
      <c r="E69" s="544"/>
      <c r="F69" s="544"/>
      <c r="G69" s="544"/>
      <c r="H69" s="544"/>
    </row>
    <row r="70" spans="1:8" ht="12.75" customHeight="1" x14ac:dyDescent="0.2">
      <c r="A70" s="773"/>
      <c r="C70" s="544"/>
      <c r="D70" s="544"/>
      <c r="E70" s="544"/>
      <c r="F70" s="544"/>
      <c r="G70" s="544"/>
      <c r="H70" s="544"/>
    </row>
    <row r="71" spans="1:8" ht="12.75" customHeight="1" x14ac:dyDescent="0.2">
      <c r="A71" s="773"/>
      <c r="C71" s="544"/>
      <c r="D71" s="544"/>
      <c r="E71" s="544"/>
      <c r="F71" s="544"/>
      <c r="G71" s="544"/>
      <c r="H71" s="544"/>
    </row>
    <row r="72" spans="1:8" ht="12.75" customHeight="1" x14ac:dyDescent="0.2">
      <c r="A72" s="773"/>
      <c r="C72" s="544"/>
      <c r="D72" s="544"/>
      <c r="E72" s="544"/>
      <c r="F72" s="544"/>
      <c r="G72" s="544"/>
      <c r="H72" s="544"/>
    </row>
    <row r="73" spans="1:8" ht="12.75" customHeight="1" x14ac:dyDescent="0.2">
      <c r="A73" s="773"/>
      <c r="C73" s="544"/>
      <c r="D73" s="544"/>
      <c r="E73" s="544"/>
      <c r="F73" s="544"/>
      <c r="G73" s="544"/>
      <c r="H73" s="544"/>
    </row>
    <row r="74" spans="1:8" ht="12.75" customHeight="1" x14ac:dyDescent="0.2">
      <c r="A74" s="773"/>
      <c r="C74" s="544"/>
      <c r="D74" s="544"/>
      <c r="E74" s="544"/>
      <c r="F74" s="544"/>
      <c r="G74" s="544"/>
      <c r="H74" s="544"/>
    </row>
    <row r="75" spans="1:8" ht="12.75" customHeight="1" x14ac:dyDescent="0.2">
      <c r="A75" s="773"/>
      <c r="C75" s="544"/>
      <c r="D75" s="544"/>
      <c r="E75" s="544"/>
      <c r="F75" s="544"/>
      <c r="G75" s="544"/>
      <c r="H75" s="544"/>
    </row>
    <row r="76" spans="1:8" ht="12.75" customHeight="1" x14ac:dyDescent="0.2">
      <c r="A76" s="773"/>
      <c r="C76" s="544"/>
      <c r="D76" s="544"/>
      <c r="E76" s="544"/>
      <c r="F76" s="544"/>
      <c r="G76" s="544"/>
      <c r="H76" s="544"/>
    </row>
    <row r="77" spans="1:8" ht="12.75" customHeight="1" x14ac:dyDescent="0.2">
      <c r="A77" s="773"/>
      <c r="C77" s="544"/>
      <c r="D77" s="544"/>
      <c r="E77" s="544"/>
      <c r="F77" s="544"/>
      <c r="G77" s="544"/>
      <c r="H77" s="544"/>
    </row>
    <row r="78" spans="1:8" ht="12.75" customHeight="1" x14ac:dyDescent="0.2">
      <c r="A78" s="773"/>
      <c r="C78" s="544"/>
      <c r="D78" s="544"/>
      <c r="E78" s="544"/>
      <c r="F78" s="544"/>
      <c r="G78" s="544"/>
      <c r="H78" s="544"/>
    </row>
    <row r="79" spans="1:8" ht="12.75" customHeight="1" x14ac:dyDescent="0.2">
      <c r="A79" s="773"/>
      <c r="C79" s="544"/>
      <c r="D79" s="544"/>
      <c r="E79" s="544"/>
      <c r="F79" s="544"/>
      <c r="G79" s="544"/>
      <c r="H79" s="544"/>
    </row>
    <row r="80" spans="1:8" ht="12.75" customHeight="1" x14ac:dyDescent="0.2">
      <c r="A80" s="773"/>
      <c r="C80" s="544"/>
      <c r="D80" s="544"/>
      <c r="E80" s="544"/>
      <c r="F80" s="544"/>
      <c r="G80" s="544"/>
      <c r="H80" s="544"/>
    </row>
    <row r="81" spans="1:8" ht="12.75" customHeight="1" x14ac:dyDescent="0.2">
      <c r="A81" s="773"/>
      <c r="C81" s="544"/>
      <c r="D81" s="544"/>
      <c r="E81" s="544"/>
      <c r="F81" s="544"/>
      <c r="G81" s="544"/>
      <c r="H81" s="544"/>
    </row>
    <row r="82" spans="1:8" ht="12.75" customHeight="1" x14ac:dyDescent="0.2">
      <c r="A82" s="773"/>
      <c r="C82" s="544"/>
      <c r="D82" s="544"/>
      <c r="E82" s="544"/>
      <c r="F82" s="544"/>
      <c r="G82" s="544"/>
      <c r="H82" s="544"/>
    </row>
    <row r="83" spans="1:8" ht="12.75" customHeight="1" x14ac:dyDescent="0.2">
      <c r="A83" s="773"/>
      <c r="C83" s="544"/>
      <c r="D83" s="544"/>
      <c r="E83" s="544"/>
      <c r="F83" s="544"/>
      <c r="G83" s="544"/>
      <c r="H83" s="544"/>
    </row>
    <row r="84" spans="1:8" ht="12.75" customHeight="1" x14ac:dyDescent="0.2">
      <c r="A84" s="773"/>
      <c r="C84" s="544"/>
      <c r="D84" s="544"/>
      <c r="E84" s="544"/>
      <c r="F84" s="544"/>
      <c r="G84" s="544"/>
      <c r="H84" s="544"/>
    </row>
    <row r="85" spans="1:8" ht="12.75" customHeight="1" x14ac:dyDescent="0.2">
      <c r="A85" s="773"/>
      <c r="C85" s="544"/>
      <c r="D85" s="544"/>
      <c r="E85" s="544"/>
      <c r="F85" s="544"/>
      <c r="G85" s="544"/>
      <c r="H85" s="544"/>
    </row>
    <row r="86" spans="1:8" ht="12.75" customHeight="1" x14ac:dyDescent="0.2">
      <c r="A86" s="773"/>
      <c r="C86" s="544"/>
      <c r="D86" s="544"/>
      <c r="E86" s="544"/>
      <c r="F86" s="544"/>
      <c r="G86" s="544"/>
      <c r="H86" s="544"/>
    </row>
    <row r="87" spans="1:8" ht="12.75" customHeight="1" x14ac:dyDescent="0.2">
      <c r="A87" s="773"/>
      <c r="C87" s="544"/>
      <c r="D87" s="544"/>
      <c r="E87" s="544"/>
      <c r="F87" s="544"/>
      <c r="G87" s="544"/>
      <c r="H87" s="544"/>
    </row>
    <row r="88" spans="1:8" ht="12.75" customHeight="1" x14ac:dyDescent="0.2">
      <c r="C88" s="544"/>
      <c r="D88" s="544"/>
      <c r="E88" s="544"/>
      <c r="F88" s="544"/>
      <c r="G88" s="544"/>
      <c r="H88" s="544"/>
    </row>
    <row r="89" spans="1:8" ht="12.75" customHeight="1" x14ac:dyDescent="0.2">
      <c r="C89" s="544"/>
      <c r="D89" s="544"/>
      <c r="E89" s="544"/>
      <c r="F89" s="544"/>
      <c r="G89" s="544"/>
      <c r="H89" s="544"/>
    </row>
    <row r="90" spans="1:8" ht="12.75" customHeight="1" x14ac:dyDescent="0.2">
      <c r="C90" s="544"/>
      <c r="D90" s="544"/>
      <c r="E90" s="544"/>
      <c r="F90" s="544"/>
      <c r="G90" s="544"/>
      <c r="H90" s="544"/>
    </row>
    <row r="91" spans="1:8" ht="12.75" customHeight="1" x14ac:dyDescent="0.2">
      <c r="C91" s="544"/>
      <c r="D91" s="544"/>
      <c r="E91" s="544"/>
      <c r="F91" s="544"/>
      <c r="G91" s="544"/>
      <c r="H91" s="544"/>
    </row>
    <row r="92" spans="1:8" ht="12.75" customHeight="1" x14ac:dyDescent="0.2">
      <c r="C92" s="544"/>
      <c r="D92" s="544"/>
      <c r="E92" s="544"/>
      <c r="F92" s="544"/>
      <c r="G92" s="544"/>
      <c r="H92" s="544"/>
    </row>
    <row r="93" spans="1:8" ht="12.75" customHeight="1" x14ac:dyDescent="0.2">
      <c r="C93" s="544"/>
      <c r="D93" s="544"/>
      <c r="E93" s="544"/>
      <c r="F93" s="544"/>
      <c r="G93" s="544"/>
      <c r="H93" s="544"/>
    </row>
    <row r="94" spans="1:8" ht="12.75" customHeight="1" x14ac:dyDescent="0.2">
      <c r="C94" s="544"/>
      <c r="D94" s="544"/>
      <c r="E94" s="544"/>
      <c r="F94" s="544"/>
      <c r="G94" s="544"/>
      <c r="H94" s="544"/>
    </row>
    <row r="95" spans="1:8" ht="12.75" customHeight="1" x14ac:dyDescent="0.2">
      <c r="C95" s="544"/>
      <c r="D95" s="544"/>
      <c r="E95" s="544"/>
      <c r="F95" s="544"/>
      <c r="G95" s="544"/>
      <c r="H95" s="544"/>
    </row>
    <row r="96" spans="1:8" ht="12.75" customHeight="1" x14ac:dyDescent="0.2">
      <c r="C96" s="544"/>
      <c r="D96" s="544"/>
      <c r="E96" s="544"/>
      <c r="F96" s="544"/>
      <c r="G96" s="544"/>
      <c r="H96" s="544"/>
    </row>
    <row r="97" spans="3:8" ht="12.75" customHeight="1" x14ac:dyDescent="0.2">
      <c r="C97" s="544"/>
      <c r="D97" s="544"/>
      <c r="E97" s="544"/>
      <c r="F97" s="544"/>
      <c r="G97" s="544"/>
      <c r="H97" s="544"/>
    </row>
    <row r="98" spans="3:8" ht="12.75" customHeight="1" x14ac:dyDescent="0.2">
      <c r="C98" s="544"/>
      <c r="D98" s="544"/>
      <c r="E98" s="544"/>
      <c r="F98" s="544"/>
      <c r="G98" s="544"/>
      <c r="H98" s="544"/>
    </row>
    <row r="99" spans="3:8" ht="12.75" customHeight="1" x14ac:dyDescent="0.2">
      <c r="C99" s="544"/>
      <c r="D99" s="544"/>
      <c r="E99" s="544"/>
      <c r="F99" s="544"/>
      <c r="G99" s="544"/>
      <c r="H99" s="544"/>
    </row>
    <row r="100" spans="3:8" ht="12.75" customHeight="1" x14ac:dyDescent="0.2">
      <c r="C100" s="544"/>
      <c r="D100" s="544"/>
      <c r="E100" s="544"/>
      <c r="F100" s="544"/>
      <c r="G100" s="544"/>
      <c r="H100" s="544"/>
    </row>
    <row r="101" spans="3:8" ht="12.75" customHeight="1" x14ac:dyDescent="0.2">
      <c r="C101" s="544"/>
      <c r="D101" s="544"/>
      <c r="E101" s="544"/>
      <c r="F101" s="544"/>
      <c r="G101" s="544"/>
      <c r="H101" s="544"/>
    </row>
    <row r="102" spans="3:8" ht="12.75" customHeight="1" x14ac:dyDescent="0.2">
      <c r="C102" s="544"/>
      <c r="D102" s="544"/>
      <c r="E102" s="544"/>
      <c r="F102" s="544"/>
      <c r="G102" s="544"/>
      <c r="H102" s="544"/>
    </row>
    <row r="103" spans="3:8" ht="12.75" customHeight="1" x14ac:dyDescent="0.2">
      <c r="C103" s="544"/>
      <c r="D103" s="544"/>
      <c r="E103" s="544"/>
      <c r="F103" s="544"/>
      <c r="G103" s="544"/>
      <c r="H103" s="544"/>
    </row>
    <row r="104" spans="3:8" ht="12.75" customHeight="1" x14ac:dyDescent="0.2">
      <c r="C104" s="544"/>
      <c r="D104" s="544"/>
      <c r="E104" s="544"/>
      <c r="F104" s="544"/>
      <c r="G104" s="544"/>
      <c r="H104" s="544"/>
    </row>
    <row r="105" spans="3:8" ht="12.75" customHeight="1" x14ac:dyDescent="0.2">
      <c r="C105" s="544"/>
      <c r="D105" s="544"/>
      <c r="E105" s="544"/>
      <c r="F105" s="544"/>
      <c r="G105" s="544"/>
      <c r="H105" s="544"/>
    </row>
    <row r="106" spans="3:8" ht="12.75" customHeight="1" x14ac:dyDescent="0.2">
      <c r="C106" s="544"/>
      <c r="D106" s="544"/>
      <c r="E106" s="544"/>
      <c r="F106" s="544"/>
      <c r="G106" s="544"/>
      <c r="H106" s="544"/>
    </row>
    <row r="107" spans="3:8" ht="12.75" customHeight="1" x14ac:dyDescent="0.2">
      <c r="C107" s="544"/>
      <c r="D107" s="544"/>
      <c r="E107" s="544"/>
      <c r="F107" s="544"/>
      <c r="G107" s="544"/>
      <c r="H107" s="544"/>
    </row>
    <row r="108" spans="3:8" ht="12.75" customHeight="1" x14ac:dyDescent="0.2">
      <c r="C108" s="544"/>
      <c r="D108" s="544"/>
      <c r="E108" s="544"/>
      <c r="F108" s="544"/>
      <c r="G108" s="544"/>
      <c r="H108" s="544"/>
    </row>
    <row r="109" spans="3:8" ht="12.75" customHeight="1" x14ac:dyDescent="0.2">
      <c r="C109" s="544"/>
      <c r="D109" s="544"/>
      <c r="E109" s="544"/>
      <c r="F109" s="544"/>
      <c r="G109" s="544"/>
      <c r="H109" s="544"/>
    </row>
    <row r="110" spans="3:8" ht="12.75" customHeight="1" x14ac:dyDescent="0.2">
      <c r="C110" s="544"/>
      <c r="D110" s="544"/>
      <c r="E110" s="544"/>
      <c r="F110" s="544"/>
      <c r="G110" s="544"/>
      <c r="H110" s="544"/>
    </row>
    <row r="111" spans="3:8" ht="12.75" customHeight="1" x14ac:dyDescent="0.2">
      <c r="C111" s="544"/>
      <c r="D111" s="544"/>
      <c r="E111" s="544"/>
      <c r="F111" s="544"/>
      <c r="G111" s="544"/>
      <c r="H111" s="544"/>
    </row>
    <row r="112" spans="3:8" ht="12.75" customHeight="1" x14ac:dyDescent="0.2">
      <c r="C112" s="544"/>
      <c r="D112" s="544"/>
      <c r="E112" s="544"/>
      <c r="F112" s="544"/>
      <c r="G112" s="544"/>
      <c r="H112" s="544"/>
    </row>
    <row r="113" spans="3:8" ht="12.75" customHeight="1" x14ac:dyDescent="0.2">
      <c r="C113" s="544"/>
      <c r="D113" s="544"/>
      <c r="E113" s="544"/>
      <c r="F113" s="544"/>
      <c r="G113" s="544"/>
      <c r="H113" s="544"/>
    </row>
    <row r="114" spans="3:8" ht="12.75" customHeight="1" x14ac:dyDescent="0.2">
      <c r="C114" s="544"/>
      <c r="D114" s="544"/>
      <c r="E114" s="544"/>
      <c r="F114" s="544"/>
      <c r="G114" s="544"/>
      <c r="H114" s="544"/>
    </row>
    <row r="115" spans="3:8" ht="12.75" x14ac:dyDescent="0.2">
      <c r="C115" s="544"/>
      <c r="D115" s="544"/>
      <c r="E115" s="544"/>
      <c r="F115" s="544"/>
      <c r="G115" s="544"/>
      <c r="H115" s="544"/>
    </row>
    <row r="116" spans="3:8" ht="12.75" x14ac:dyDescent="0.2">
      <c r="C116" s="544"/>
      <c r="D116" s="544"/>
      <c r="E116" s="544"/>
      <c r="F116" s="544"/>
      <c r="G116" s="544"/>
      <c r="H116" s="544"/>
    </row>
    <row r="117" spans="3:8" ht="12.75" x14ac:dyDescent="0.2">
      <c r="C117" s="544"/>
      <c r="D117" s="544"/>
      <c r="E117" s="544"/>
      <c r="F117" s="544"/>
      <c r="G117" s="544"/>
      <c r="H117" s="544"/>
    </row>
    <row r="118" spans="3:8" ht="12.75" x14ac:dyDescent="0.2">
      <c r="C118" s="544"/>
      <c r="D118" s="544"/>
      <c r="E118" s="544"/>
      <c r="F118" s="544"/>
      <c r="G118" s="544"/>
      <c r="H118" s="544"/>
    </row>
    <row r="119" spans="3:8" ht="12.75" x14ac:dyDescent="0.2">
      <c r="C119" s="544"/>
      <c r="D119" s="544"/>
      <c r="E119" s="544"/>
      <c r="F119" s="544"/>
      <c r="G119" s="544"/>
      <c r="H119" s="544"/>
    </row>
    <row r="120" spans="3:8" ht="12.75" x14ac:dyDescent="0.2">
      <c r="C120" s="544"/>
      <c r="D120" s="544"/>
      <c r="E120" s="544"/>
      <c r="F120" s="544"/>
      <c r="G120" s="544"/>
      <c r="H120" s="544"/>
    </row>
    <row r="121" spans="3:8" ht="12.75" x14ac:dyDescent="0.2">
      <c r="C121" s="544"/>
      <c r="D121" s="544"/>
      <c r="E121" s="544"/>
      <c r="F121" s="544"/>
      <c r="G121" s="544"/>
      <c r="H121" s="544"/>
    </row>
    <row r="122" spans="3:8" ht="12.75" x14ac:dyDescent="0.2">
      <c r="C122" s="544"/>
      <c r="D122" s="544"/>
      <c r="E122" s="544"/>
      <c r="F122" s="544"/>
      <c r="G122" s="544"/>
      <c r="H122" s="544"/>
    </row>
    <row r="123" spans="3:8" ht="12.75" x14ac:dyDescent="0.2">
      <c r="C123" s="544"/>
      <c r="D123" s="544"/>
      <c r="E123" s="544"/>
      <c r="F123" s="544"/>
      <c r="G123" s="544"/>
      <c r="H123" s="544"/>
    </row>
    <row r="124" spans="3:8" ht="12.75" x14ac:dyDescent="0.2">
      <c r="C124" s="544"/>
      <c r="D124" s="544"/>
      <c r="E124" s="544"/>
      <c r="F124" s="544"/>
      <c r="G124" s="544"/>
      <c r="H124" s="544"/>
    </row>
    <row r="125" spans="3:8" ht="12.75" x14ac:dyDescent="0.2">
      <c r="C125" s="544"/>
      <c r="D125" s="544"/>
      <c r="E125" s="544"/>
      <c r="F125" s="544"/>
      <c r="G125" s="544"/>
      <c r="H125" s="544"/>
    </row>
    <row r="126" spans="3:8" ht="12.75" x14ac:dyDescent="0.2">
      <c r="C126" s="544"/>
      <c r="D126" s="544"/>
      <c r="E126" s="544"/>
      <c r="F126" s="544"/>
      <c r="G126" s="544"/>
      <c r="H126" s="544"/>
    </row>
    <row r="127" spans="3:8" ht="12.75" x14ac:dyDescent="0.2">
      <c r="C127" s="544"/>
      <c r="D127" s="544"/>
      <c r="E127" s="544"/>
      <c r="F127" s="544"/>
      <c r="G127" s="544"/>
      <c r="H127" s="544"/>
    </row>
    <row r="128" spans="3:8" ht="12.75" x14ac:dyDescent="0.2">
      <c r="C128" s="544"/>
      <c r="D128" s="544"/>
      <c r="E128" s="544"/>
      <c r="F128" s="544"/>
      <c r="G128" s="544"/>
      <c r="H128" s="544"/>
    </row>
    <row r="129" spans="3:8" ht="12.75" x14ac:dyDescent="0.2">
      <c r="C129" s="544"/>
      <c r="D129" s="544"/>
      <c r="E129" s="544"/>
      <c r="F129" s="544"/>
      <c r="G129" s="544"/>
      <c r="H129" s="544"/>
    </row>
    <row r="130" spans="3:8" ht="12.75" x14ac:dyDescent="0.2">
      <c r="C130" s="544"/>
      <c r="D130" s="544"/>
      <c r="E130" s="544"/>
      <c r="F130" s="544"/>
      <c r="G130" s="544"/>
      <c r="H130" s="544"/>
    </row>
    <row r="131" spans="3:8" ht="12.75" x14ac:dyDescent="0.2">
      <c r="C131" s="544"/>
      <c r="D131" s="544"/>
      <c r="E131" s="544"/>
      <c r="F131" s="544"/>
      <c r="G131" s="544"/>
      <c r="H131" s="544"/>
    </row>
    <row r="132" spans="3:8" ht="12.75" x14ac:dyDescent="0.2">
      <c r="C132" s="544"/>
      <c r="D132" s="544"/>
      <c r="E132" s="544"/>
      <c r="F132" s="544"/>
      <c r="G132" s="544"/>
      <c r="H132" s="544"/>
    </row>
    <row r="133" spans="3:8" ht="12.75" x14ac:dyDescent="0.2">
      <c r="C133" s="544"/>
      <c r="D133" s="544"/>
      <c r="E133" s="544"/>
      <c r="F133" s="544"/>
      <c r="G133" s="544"/>
      <c r="H133" s="544"/>
    </row>
    <row r="134" spans="3:8" ht="12.75" x14ac:dyDescent="0.2">
      <c r="C134" s="544"/>
      <c r="D134" s="544"/>
      <c r="E134" s="544"/>
      <c r="F134" s="544"/>
      <c r="G134" s="544"/>
      <c r="H134" s="544"/>
    </row>
    <row r="135" spans="3:8" ht="12.75" x14ac:dyDescent="0.2">
      <c r="C135" s="544"/>
      <c r="D135" s="544"/>
      <c r="E135" s="544"/>
      <c r="F135" s="544"/>
      <c r="G135" s="544"/>
      <c r="H135" s="544"/>
    </row>
    <row r="136" spans="3:8" ht="12.75" x14ac:dyDescent="0.2">
      <c r="C136" s="544"/>
      <c r="D136" s="544"/>
      <c r="E136" s="544"/>
      <c r="F136" s="544"/>
      <c r="G136" s="544"/>
      <c r="H136" s="544"/>
    </row>
    <row r="137" spans="3:8" ht="12.75" x14ac:dyDescent="0.2">
      <c r="C137" s="544"/>
      <c r="D137" s="544"/>
      <c r="E137" s="544"/>
      <c r="F137" s="544"/>
      <c r="G137" s="544"/>
      <c r="H137" s="544"/>
    </row>
    <row r="138" spans="3:8" ht="12.75" x14ac:dyDescent="0.2">
      <c r="C138" s="544"/>
      <c r="D138" s="544"/>
      <c r="E138" s="544"/>
      <c r="F138" s="544"/>
      <c r="G138" s="544"/>
      <c r="H138" s="544"/>
    </row>
    <row r="139" spans="3:8" ht="12.75" x14ac:dyDescent="0.2">
      <c r="C139" s="544"/>
      <c r="D139" s="544"/>
      <c r="E139" s="544"/>
      <c r="F139" s="544"/>
      <c r="G139" s="544"/>
      <c r="H139" s="544"/>
    </row>
    <row r="140" spans="3:8" ht="12.75" x14ac:dyDescent="0.2">
      <c r="C140" s="544"/>
      <c r="D140" s="544"/>
      <c r="E140" s="544"/>
      <c r="F140" s="544"/>
      <c r="G140" s="544"/>
      <c r="H140" s="544"/>
    </row>
    <row r="141" spans="3:8" ht="12.75" x14ac:dyDescent="0.2">
      <c r="C141" s="544"/>
      <c r="D141" s="544"/>
      <c r="E141" s="544"/>
      <c r="F141" s="544"/>
      <c r="G141" s="544"/>
      <c r="H141" s="544"/>
    </row>
    <row r="142" spans="3:8" ht="12.75" x14ac:dyDescent="0.2">
      <c r="C142" s="544"/>
      <c r="D142" s="544"/>
      <c r="E142" s="544"/>
      <c r="F142" s="544"/>
      <c r="G142" s="544"/>
      <c r="H142" s="544"/>
    </row>
    <row r="143" spans="3:8" ht="12.75" x14ac:dyDescent="0.2">
      <c r="C143" s="544"/>
      <c r="D143" s="544"/>
      <c r="E143" s="544"/>
      <c r="F143" s="544"/>
      <c r="G143" s="544"/>
      <c r="H143" s="544"/>
    </row>
    <row r="144" spans="3:8" ht="12.75" x14ac:dyDescent="0.2">
      <c r="C144" s="544"/>
      <c r="D144" s="544"/>
      <c r="E144" s="544"/>
      <c r="F144" s="544"/>
      <c r="G144" s="544"/>
      <c r="H144" s="544"/>
    </row>
    <row r="145" spans="3:8" ht="12.75" x14ac:dyDescent="0.2">
      <c r="C145" s="544"/>
      <c r="D145" s="544"/>
      <c r="E145" s="544"/>
      <c r="F145" s="544"/>
      <c r="G145" s="544"/>
      <c r="H145" s="544"/>
    </row>
    <row r="146" spans="3:8" ht="12.75" x14ac:dyDescent="0.2">
      <c r="C146" s="544"/>
      <c r="D146" s="544"/>
      <c r="E146" s="544"/>
      <c r="F146" s="544"/>
      <c r="G146" s="544"/>
      <c r="H146" s="544"/>
    </row>
    <row r="147" spans="3:8" ht="12.75" x14ac:dyDescent="0.2">
      <c r="C147" s="544"/>
      <c r="D147" s="544"/>
      <c r="E147" s="544"/>
      <c r="F147" s="544"/>
      <c r="G147" s="544"/>
      <c r="H147" s="544"/>
    </row>
    <row r="148" spans="3:8" ht="12.75" x14ac:dyDescent="0.2">
      <c r="C148" s="544"/>
      <c r="D148" s="544"/>
      <c r="E148" s="544"/>
      <c r="F148" s="544"/>
      <c r="G148" s="544"/>
      <c r="H148" s="544"/>
    </row>
    <row r="149" spans="3:8" ht="12.75" x14ac:dyDescent="0.2">
      <c r="C149" s="544"/>
      <c r="D149" s="544"/>
      <c r="E149" s="544"/>
      <c r="F149" s="544"/>
      <c r="G149" s="544"/>
      <c r="H149" s="544"/>
    </row>
    <row r="150" spans="3:8" ht="12.75" x14ac:dyDescent="0.2">
      <c r="C150" s="544"/>
      <c r="D150" s="544"/>
      <c r="E150" s="544"/>
      <c r="F150" s="544"/>
      <c r="G150" s="544"/>
      <c r="H150" s="544"/>
    </row>
    <row r="151" spans="3:8" ht="12.75" x14ac:dyDescent="0.2">
      <c r="C151" s="544"/>
      <c r="D151" s="544"/>
      <c r="E151" s="544"/>
      <c r="F151" s="544"/>
      <c r="G151" s="544"/>
      <c r="H151" s="544"/>
    </row>
    <row r="152" spans="3:8" ht="12.75" x14ac:dyDescent="0.2">
      <c r="C152" s="544"/>
      <c r="D152" s="544"/>
      <c r="E152" s="544"/>
      <c r="F152" s="544"/>
      <c r="G152" s="544"/>
      <c r="H152" s="544"/>
    </row>
    <row r="153" spans="3:8" ht="12.75" x14ac:dyDescent="0.2">
      <c r="C153" s="544"/>
      <c r="D153" s="544"/>
      <c r="E153" s="544"/>
      <c r="F153" s="544"/>
      <c r="G153" s="544"/>
      <c r="H153" s="544"/>
    </row>
    <row r="154" spans="3:8" ht="12.75" x14ac:dyDescent="0.2">
      <c r="C154" s="544"/>
      <c r="D154" s="544"/>
      <c r="E154" s="544"/>
      <c r="F154" s="544"/>
      <c r="G154" s="544"/>
      <c r="H154" s="544"/>
    </row>
    <row r="155" spans="3:8" ht="12.75" x14ac:dyDescent="0.2">
      <c r="C155" s="544"/>
      <c r="D155" s="544"/>
      <c r="E155" s="544"/>
      <c r="F155" s="544"/>
      <c r="G155" s="544"/>
      <c r="H155" s="544"/>
    </row>
    <row r="156" spans="3:8" ht="12.75" x14ac:dyDescent="0.2">
      <c r="C156" s="544"/>
      <c r="D156" s="544"/>
      <c r="E156" s="544"/>
      <c r="F156" s="544"/>
      <c r="G156" s="544"/>
      <c r="H156" s="544"/>
    </row>
    <row r="157" spans="3:8" ht="12.75" x14ac:dyDescent="0.2">
      <c r="C157" s="544"/>
      <c r="D157" s="544"/>
      <c r="E157" s="544"/>
      <c r="F157" s="544"/>
      <c r="G157" s="544"/>
      <c r="H157" s="544"/>
    </row>
    <row r="158" spans="3:8" ht="12.75" x14ac:dyDescent="0.2">
      <c r="C158" s="544"/>
      <c r="D158" s="544"/>
      <c r="E158" s="544"/>
      <c r="F158" s="544"/>
      <c r="G158" s="544"/>
      <c r="H158" s="544"/>
    </row>
    <row r="159" spans="3:8" ht="12.75" x14ac:dyDescent="0.2">
      <c r="C159" s="544"/>
      <c r="D159" s="544"/>
      <c r="E159" s="544"/>
      <c r="F159" s="544"/>
      <c r="G159" s="544"/>
      <c r="H159" s="544"/>
    </row>
    <row r="160" spans="3:8" ht="12.75" x14ac:dyDescent="0.2">
      <c r="C160" s="544"/>
      <c r="D160" s="544"/>
      <c r="E160" s="544"/>
      <c r="F160" s="544"/>
      <c r="G160" s="544"/>
      <c r="H160" s="544"/>
    </row>
    <row r="161" spans="3:8" ht="12.75" x14ac:dyDescent="0.2">
      <c r="C161" s="544"/>
      <c r="D161" s="544"/>
      <c r="E161" s="544"/>
      <c r="F161" s="544"/>
      <c r="G161" s="544"/>
      <c r="H161" s="544"/>
    </row>
    <row r="162" spans="3:8" ht="12.75" x14ac:dyDescent="0.2">
      <c r="C162" s="544"/>
      <c r="D162" s="544"/>
      <c r="E162" s="544"/>
      <c r="F162" s="544"/>
      <c r="G162" s="544"/>
      <c r="H162" s="544"/>
    </row>
    <row r="163" spans="3:8" ht="12.75" x14ac:dyDescent="0.2">
      <c r="C163" s="544"/>
      <c r="D163" s="544"/>
      <c r="E163" s="544"/>
      <c r="F163" s="544"/>
      <c r="G163" s="544"/>
      <c r="H163" s="544"/>
    </row>
    <row r="164" spans="3:8" ht="12.75" x14ac:dyDescent="0.2">
      <c r="C164" s="544"/>
      <c r="D164" s="544"/>
      <c r="E164" s="544"/>
      <c r="F164" s="544"/>
      <c r="G164" s="544"/>
      <c r="H164" s="544"/>
    </row>
    <row r="165" spans="3:8" ht="12.75" x14ac:dyDescent="0.2">
      <c r="C165" s="544"/>
      <c r="D165" s="544"/>
      <c r="E165" s="544"/>
      <c r="F165" s="544"/>
      <c r="G165" s="544"/>
      <c r="H165" s="544"/>
    </row>
    <row r="166" spans="3:8" ht="12.75" x14ac:dyDescent="0.2">
      <c r="C166" s="544"/>
      <c r="D166" s="544"/>
      <c r="E166" s="544"/>
      <c r="F166" s="544"/>
      <c r="G166" s="544"/>
      <c r="H166" s="544"/>
    </row>
    <row r="167" spans="3:8" ht="12.75" x14ac:dyDescent="0.2">
      <c r="C167" s="544"/>
      <c r="D167" s="544"/>
      <c r="E167" s="544"/>
      <c r="F167" s="544"/>
      <c r="G167" s="544"/>
      <c r="H167" s="544"/>
    </row>
    <row r="168" spans="3:8" ht="12.75" x14ac:dyDescent="0.2">
      <c r="C168" s="544"/>
      <c r="D168" s="544"/>
      <c r="E168" s="544"/>
      <c r="F168" s="544"/>
      <c r="G168" s="544"/>
      <c r="H168" s="544"/>
    </row>
    <row r="169" spans="3:8" ht="12.75" x14ac:dyDescent="0.2">
      <c r="C169" s="544"/>
      <c r="D169" s="544"/>
      <c r="E169" s="544"/>
      <c r="F169" s="544"/>
      <c r="G169" s="544"/>
      <c r="H169" s="544"/>
    </row>
    <row r="170" spans="3:8" ht="12.75" x14ac:dyDescent="0.2">
      <c r="C170" s="544"/>
      <c r="D170" s="544"/>
      <c r="E170" s="544"/>
      <c r="F170" s="544"/>
      <c r="G170" s="544"/>
      <c r="H170" s="544"/>
    </row>
    <row r="171" spans="3:8" ht="12.75" x14ac:dyDescent="0.2">
      <c r="C171" s="544"/>
      <c r="D171" s="544"/>
      <c r="E171" s="544"/>
      <c r="F171" s="544"/>
      <c r="G171" s="544"/>
      <c r="H171" s="544"/>
    </row>
    <row r="172" spans="3:8" ht="12.75" x14ac:dyDescent="0.2">
      <c r="C172" s="544"/>
      <c r="D172" s="544"/>
      <c r="E172" s="544"/>
      <c r="F172" s="544"/>
      <c r="G172" s="544"/>
      <c r="H172" s="544"/>
    </row>
    <row r="173" spans="3:8" ht="12.75" x14ac:dyDescent="0.2">
      <c r="C173" s="544"/>
      <c r="D173" s="544"/>
      <c r="E173" s="544"/>
      <c r="F173" s="544"/>
      <c r="G173" s="544"/>
      <c r="H173" s="544"/>
    </row>
    <row r="174" spans="3:8" ht="12.75" x14ac:dyDescent="0.2">
      <c r="C174" s="544"/>
      <c r="D174" s="544"/>
      <c r="E174" s="544"/>
      <c r="F174" s="544"/>
      <c r="G174" s="544"/>
      <c r="H174" s="544"/>
    </row>
    <row r="175" spans="3:8" ht="12.75" x14ac:dyDescent="0.2">
      <c r="C175" s="544"/>
      <c r="D175" s="544"/>
      <c r="E175" s="544"/>
      <c r="F175" s="544"/>
      <c r="G175" s="544"/>
      <c r="H175" s="544"/>
    </row>
    <row r="176" spans="3:8" ht="12.75" x14ac:dyDescent="0.2">
      <c r="C176" s="544"/>
      <c r="D176" s="544"/>
      <c r="E176" s="544"/>
      <c r="F176" s="544"/>
      <c r="G176" s="544"/>
      <c r="H176" s="544"/>
    </row>
    <row r="177" spans="3:8" ht="12.75" x14ac:dyDescent="0.2">
      <c r="C177" s="544"/>
      <c r="D177" s="544"/>
      <c r="E177" s="544"/>
      <c r="F177" s="544"/>
      <c r="G177" s="544"/>
      <c r="H177" s="544"/>
    </row>
    <row r="178" spans="3:8" ht="12.75" x14ac:dyDescent="0.2">
      <c r="C178" s="544"/>
      <c r="D178" s="544"/>
      <c r="E178" s="544"/>
      <c r="F178" s="544"/>
      <c r="G178" s="544"/>
      <c r="H178" s="544"/>
    </row>
    <row r="179" spans="3:8" ht="12.75" x14ac:dyDescent="0.2">
      <c r="C179" s="544"/>
      <c r="D179" s="544"/>
      <c r="E179" s="544"/>
      <c r="F179" s="544"/>
      <c r="G179" s="544"/>
      <c r="H179" s="544"/>
    </row>
    <row r="180" spans="3:8" ht="12.75" x14ac:dyDescent="0.2">
      <c r="C180" s="544"/>
      <c r="D180" s="544"/>
      <c r="E180" s="544"/>
      <c r="F180" s="544"/>
      <c r="G180" s="544"/>
      <c r="H180" s="544"/>
    </row>
    <row r="181" spans="3:8" ht="12.75" x14ac:dyDescent="0.2">
      <c r="C181" s="544"/>
      <c r="D181" s="544"/>
      <c r="E181" s="544"/>
      <c r="F181" s="544"/>
      <c r="G181" s="544"/>
      <c r="H181" s="544"/>
    </row>
    <row r="182" spans="3:8" ht="12.75" x14ac:dyDescent="0.2">
      <c r="C182" s="544"/>
      <c r="D182" s="544"/>
      <c r="E182" s="544"/>
      <c r="F182" s="544"/>
      <c r="G182" s="544"/>
      <c r="H182" s="544"/>
    </row>
    <row r="183" spans="3:8" ht="12.75" x14ac:dyDescent="0.2">
      <c r="C183" s="544"/>
      <c r="D183" s="544"/>
      <c r="E183" s="544"/>
      <c r="F183" s="544"/>
      <c r="G183" s="544"/>
      <c r="H183" s="544"/>
    </row>
    <row r="184" spans="3:8" ht="12.75" x14ac:dyDescent="0.2">
      <c r="C184" s="544"/>
      <c r="D184" s="544"/>
      <c r="E184" s="544"/>
      <c r="F184" s="544"/>
      <c r="G184" s="544"/>
      <c r="H184" s="544"/>
    </row>
    <row r="185" spans="3:8" ht="12.75" x14ac:dyDescent="0.2">
      <c r="C185" s="544"/>
      <c r="D185" s="544"/>
      <c r="E185" s="544"/>
      <c r="F185" s="544"/>
      <c r="G185" s="544"/>
      <c r="H185" s="544"/>
    </row>
    <row r="186" spans="3:8" ht="12.75" x14ac:dyDescent="0.2">
      <c r="C186" s="544"/>
      <c r="D186" s="544"/>
      <c r="E186" s="544"/>
      <c r="F186" s="544"/>
      <c r="G186" s="544"/>
      <c r="H186" s="544"/>
    </row>
    <row r="187" spans="3:8" ht="12.75" x14ac:dyDescent="0.2">
      <c r="C187" s="544"/>
      <c r="D187" s="544"/>
      <c r="E187" s="544"/>
      <c r="F187" s="544"/>
      <c r="G187" s="544"/>
      <c r="H187" s="544"/>
    </row>
    <row r="188" spans="3:8" ht="12.75" x14ac:dyDescent="0.2">
      <c r="C188" s="544"/>
      <c r="D188" s="544"/>
      <c r="E188" s="544"/>
      <c r="F188" s="544"/>
      <c r="G188" s="544"/>
      <c r="H188" s="544"/>
    </row>
    <row r="189" spans="3:8" ht="12.75" x14ac:dyDescent="0.2">
      <c r="C189" s="544"/>
      <c r="D189" s="544"/>
      <c r="E189" s="544"/>
      <c r="F189" s="544"/>
      <c r="G189" s="544"/>
      <c r="H189" s="544"/>
    </row>
    <row r="190" spans="3:8" ht="12.75" x14ac:dyDescent="0.2">
      <c r="C190" s="544"/>
      <c r="D190" s="544"/>
      <c r="E190" s="544"/>
      <c r="F190" s="544"/>
      <c r="G190" s="544"/>
      <c r="H190" s="544"/>
    </row>
    <row r="191" spans="3:8" ht="12.75" x14ac:dyDescent="0.2">
      <c r="C191" s="544"/>
      <c r="D191" s="544"/>
      <c r="E191" s="544"/>
      <c r="F191" s="544"/>
      <c r="G191" s="544"/>
      <c r="H191" s="544"/>
    </row>
    <row r="192" spans="3:8" ht="12.75" x14ac:dyDescent="0.2">
      <c r="C192" s="544"/>
      <c r="D192" s="544"/>
      <c r="E192" s="544"/>
      <c r="F192" s="544"/>
      <c r="G192" s="544"/>
      <c r="H192" s="544"/>
    </row>
    <row r="193" spans="3:8" ht="12.75" x14ac:dyDescent="0.2">
      <c r="C193" s="544"/>
      <c r="D193" s="544"/>
      <c r="E193" s="544"/>
      <c r="F193" s="544"/>
      <c r="G193" s="544"/>
      <c r="H193" s="544"/>
    </row>
    <row r="194" spans="3:8" ht="12.75" x14ac:dyDescent="0.2">
      <c r="C194" s="544"/>
      <c r="D194" s="544"/>
      <c r="E194" s="544"/>
      <c r="F194" s="544"/>
      <c r="G194" s="544"/>
      <c r="H194" s="544"/>
    </row>
    <row r="195" spans="3:8" ht="12.75" x14ac:dyDescent="0.2">
      <c r="C195" s="544"/>
      <c r="D195" s="544"/>
      <c r="E195" s="544"/>
      <c r="F195" s="544"/>
      <c r="G195" s="544"/>
      <c r="H195" s="544"/>
    </row>
    <row r="196" spans="3:8" ht="12.75" x14ac:dyDescent="0.2">
      <c r="C196" s="544"/>
      <c r="D196" s="544"/>
      <c r="E196" s="544"/>
      <c r="F196" s="544"/>
      <c r="G196" s="544"/>
      <c r="H196" s="544"/>
    </row>
    <row r="197" spans="3:8" ht="12.75" x14ac:dyDescent="0.2">
      <c r="C197" s="544"/>
      <c r="D197" s="544"/>
      <c r="E197" s="544"/>
      <c r="F197" s="544"/>
      <c r="G197" s="544"/>
      <c r="H197" s="544"/>
    </row>
    <row r="198" spans="3:8" ht="12.75" x14ac:dyDescent="0.2">
      <c r="C198" s="544"/>
      <c r="D198" s="544"/>
      <c r="E198" s="544"/>
      <c r="F198" s="544"/>
      <c r="G198" s="544"/>
      <c r="H198" s="544"/>
    </row>
    <row r="199" spans="3:8" ht="12.75" x14ac:dyDescent="0.2">
      <c r="C199" s="544"/>
      <c r="D199" s="544"/>
      <c r="E199" s="544"/>
      <c r="F199" s="544"/>
      <c r="G199" s="544"/>
      <c r="H199" s="544"/>
    </row>
    <row r="200" spans="3:8" ht="12.75" x14ac:dyDescent="0.2">
      <c r="C200" s="544"/>
      <c r="D200" s="544"/>
      <c r="E200" s="544"/>
      <c r="F200" s="544"/>
      <c r="G200" s="544"/>
      <c r="H200" s="544"/>
    </row>
    <row r="201" spans="3:8" ht="12.75" x14ac:dyDescent="0.2">
      <c r="C201" s="544"/>
      <c r="D201" s="544"/>
      <c r="E201" s="544"/>
      <c r="F201" s="544"/>
      <c r="G201" s="544"/>
      <c r="H201" s="544"/>
    </row>
    <row r="202" spans="3:8" ht="12.75" x14ac:dyDescent="0.2">
      <c r="C202" s="544"/>
      <c r="D202" s="544"/>
      <c r="E202" s="544"/>
      <c r="F202" s="544"/>
      <c r="G202" s="544"/>
      <c r="H202" s="544"/>
    </row>
    <row r="203" spans="3:8" ht="12.75" x14ac:dyDescent="0.2">
      <c r="C203" s="544"/>
      <c r="D203" s="544"/>
      <c r="E203" s="544"/>
      <c r="F203" s="544"/>
      <c r="G203" s="544"/>
      <c r="H203" s="544"/>
    </row>
    <row r="204" spans="3:8" ht="12.75" x14ac:dyDescent="0.2">
      <c r="C204" s="544"/>
      <c r="D204" s="544"/>
      <c r="E204" s="544"/>
      <c r="F204" s="544"/>
      <c r="G204" s="544"/>
      <c r="H204" s="544"/>
    </row>
    <row r="205" spans="3:8" ht="12.75" x14ac:dyDescent="0.2">
      <c r="C205" s="544"/>
      <c r="D205" s="544"/>
      <c r="E205" s="544"/>
      <c r="F205" s="544"/>
      <c r="G205" s="544"/>
      <c r="H205" s="544"/>
    </row>
    <row r="206" spans="3:8" ht="12.75" x14ac:dyDescent="0.2">
      <c r="C206" s="544"/>
      <c r="D206" s="544"/>
      <c r="E206" s="544"/>
      <c r="F206" s="544"/>
      <c r="G206" s="544"/>
      <c r="H206" s="544"/>
    </row>
    <row r="207" spans="3:8" ht="12.75" x14ac:dyDescent="0.2">
      <c r="C207" s="544"/>
      <c r="D207" s="544"/>
      <c r="E207" s="544"/>
      <c r="F207" s="544"/>
      <c r="G207" s="544"/>
      <c r="H207" s="544"/>
    </row>
    <row r="208" spans="3:8" ht="12.75" x14ac:dyDescent="0.2">
      <c r="C208" s="544"/>
      <c r="D208" s="544"/>
      <c r="E208" s="544"/>
      <c r="F208" s="544"/>
      <c r="G208" s="544"/>
      <c r="H208" s="544"/>
    </row>
    <row r="209" spans="3:8" ht="12.75" x14ac:dyDescent="0.2">
      <c r="C209" s="544"/>
      <c r="D209" s="544"/>
      <c r="E209" s="544"/>
      <c r="F209" s="544"/>
      <c r="G209" s="544"/>
      <c r="H209" s="544"/>
    </row>
    <row r="210" spans="3:8" ht="12.75" x14ac:dyDescent="0.2">
      <c r="C210" s="544"/>
      <c r="D210" s="544"/>
      <c r="E210" s="544"/>
      <c r="F210" s="544"/>
      <c r="G210" s="544"/>
      <c r="H210" s="544"/>
    </row>
    <row r="211" spans="3:8" ht="12.75" x14ac:dyDescent="0.2">
      <c r="C211" s="544"/>
      <c r="D211" s="544"/>
      <c r="E211" s="544"/>
      <c r="F211" s="544"/>
      <c r="G211" s="544"/>
      <c r="H211" s="544"/>
    </row>
    <row r="212" spans="3:8" ht="12.75" x14ac:dyDescent="0.2">
      <c r="C212" s="544"/>
      <c r="D212" s="544"/>
      <c r="E212" s="544"/>
      <c r="F212" s="544"/>
      <c r="G212" s="544"/>
      <c r="H212" s="544"/>
    </row>
    <row r="213" spans="3:8" ht="12.75" x14ac:dyDescent="0.2">
      <c r="C213" s="544"/>
      <c r="D213" s="544"/>
      <c r="E213" s="544"/>
      <c r="F213" s="544"/>
      <c r="G213" s="544"/>
      <c r="H213" s="544"/>
    </row>
    <row r="214" spans="3:8" ht="12.75" x14ac:dyDescent="0.2">
      <c r="C214" s="544"/>
      <c r="D214" s="544"/>
      <c r="E214" s="544"/>
      <c r="F214" s="544"/>
      <c r="G214" s="544"/>
      <c r="H214" s="544"/>
    </row>
    <row r="215" spans="3:8" ht="12.75" x14ac:dyDescent="0.2">
      <c r="C215" s="544"/>
      <c r="D215" s="544"/>
      <c r="E215" s="544"/>
      <c r="F215" s="544"/>
      <c r="G215" s="544"/>
      <c r="H215" s="544"/>
    </row>
    <row r="216" spans="3:8" ht="12.75" x14ac:dyDescent="0.2">
      <c r="C216" s="544"/>
      <c r="D216" s="544"/>
      <c r="E216" s="544"/>
      <c r="F216" s="544"/>
      <c r="G216" s="544"/>
      <c r="H216" s="544"/>
    </row>
    <row r="217" spans="3:8" ht="12.75" x14ac:dyDescent="0.2">
      <c r="C217" s="544"/>
      <c r="D217" s="544"/>
      <c r="E217" s="544"/>
      <c r="F217" s="544"/>
      <c r="G217" s="544"/>
      <c r="H217" s="544"/>
    </row>
  </sheetData>
  <mergeCells count="5">
    <mergeCell ref="A5:E5"/>
    <mergeCell ref="A1:E1"/>
    <mergeCell ref="A2:E2"/>
    <mergeCell ref="A3:E3"/>
    <mergeCell ref="A4:E4"/>
  </mergeCells>
  <phoneticPr fontId="3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71"/>
  <sheetViews>
    <sheetView topLeftCell="B1" zoomScaleNormal="100" workbookViewId="0">
      <selection activeCell="K29" sqref="K29:K30"/>
    </sheetView>
  </sheetViews>
  <sheetFormatPr defaultColWidth="10.6640625" defaultRowHeight="10.5" x14ac:dyDescent="0.15"/>
  <cols>
    <col min="1" max="1" width="5.83203125" style="42" customWidth="1"/>
    <col min="2" max="2" width="2.83203125" style="42" customWidth="1"/>
    <col min="3" max="3" width="11.5" style="42" customWidth="1"/>
    <col min="4" max="4" width="2.83203125" style="42" customWidth="1"/>
    <col min="5" max="5" width="47.33203125" style="42" customWidth="1"/>
    <col min="6" max="6" width="2.83203125" style="42" customWidth="1"/>
    <col min="7" max="7" width="12.33203125" style="42" bestFit="1" customWidth="1"/>
    <col min="8" max="8" width="2.83203125" style="42" customWidth="1"/>
    <col min="9" max="9" width="17.83203125" style="42" bestFit="1" customWidth="1"/>
    <col min="10" max="10" width="2.83203125" style="42" customWidth="1"/>
    <col min="11" max="11" width="12.33203125" style="42" bestFit="1" customWidth="1"/>
    <col min="12" max="12" width="2.83203125" style="42" customWidth="1"/>
    <col min="13" max="13" width="13.1640625" style="42" bestFit="1" customWidth="1"/>
    <col min="14" max="14" width="2.83203125" style="42" customWidth="1"/>
    <col min="15" max="15" width="14.5" style="42" bestFit="1" customWidth="1"/>
    <col min="16" max="16" width="2.83203125" style="42" customWidth="1"/>
    <col min="17" max="17" width="13" style="42" bestFit="1" customWidth="1"/>
    <col min="18" max="18" width="2.83203125" style="42" customWidth="1"/>
    <col min="19" max="19" width="16.83203125" style="42" customWidth="1"/>
    <col min="20" max="20" width="2.83203125" style="42" customWidth="1"/>
    <col min="21" max="21" width="15.5" style="42" customWidth="1"/>
    <col min="22" max="16384" width="10.6640625" style="42"/>
  </cols>
  <sheetData>
    <row r="1" spans="1:21" ht="12.75" x14ac:dyDescent="0.2">
      <c r="A1" s="1443" t="s">
        <v>477</v>
      </c>
      <c r="B1" s="1443"/>
      <c r="C1" s="1443"/>
      <c r="D1" s="1443"/>
      <c r="E1" s="1443"/>
      <c r="F1" s="1443"/>
      <c r="G1" s="1443"/>
      <c r="H1" s="1443"/>
      <c r="I1" s="1443"/>
      <c r="J1" s="1443"/>
      <c r="K1" s="1443"/>
      <c r="L1" s="1443"/>
      <c r="M1" s="1443"/>
      <c r="N1" s="1443"/>
      <c r="O1" s="1443"/>
      <c r="P1" s="1443"/>
      <c r="Q1" s="1443"/>
      <c r="R1" s="1443"/>
      <c r="S1" s="1443"/>
      <c r="T1" s="1443"/>
      <c r="U1" s="1443"/>
    </row>
    <row r="2" spans="1:21" ht="12.75" x14ac:dyDescent="0.2">
      <c r="A2" s="1442" t="str">
        <f>+Input!C4</f>
        <v>CASE NO. 2017-xxxxx</v>
      </c>
      <c r="B2" s="1442"/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  <c r="P2" s="1442"/>
      <c r="Q2" s="1442"/>
      <c r="R2" s="1442"/>
      <c r="S2" s="1442"/>
      <c r="T2" s="1442"/>
      <c r="U2" s="1442"/>
    </row>
    <row r="3" spans="1:21" ht="12.75" x14ac:dyDescent="0.2">
      <c r="A3" s="1443" t="s">
        <v>1500</v>
      </c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  <c r="M3" s="1443"/>
      <c r="N3" s="1443"/>
      <c r="O3" s="1443"/>
      <c r="P3" s="1443"/>
      <c r="Q3" s="1443"/>
      <c r="R3" s="1443"/>
      <c r="S3" s="1443"/>
      <c r="T3" s="1443"/>
      <c r="U3" s="1443"/>
    </row>
    <row r="4" spans="1:21" ht="12.75" x14ac:dyDescent="0.2">
      <c r="A4" s="1444" t="s">
        <v>1588</v>
      </c>
      <c r="B4" s="1444"/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1444"/>
      <c r="P4" s="1444"/>
      <c r="Q4" s="1444"/>
      <c r="R4" s="1444"/>
      <c r="S4" s="1444"/>
      <c r="T4" s="1444"/>
      <c r="U4" s="1444"/>
    </row>
    <row r="5" spans="1:21" ht="12.75" x14ac:dyDescent="0.2">
      <c r="A5" s="1442" t="str">
        <f>+Input!C6</f>
        <v>TWELVE MONTHS ENDED DECEMBER 31, 2017</v>
      </c>
      <c r="B5" s="1442"/>
      <c r="C5" s="1442"/>
      <c r="D5" s="1442"/>
      <c r="E5" s="1442"/>
      <c r="F5" s="1442"/>
      <c r="G5" s="1442"/>
      <c r="H5" s="1442"/>
      <c r="I5" s="1442"/>
      <c r="J5" s="1442"/>
      <c r="K5" s="1442"/>
      <c r="L5" s="1442"/>
      <c r="M5" s="1442"/>
      <c r="N5" s="1442"/>
      <c r="O5" s="1442"/>
      <c r="P5" s="1442"/>
      <c r="Q5" s="1442"/>
      <c r="R5" s="1442"/>
      <c r="S5" s="1442"/>
      <c r="T5" s="1442"/>
      <c r="U5" s="1442"/>
    </row>
    <row r="6" spans="1:21" ht="11.25" x14ac:dyDescent="0.2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12.75" x14ac:dyDescent="0.2">
      <c r="A7" s="535" t="s">
        <v>839</v>
      </c>
      <c r="B7" s="534"/>
      <c r="C7" s="536"/>
      <c r="D7" s="536"/>
      <c r="E7" s="534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537" t="s">
        <v>1585</v>
      </c>
    </row>
    <row r="8" spans="1:21" ht="12.75" x14ac:dyDescent="0.2">
      <c r="A8" s="535" t="s">
        <v>490</v>
      </c>
      <c r="B8" s="534"/>
      <c r="C8" s="536"/>
      <c r="D8" s="536"/>
      <c r="E8" s="534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537" t="s">
        <v>491</v>
      </c>
    </row>
    <row r="9" spans="1:21" ht="12.75" x14ac:dyDescent="0.2">
      <c r="A9" s="538" t="s">
        <v>397</v>
      </c>
      <c r="B9" s="539"/>
      <c r="C9" s="540"/>
      <c r="D9" s="540"/>
      <c r="E9" s="539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541" t="str">
        <f>+Input!E27</f>
        <v>WITNESS:  C. Y. LAI</v>
      </c>
    </row>
    <row r="10" spans="1:21" ht="12.75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 t="s">
        <v>1553</v>
      </c>
      <c r="L10" s="92"/>
      <c r="M10" s="92"/>
      <c r="N10" s="92"/>
      <c r="O10" s="92"/>
      <c r="P10" s="92"/>
      <c r="R10" s="92"/>
      <c r="S10" s="92" t="s">
        <v>1119</v>
      </c>
      <c r="T10" s="92"/>
      <c r="U10" s="92"/>
    </row>
    <row r="11" spans="1:21" ht="12.75" x14ac:dyDescent="0.2">
      <c r="A11" s="92"/>
      <c r="B11" s="92"/>
      <c r="C11" s="92" t="s">
        <v>1371</v>
      </c>
      <c r="D11" s="92"/>
      <c r="E11" s="92"/>
      <c r="F11" s="92"/>
      <c r="G11" s="92" t="s">
        <v>1122</v>
      </c>
      <c r="H11" s="92"/>
      <c r="I11" s="92" t="s">
        <v>1120</v>
      </c>
      <c r="J11" s="92"/>
      <c r="K11" s="92" t="s">
        <v>1554</v>
      </c>
      <c r="L11" s="92"/>
      <c r="M11" s="949">
        <v>2009</v>
      </c>
      <c r="N11" s="949"/>
      <c r="O11" s="949">
        <v>2009</v>
      </c>
      <c r="P11" s="949"/>
      <c r="Q11" s="950">
        <v>2009</v>
      </c>
      <c r="R11" s="92"/>
      <c r="S11" s="92" t="s">
        <v>1120</v>
      </c>
      <c r="T11" s="92"/>
      <c r="U11" s="92"/>
    </row>
    <row r="12" spans="1:21" ht="12.75" x14ac:dyDescent="0.2">
      <c r="A12" s="92" t="s">
        <v>493</v>
      </c>
      <c r="B12" s="92"/>
      <c r="C12" s="92" t="s">
        <v>1709</v>
      </c>
      <c r="D12" s="92"/>
      <c r="E12" s="92"/>
      <c r="F12" s="92"/>
      <c r="G12" s="92" t="s">
        <v>1121</v>
      </c>
      <c r="H12" s="92"/>
      <c r="I12" s="92" t="s">
        <v>525</v>
      </c>
      <c r="J12" s="92"/>
      <c r="K12" s="92" t="s">
        <v>1399</v>
      </c>
      <c r="L12" s="92"/>
      <c r="M12" s="752" t="s">
        <v>1122</v>
      </c>
      <c r="N12" s="752"/>
      <c r="O12" s="92" t="s">
        <v>525</v>
      </c>
      <c r="P12" s="752"/>
      <c r="Q12" s="92" t="s">
        <v>1399</v>
      </c>
      <c r="R12" s="92"/>
      <c r="S12" s="92" t="s">
        <v>525</v>
      </c>
      <c r="T12" s="542"/>
      <c r="U12" s="92" t="s">
        <v>1399</v>
      </c>
    </row>
    <row r="13" spans="1:21" ht="12.75" x14ac:dyDescent="0.2">
      <c r="A13" s="125" t="s">
        <v>496</v>
      </c>
      <c r="B13" s="92"/>
      <c r="C13" s="125" t="s">
        <v>496</v>
      </c>
      <c r="D13" s="92"/>
      <c r="E13" s="125" t="s">
        <v>480</v>
      </c>
      <c r="F13" s="92"/>
      <c r="G13" s="125" t="s">
        <v>883</v>
      </c>
      <c r="H13" s="92"/>
      <c r="I13" s="125" t="s">
        <v>1566</v>
      </c>
      <c r="J13" s="667"/>
      <c r="K13" s="125" t="s">
        <v>300</v>
      </c>
      <c r="L13" s="92"/>
      <c r="M13" s="125" t="s">
        <v>886</v>
      </c>
      <c r="N13" s="667"/>
      <c r="O13" s="125" t="s">
        <v>1123</v>
      </c>
      <c r="P13" s="667"/>
      <c r="Q13" s="125" t="s">
        <v>300</v>
      </c>
      <c r="R13" s="667"/>
      <c r="S13" s="125" t="s">
        <v>1123</v>
      </c>
      <c r="T13" s="92"/>
      <c r="U13" s="125" t="s">
        <v>1235</v>
      </c>
    </row>
    <row r="14" spans="1:21" ht="12.75" x14ac:dyDescent="0.2">
      <c r="A14" s="92"/>
      <c r="B14" s="92"/>
      <c r="C14" s="92" t="s">
        <v>549</v>
      </c>
      <c r="D14" s="92"/>
      <c r="E14" s="92" t="s">
        <v>549</v>
      </c>
      <c r="F14" s="92"/>
      <c r="G14" s="92" t="s">
        <v>532</v>
      </c>
      <c r="H14" s="92"/>
      <c r="I14" s="543" t="s">
        <v>1567</v>
      </c>
      <c r="J14" s="543"/>
      <c r="K14" s="543" t="s">
        <v>1555</v>
      </c>
      <c r="L14" s="92"/>
      <c r="M14" s="543" t="s">
        <v>535</v>
      </c>
      <c r="N14" s="750"/>
      <c r="O14" s="543" t="s">
        <v>1556</v>
      </c>
      <c r="P14" s="750"/>
      <c r="Q14" s="543" t="s">
        <v>1557</v>
      </c>
      <c r="R14" s="750"/>
      <c r="S14" s="543" t="s">
        <v>1558</v>
      </c>
      <c r="T14" s="92"/>
      <c r="U14" s="543" t="s">
        <v>116</v>
      </c>
    </row>
    <row r="15" spans="1:21" ht="12.75" x14ac:dyDescent="0.2">
      <c r="A15" s="92"/>
      <c r="B15" s="92"/>
      <c r="C15" s="92"/>
      <c r="D15" s="92"/>
      <c r="E15" s="92"/>
      <c r="F15" s="92"/>
      <c r="G15" s="92" t="s">
        <v>500</v>
      </c>
      <c r="H15" s="92"/>
      <c r="I15" s="92" t="s">
        <v>500</v>
      </c>
      <c r="J15" s="92"/>
      <c r="K15" s="92" t="s">
        <v>500</v>
      </c>
      <c r="L15" s="92"/>
      <c r="M15" s="92" t="s">
        <v>500</v>
      </c>
      <c r="N15" s="92"/>
      <c r="O15" s="92" t="s">
        <v>500</v>
      </c>
      <c r="P15" s="92"/>
      <c r="Q15" s="92" t="s">
        <v>500</v>
      </c>
      <c r="R15" s="92"/>
      <c r="S15" s="92" t="s">
        <v>536</v>
      </c>
      <c r="T15" s="92"/>
      <c r="U15" s="92" t="s">
        <v>500</v>
      </c>
    </row>
    <row r="16" spans="1:21" ht="12.75" x14ac:dyDescent="0.2">
      <c r="A16" s="92"/>
      <c r="B16" s="92"/>
      <c r="C16" s="92"/>
      <c r="D16" s="92"/>
      <c r="E16" s="544" t="s">
        <v>748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751"/>
      <c r="R16" s="92"/>
      <c r="S16" s="92"/>
      <c r="T16" s="92"/>
      <c r="U16" s="92"/>
    </row>
    <row r="17" spans="1:22" ht="12.75" x14ac:dyDescent="0.2">
      <c r="A17" s="92"/>
      <c r="B17" s="92"/>
      <c r="C17" s="92"/>
      <c r="D17" s="92"/>
      <c r="E17" s="948" t="s">
        <v>571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751"/>
      <c r="R17" s="92"/>
      <c r="S17" s="92"/>
      <c r="T17" s="92"/>
      <c r="U17" s="92"/>
    </row>
    <row r="18" spans="1:22" ht="12.75" x14ac:dyDescent="0.2">
      <c r="A18" s="92"/>
      <c r="B18" s="92"/>
      <c r="C18" s="92"/>
      <c r="D18" s="92"/>
      <c r="E18" s="948" t="s">
        <v>572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751"/>
      <c r="R18" s="92"/>
      <c r="S18" s="92"/>
      <c r="T18" s="92"/>
      <c r="U18" s="92"/>
    </row>
    <row r="19" spans="1:22" ht="12.75" x14ac:dyDescent="0.2">
      <c r="Q19" s="751"/>
    </row>
    <row r="20" spans="1:22" ht="12.75" x14ac:dyDescent="0.2">
      <c r="A20" s="92"/>
      <c r="B20" s="90"/>
      <c r="C20" s="92"/>
      <c r="D20" s="90"/>
      <c r="E20" s="90"/>
      <c r="F20" s="90"/>
      <c r="G20" s="413"/>
      <c r="H20" s="413"/>
      <c r="I20" s="413"/>
      <c r="J20" s="413"/>
      <c r="K20" s="413"/>
      <c r="L20" s="413"/>
      <c r="M20" s="413"/>
      <c r="N20" s="413"/>
      <c r="O20" s="413"/>
      <c r="P20" s="413"/>
      <c r="Q20" s="751"/>
      <c r="R20" s="546"/>
      <c r="S20" s="546"/>
      <c r="T20" s="413"/>
      <c r="U20" s="413"/>
    </row>
    <row r="21" spans="1:22" ht="12.75" x14ac:dyDescent="0.2">
      <c r="A21" s="92"/>
      <c r="B21" s="90"/>
      <c r="C21" s="92"/>
      <c r="D21" s="90"/>
      <c r="E21" s="545" t="s">
        <v>1127</v>
      </c>
      <c r="F21" s="90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537"/>
      <c r="R21" s="546"/>
      <c r="S21" s="546"/>
      <c r="T21" s="413"/>
      <c r="U21" s="413"/>
    </row>
    <row r="22" spans="1:22" ht="12.75" x14ac:dyDescent="0.2">
      <c r="A22" s="92">
        <v>1</v>
      </c>
      <c r="B22" s="90"/>
      <c r="C22" s="92" t="s">
        <v>1559</v>
      </c>
      <c r="D22" s="90"/>
      <c r="E22" s="90" t="s">
        <v>1142</v>
      </c>
      <c r="F22" s="90"/>
      <c r="G22" s="951">
        <f>776670+16961</f>
        <v>793631</v>
      </c>
      <c r="H22" s="413"/>
      <c r="I22" s="413">
        <f>ROUND(G22*S22,0)</f>
        <v>-224401</v>
      </c>
      <c r="J22" s="413"/>
      <c r="K22" s="413">
        <f>+G22+I22</f>
        <v>569230</v>
      </c>
      <c r="L22" s="413"/>
      <c r="M22" s="951">
        <v>1191000</v>
      </c>
      <c r="N22" s="413"/>
      <c r="O22" s="413">
        <f>ROUND(M22*S22,0)</f>
        <v>-336757</v>
      </c>
      <c r="P22" s="413"/>
      <c r="Q22" s="537">
        <f>SUM(M22:O22)</f>
        <v>854243</v>
      </c>
      <c r="R22" s="546"/>
      <c r="S22" s="954">
        <f>+G53</f>
        <v>-0.28275169999999999</v>
      </c>
      <c r="T22" s="413"/>
      <c r="U22" s="413">
        <f>+Q22-K22</f>
        <v>285013</v>
      </c>
    </row>
    <row r="23" spans="1:22" ht="12.75" x14ac:dyDescent="0.2">
      <c r="A23" s="92">
        <f>A22+1</f>
        <v>2</v>
      </c>
      <c r="B23" s="90"/>
      <c r="C23" s="92" t="s">
        <v>1132</v>
      </c>
      <c r="D23" s="90"/>
      <c r="E23" s="90" t="s">
        <v>1133</v>
      </c>
      <c r="F23" s="90"/>
      <c r="G23" s="952">
        <v>66637</v>
      </c>
      <c r="H23" s="524"/>
      <c r="I23" s="413">
        <f>ROUND(G23*S23,0)</f>
        <v>-18842</v>
      </c>
      <c r="J23" s="524"/>
      <c r="K23" s="413">
        <f>+G23+I23</f>
        <v>47795</v>
      </c>
      <c r="L23" s="524"/>
      <c r="M23" s="952">
        <v>84000</v>
      </c>
      <c r="N23" s="524"/>
      <c r="O23" s="413">
        <f>ROUND(M23*S23,0)</f>
        <v>-23751</v>
      </c>
      <c r="P23" s="524"/>
      <c r="Q23" s="537">
        <f>SUM(M23:O23)</f>
        <v>60249</v>
      </c>
      <c r="R23" s="546"/>
      <c r="S23" s="954">
        <f>S24</f>
        <v>-0.28275169999999999</v>
      </c>
      <c r="T23" s="524"/>
      <c r="U23" s="413">
        <f>+Q23-K23</f>
        <v>12454</v>
      </c>
    </row>
    <row r="24" spans="1:22" ht="12.75" x14ac:dyDescent="0.2">
      <c r="A24" s="92">
        <f>A23+1</f>
        <v>3</v>
      </c>
      <c r="B24" s="90"/>
      <c r="C24" s="92" t="s">
        <v>1128</v>
      </c>
      <c r="D24" s="90"/>
      <c r="E24" s="90" t="s">
        <v>1129</v>
      </c>
      <c r="F24" s="90"/>
      <c r="G24" s="951">
        <v>-34032</v>
      </c>
      <c r="H24" s="413"/>
      <c r="I24" s="413">
        <f>ROUND(G24*S24,0)</f>
        <v>9623</v>
      </c>
      <c r="J24" s="524"/>
      <c r="K24" s="413">
        <f>+G24+I24</f>
        <v>-24409</v>
      </c>
      <c r="L24" s="413"/>
      <c r="M24" s="951">
        <v>27000</v>
      </c>
      <c r="N24" s="413"/>
      <c r="O24" s="413">
        <f>ROUND(M24*S24,0)</f>
        <v>-7634</v>
      </c>
      <c r="P24" s="413"/>
      <c r="Q24" s="537">
        <f>SUM(M24:O24)</f>
        <v>19366</v>
      </c>
      <c r="R24" s="546"/>
      <c r="S24" s="954">
        <f>G53</f>
        <v>-0.28275169999999999</v>
      </c>
      <c r="T24" s="413"/>
      <c r="U24" s="413">
        <f>+Q24-K24</f>
        <v>43775</v>
      </c>
    </row>
    <row r="25" spans="1:22" ht="12.75" x14ac:dyDescent="0.2">
      <c r="A25" s="92">
        <f>A24+1</f>
        <v>4</v>
      </c>
      <c r="B25" s="90"/>
      <c r="C25" s="92" t="s">
        <v>1130</v>
      </c>
      <c r="D25" s="90"/>
      <c r="E25" s="90" t="s">
        <v>1131</v>
      </c>
      <c r="F25" s="90"/>
      <c r="G25" s="953">
        <v>112297</v>
      </c>
      <c r="H25" s="413"/>
      <c r="I25" s="416">
        <f>ROUND(G25*S25,0)</f>
        <v>-31752</v>
      </c>
      <c r="J25" s="524"/>
      <c r="K25" s="416">
        <f>+G25+I25</f>
        <v>80545</v>
      </c>
      <c r="L25" s="753"/>
      <c r="M25" s="953">
        <v>40000</v>
      </c>
      <c r="N25" s="753"/>
      <c r="O25" s="416">
        <f>ROUND(M25*S25,0)</f>
        <v>-11310</v>
      </c>
      <c r="P25" s="753"/>
      <c r="Q25" s="541">
        <f>SUM(M25:O25)</f>
        <v>28690</v>
      </c>
      <c r="R25" s="546"/>
      <c r="S25" s="954">
        <f>S24</f>
        <v>-0.28275169999999999</v>
      </c>
      <c r="T25" s="753"/>
      <c r="U25" s="416">
        <f>+Q25-K25</f>
        <v>-51855</v>
      </c>
    </row>
    <row r="26" spans="1:22" ht="12.75" x14ac:dyDescent="0.2">
      <c r="A26" s="92">
        <f>A25+1</f>
        <v>5</v>
      </c>
      <c r="B26" s="90"/>
      <c r="C26" s="92"/>
      <c r="D26" s="90"/>
      <c r="E26" s="90" t="s">
        <v>1134</v>
      </c>
      <c r="F26" s="90"/>
      <c r="G26" s="413">
        <f>SUM(G22:G25)</f>
        <v>938533</v>
      </c>
      <c r="H26" s="413"/>
      <c r="I26" s="413">
        <f>SUM(I22:I25)</f>
        <v>-265372</v>
      </c>
      <c r="J26" s="524"/>
      <c r="K26" s="413">
        <f>SUM(K22:K25)</f>
        <v>673161</v>
      </c>
      <c r="L26" s="413"/>
      <c r="M26" s="961">
        <f>SUM(M22:M25)</f>
        <v>1342000</v>
      </c>
      <c r="N26" s="413"/>
      <c r="O26" s="413">
        <f>SUM(O22:O25)</f>
        <v>-379452</v>
      </c>
      <c r="P26" s="413"/>
      <c r="Q26" s="413">
        <f>SUM(Q22:Q25)</f>
        <v>962548</v>
      </c>
      <c r="R26" s="546"/>
      <c r="S26" s="954"/>
      <c r="T26" s="413"/>
      <c r="U26" s="413">
        <f>SUM(U22:U25)</f>
        <v>289387</v>
      </c>
    </row>
    <row r="27" spans="1:22" ht="12.75" x14ac:dyDescent="0.2">
      <c r="A27" s="92"/>
      <c r="B27" s="90"/>
      <c r="C27" s="92"/>
      <c r="D27" s="90"/>
      <c r="F27" s="90"/>
      <c r="G27" s="413"/>
      <c r="H27" s="413"/>
      <c r="I27" s="90"/>
      <c r="J27" s="359"/>
      <c r="K27" s="90"/>
      <c r="L27" s="413"/>
      <c r="M27" s="961"/>
      <c r="N27" s="413"/>
      <c r="O27" s="413"/>
      <c r="P27" s="413"/>
      <c r="Q27" s="537"/>
      <c r="R27" s="90"/>
      <c r="S27" s="954"/>
      <c r="T27" s="413"/>
      <c r="U27" s="90"/>
    </row>
    <row r="28" spans="1:22" ht="12.75" x14ac:dyDescent="0.2">
      <c r="A28" s="92"/>
      <c r="B28" s="90"/>
      <c r="C28" s="92"/>
      <c r="D28" s="90"/>
      <c r="E28" s="545" t="s">
        <v>1560</v>
      </c>
      <c r="F28" s="90"/>
      <c r="G28" s="413"/>
      <c r="H28" s="413"/>
      <c r="I28" s="90"/>
      <c r="J28" s="359"/>
      <c r="K28" s="90"/>
      <c r="L28" s="413"/>
      <c r="M28" s="961"/>
      <c r="N28" s="413"/>
      <c r="O28" s="413"/>
      <c r="P28" s="413"/>
      <c r="Q28" s="537"/>
      <c r="R28" s="90"/>
      <c r="S28" s="954"/>
      <c r="T28" s="413"/>
      <c r="U28" s="90"/>
    </row>
    <row r="29" spans="1:22" ht="12.75" x14ac:dyDescent="0.2">
      <c r="A29" s="92">
        <f>A26+1</f>
        <v>6</v>
      </c>
      <c r="B29" s="90"/>
      <c r="C29" s="547" t="s">
        <v>1562</v>
      </c>
      <c r="D29" s="90"/>
      <c r="E29" s="90" t="s">
        <v>1563</v>
      </c>
      <c r="F29" s="90"/>
      <c r="G29" s="951">
        <v>429281</v>
      </c>
      <c r="H29" s="413"/>
      <c r="I29" s="413">
        <f>ROUND(G29*S29,0)</f>
        <v>-121380</v>
      </c>
      <c r="J29" s="524"/>
      <c r="K29" s="413">
        <f>+G29+I29</f>
        <v>307901</v>
      </c>
      <c r="L29" s="413"/>
      <c r="M29" s="951">
        <v>705000</v>
      </c>
      <c r="N29" s="413"/>
      <c r="O29" s="413">
        <f>ROUND(M29*S29,0)</f>
        <v>-199340</v>
      </c>
      <c r="P29" s="413"/>
      <c r="Q29" s="537">
        <f>SUM(M29:O29)</f>
        <v>505660</v>
      </c>
      <c r="R29" s="759"/>
      <c r="S29" s="954">
        <f>S25</f>
        <v>-0.28275169999999999</v>
      </c>
      <c r="T29" s="413"/>
      <c r="U29" s="413">
        <f>+Q29-K29</f>
        <v>197759</v>
      </c>
    </row>
    <row r="30" spans="1:22" ht="12.75" x14ac:dyDescent="0.2">
      <c r="A30" s="92">
        <f>A29+1</f>
        <v>7</v>
      </c>
      <c r="B30" s="90"/>
      <c r="C30" s="547" t="s">
        <v>1564</v>
      </c>
      <c r="D30" s="90"/>
      <c r="E30" s="90" t="s">
        <v>1565</v>
      </c>
      <c r="F30" s="90"/>
      <c r="G30" s="952">
        <v>-84108</v>
      </c>
      <c r="H30" s="524"/>
      <c r="I30" s="524">
        <f>ROUND(G30*S30,0)</f>
        <v>23782</v>
      </c>
      <c r="J30" s="524"/>
      <c r="K30" s="524">
        <f>+G30+I30</f>
        <v>-60326</v>
      </c>
      <c r="L30" s="758"/>
      <c r="M30" s="952">
        <v>6000</v>
      </c>
      <c r="N30" s="758"/>
      <c r="O30" s="524">
        <f>ROUND(M30*S30,0)</f>
        <v>-1697</v>
      </c>
      <c r="P30" s="758"/>
      <c r="Q30" s="757">
        <f>SUM(M30:O30)</f>
        <v>4303</v>
      </c>
      <c r="R30" s="759"/>
      <c r="S30" s="955">
        <f>S29</f>
        <v>-0.28275169999999999</v>
      </c>
      <c r="T30" s="758"/>
      <c r="U30" s="524">
        <f>+Q30-K30</f>
        <v>64629</v>
      </c>
      <c r="V30" s="754"/>
    </row>
    <row r="31" spans="1:22" ht="12.75" x14ac:dyDescent="0.2">
      <c r="A31" s="92">
        <f>A30+1</f>
        <v>8</v>
      </c>
      <c r="B31" s="90"/>
      <c r="C31" s="547" t="s">
        <v>117</v>
      </c>
      <c r="D31" s="90"/>
      <c r="E31" s="90" t="s">
        <v>119</v>
      </c>
      <c r="F31" s="90"/>
      <c r="G31" s="952">
        <v>281698</v>
      </c>
      <c r="H31" s="413"/>
      <c r="I31" s="524">
        <v>0</v>
      </c>
      <c r="J31" s="524"/>
      <c r="K31" s="524">
        <f t="shared" ref="K31:M32" si="0">+G31+I31</f>
        <v>281698</v>
      </c>
      <c r="L31" s="753"/>
      <c r="M31" s="524">
        <f t="shared" si="0"/>
        <v>281698</v>
      </c>
      <c r="N31" s="753"/>
      <c r="O31" s="524">
        <v>0</v>
      </c>
      <c r="P31" s="753"/>
      <c r="Q31" s="757">
        <f>SUM(M31:O31)</f>
        <v>281698</v>
      </c>
      <c r="R31" s="759"/>
      <c r="S31" s="954"/>
      <c r="T31" s="753"/>
      <c r="U31" s="413">
        <f>+Q31-K31</f>
        <v>0</v>
      </c>
    </row>
    <row r="32" spans="1:22" ht="12.75" x14ac:dyDescent="0.2">
      <c r="A32" s="92">
        <f>A31+1</f>
        <v>9</v>
      </c>
      <c r="B32" s="90"/>
      <c r="C32" s="547" t="s">
        <v>118</v>
      </c>
      <c r="D32" s="90"/>
      <c r="E32" s="90" t="s">
        <v>120</v>
      </c>
      <c r="F32" s="90"/>
      <c r="G32" s="953">
        <v>-306686</v>
      </c>
      <c r="H32" s="413"/>
      <c r="I32" s="416">
        <v>0</v>
      </c>
      <c r="J32" s="524"/>
      <c r="K32" s="416">
        <f t="shared" si="0"/>
        <v>-306686</v>
      </c>
      <c r="L32" s="753"/>
      <c r="M32" s="416">
        <f t="shared" si="0"/>
        <v>-306686</v>
      </c>
      <c r="N32" s="753"/>
      <c r="O32" s="416">
        <v>0</v>
      </c>
      <c r="P32" s="753"/>
      <c r="Q32" s="541">
        <f>SUM(M32:O32)</f>
        <v>-306686</v>
      </c>
      <c r="R32" s="759"/>
      <c r="S32" s="954"/>
      <c r="T32" s="753"/>
      <c r="U32" s="416">
        <f>+Q32-K32</f>
        <v>0</v>
      </c>
    </row>
    <row r="33" spans="1:21" ht="12.75" x14ac:dyDescent="0.2">
      <c r="A33" s="92"/>
      <c r="B33" s="90"/>
      <c r="C33" s="547"/>
      <c r="D33" s="90"/>
      <c r="E33" s="90"/>
      <c r="F33" s="90"/>
      <c r="G33" s="413"/>
      <c r="H33" s="413"/>
      <c r="I33" s="413"/>
      <c r="J33" s="524"/>
      <c r="K33" s="413"/>
      <c r="L33" s="413"/>
      <c r="M33" s="413"/>
      <c r="N33" s="413"/>
      <c r="O33" s="413"/>
      <c r="P33" s="413"/>
      <c r="Q33" s="537"/>
      <c r="R33" s="546"/>
      <c r="S33" s="954"/>
      <c r="T33" s="413"/>
      <c r="U33" s="413"/>
    </row>
    <row r="34" spans="1:21" ht="12.75" x14ac:dyDescent="0.2">
      <c r="A34" s="92">
        <f>1+A32</f>
        <v>10</v>
      </c>
      <c r="B34" s="90"/>
      <c r="C34" s="547"/>
      <c r="D34" s="90"/>
      <c r="E34" s="90" t="s">
        <v>293</v>
      </c>
      <c r="F34" s="90"/>
      <c r="G34" s="413">
        <f>SUM(G29:G32)</f>
        <v>320185</v>
      </c>
      <c r="H34" s="413"/>
      <c r="I34" s="413">
        <f>SUM(I29:I32)</f>
        <v>-97598</v>
      </c>
      <c r="J34" s="524"/>
      <c r="K34" s="413">
        <f>SUM(K29:K32)</f>
        <v>222587</v>
      </c>
      <c r="L34" s="413"/>
      <c r="M34" s="413">
        <f>SUM(M29:M32)</f>
        <v>686012</v>
      </c>
      <c r="N34" s="413"/>
      <c r="O34" s="413">
        <f>SUM(O29:O32)</f>
        <v>-201037</v>
      </c>
      <c r="P34" s="413"/>
      <c r="Q34" s="413">
        <f>SUM(Q29:Q32)</f>
        <v>484975</v>
      </c>
      <c r="R34" s="546"/>
      <c r="S34" s="954"/>
      <c r="T34" s="413"/>
      <c r="U34" s="413">
        <f>SUM(U29:U32)</f>
        <v>262388</v>
      </c>
    </row>
    <row r="35" spans="1:21" ht="12.75" x14ac:dyDescent="0.2">
      <c r="A35" s="92"/>
      <c r="B35" s="90"/>
      <c r="C35" s="92"/>
      <c r="D35" s="90"/>
      <c r="F35" s="90"/>
      <c r="G35" s="413"/>
      <c r="H35" s="413"/>
      <c r="I35" s="90"/>
      <c r="J35" s="359"/>
      <c r="K35" s="90"/>
      <c r="L35" s="413"/>
      <c r="M35" s="413"/>
      <c r="N35" s="413"/>
      <c r="O35" s="413"/>
      <c r="P35" s="413"/>
      <c r="Q35" s="537"/>
      <c r="R35" s="90"/>
      <c r="S35" s="954"/>
      <c r="T35" s="413"/>
      <c r="U35" s="90"/>
    </row>
    <row r="36" spans="1:21" ht="12.75" x14ac:dyDescent="0.2">
      <c r="A36" s="92">
        <f>A34+1</f>
        <v>11</v>
      </c>
      <c r="B36" s="90"/>
      <c r="C36" s="547"/>
      <c r="D36" s="90"/>
      <c r="E36" s="545" t="s">
        <v>1124</v>
      </c>
      <c r="F36" s="90"/>
      <c r="G36" s="413"/>
      <c r="H36" s="413"/>
      <c r="I36" s="413"/>
      <c r="J36" s="524"/>
      <c r="K36" s="413"/>
      <c r="L36" s="413"/>
      <c r="M36" s="961"/>
      <c r="N36" s="413"/>
      <c r="O36" s="413"/>
      <c r="P36" s="413"/>
      <c r="Q36" s="537"/>
      <c r="R36" s="546"/>
      <c r="S36" s="954"/>
      <c r="T36" s="413"/>
      <c r="U36" s="413"/>
    </row>
    <row r="37" spans="1:21" ht="12.75" x14ac:dyDescent="0.2">
      <c r="A37" s="92">
        <f>A36+1</f>
        <v>12</v>
      </c>
      <c r="B37" s="90"/>
      <c r="C37" s="543" t="s">
        <v>1125</v>
      </c>
      <c r="D37" s="90"/>
      <c r="E37" s="90" t="s">
        <v>1126</v>
      </c>
      <c r="F37" s="90"/>
      <c r="G37" s="952">
        <v>-152148</v>
      </c>
      <c r="H37" s="716"/>
      <c r="I37" s="952">
        <v>2</v>
      </c>
      <c r="J37" s="716"/>
      <c r="K37" s="413">
        <f>+G37+I37</f>
        <v>-152146</v>
      </c>
      <c r="L37" s="716"/>
      <c r="M37" s="952">
        <v>1313000</v>
      </c>
      <c r="N37" s="716"/>
      <c r="O37" s="413">
        <f>ROUND(M37*S37,0)</f>
        <v>-361548</v>
      </c>
      <c r="P37" s="716"/>
      <c r="Q37" s="537">
        <f>SUM(M37:O37)</f>
        <v>951452</v>
      </c>
      <c r="R37" s="759"/>
      <c r="S37" s="954">
        <v>-0.27535999999999999</v>
      </c>
      <c r="T37" s="716"/>
      <c r="U37" s="413">
        <f>+Q37-K37</f>
        <v>1103598</v>
      </c>
    </row>
    <row r="38" spans="1:21" ht="12.75" x14ac:dyDescent="0.2">
      <c r="J38" s="754"/>
      <c r="M38" s="962"/>
      <c r="Q38" s="537"/>
      <c r="S38" s="956"/>
    </row>
    <row r="39" spans="1:21" ht="12.75" x14ac:dyDescent="0.2">
      <c r="A39" s="92">
        <f>A37+1</f>
        <v>13</v>
      </c>
      <c r="B39" s="90"/>
      <c r="C39" s="92"/>
      <c r="D39" s="90"/>
      <c r="E39" s="545" t="s">
        <v>1135</v>
      </c>
      <c r="F39" s="90"/>
      <c r="G39" s="413"/>
      <c r="H39" s="413"/>
      <c r="I39" s="413"/>
      <c r="J39" s="524"/>
      <c r="K39" s="413"/>
      <c r="L39" s="413"/>
      <c r="M39" s="961"/>
      <c r="N39" s="413"/>
      <c r="O39" s="413"/>
      <c r="P39" s="413"/>
      <c r="Q39" s="537"/>
      <c r="R39" s="546"/>
      <c r="S39" s="954"/>
      <c r="T39" s="413"/>
      <c r="U39" s="413"/>
    </row>
    <row r="40" spans="1:21" ht="12.75" x14ac:dyDescent="0.2">
      <c r="A40" s="92">
        <f>A39+1</f>
        <v>14</v>
      </c>
      <c r="B40" s="90"/>
      <c r="C40" s="543" t="s">
        <v>1136</v>
      </c>
      <c r="D40" s="90"/>
      <c r="E40" s="90" t="s">
        <v>1135</v>
      </c>
      <c r="F40" s="90"/>
      <c r="G40" s="953">
        <f>287440</f>
        <v>287440</v>
      </c>
      <c r="H40" s="413"/>
      <c r="I40" s="953">
        <v>-73612</v>
      </c>
      <c r="J40" s="524"/>
      <c r="K40" s="416">
        <f>+G40+I40</f>
        <v>213828</v>
      </c>
      <c r="L40" s="413"/>
      <c r="M40" s="953">
        <f>275000</f>
        <v>275000</v>
      </c>
      <c r="N40" s="524"/>
      <c r="O40" s="416">
        <f>ROUND(M40*S40,0)</f>
        <v>-70426</v>
      </c>
      <c r="P40" s="524"/>
      <c r="Q40" s="541">
        <f>SUM(M40:O40)</f>
        <v>204574</v>
      </c>
      <c r="R40" s="546"/>
      <c r="S40" s="954">
        <f>ROUND(I40/G40,7)</f>
        <v>-0.25609520000000002</v>
      </c>
      <c r="T40" s="413"/>
      <c r="U40" s="416">
        <f>+Q40-K40</f>
        <v>-9254</v>
      </c>
    </row>
    <row r="41" spans="1:21" ht="12.75" x14ac:dyDescent="0.2">
      <c r="A41" s="92"/>
      <c r="B41" s="90"/>
      <c r="C41" s="547"/>
      <c r="D41" s="90"/>
      <c r="E41" s="90"/>
      <c r="F41" s="90"/>
      <c r="G41" s="413"/>
      <c r="H41" s="413"/>
      <c r="I41" s="413"/>
      <c r="J41" s="524"/>
      <c r="K41" s="413"/>
      <c r="L41" s="413"/>
      <c r="M41" s="413"/>
      <c r="N41" s="413"/>
      <c r="O41" s="413"/>
      <c r="P41" s="413"/>
      <c r="Q41" s="537"/>
      <c r="R41" s="546"/>
      <c r="S41" s="546"/>
      <c r="T41" s="413"/>
      <c r="U41" s="413"/>
    </row>
    <row r="42" spans="1:21" ht="12.75" x14ac:dyDescent="0.2">
      <c r="A42" s="92"/>
      <c r="B42" s="90"/>
      <c r="C42" s="92"/>
      <c r="D42" s="90"/>
      <c r="E42" s="90"/>
      <c r="F42" s="90"/>
      <c r="G42" s="413"/>
      <c r="H42" s="413"/>
      <c r="I42" s="413"/>
      <c r="J42" s="524"/>
      <c r="K42" s="413"/>
      <c r="L42" s="413"/>
      <c r="M42" s="413"/>
      <c r="N42" s="413"/>
      <c r="O42" s="413"/>
      <c r="P42" s="413"/>
      <c r="Q42" s="537"/>
      <c r="R42" s="546"/>
      <c r="S42" s="546"/>
      <c r="T42" s="413"/>
      <c r="U42" s="413"/>
    </row>
    <row r="43" spans="1:21" ht="12.75" x14ac:dyDescent="0.2">
      <c r="A43" s="92">
        <f>A40+1</f>
        <v>15</v>
      </c>
      <c r="B43" s="90"/>
      <c r="C43" s="92"/>
      <c r="D43" s="90"/>
      <c r="E43" s="90" t="s">
        <v>294</v>
      </c>
      <c r="F43" s="90"/>
      <c r="G43" s="413">
        <f>+G26+G34+G37+G40</f>
        <v>1394010</v>
      </c>
      <c r="H43" s="413"/>
      <c r="I43" s="413">
        <f>+I26+I34+I37+I40</f>
        <v>-436580</v>
      </c>
      <c r="J43" s="524"/>
      <c r="K43" s="413">
        <f>+K26+K34+K37+K40</f>
        <v>957430</v>
      </c>
      <c r="L43" s="413"/>
      <c r="M43" s="413">
        <f>+M26+M34+M37+M40</f>
        <v>3616012</v>
      </c>
      <c r="N43" s="413"/>
      <c r="O43" s="413">
        <f>+O26+O34+O37+O40</f>
        <v>-1012463</v>
      </c>
      <c r="P43" s="413"/>
      <c r="Q43" s="413">
        <f>+Q26+Q34+Q37+Q40</f>
        <v>2603549</v>
      </c>
      <c r="R43" s="413"/>
      <c r="T43" s="413"/>
      <c r="U43" s="413">
        <f>+U26+U34+U37+U40</f>
        <v>1646119</v>
      </c>
    </row>
    <row r="44" spans="1:21" ht="12.75" x14ac:dyDescent="0.2">
      <c r="A44" s="92"/>
      <c r="B44" s="90"/>
      <c r="C44" s="92"/>
      <c r="D44" s="90"/>
      <c r="E44" s="90"/>
      <c r="F44" s="90"/>
      <c r="G44" s="413"/>
      <c r="H44" s="413"/>
      <c r="I44" s="413"/>
      <c r="J44" s="524"/>
      <c r="K44" s="413"/>
      <c r="L44" s="413"/>
      <c r="M44" s="413"/>
      <c r="N44" s="413"/>
      <c r="O44" s="413"/>
      <c r="P44" s="413"/>
      <c r="Q44" s="413"/>
      <c r="R44" s="413"/>
      <c r="T44" s="413"/>
      <c r="U44" s="413"/>
    </row>
    <row r="45" spans="1:21" ht="12.75" x14ac:dyDescent="0.2">
      <c r="A45" s="760"/>
      <c r="C45" s="816" t="s">
        <v>884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755"/>
      <c r="R45" s="413"/>
      <c r="S45" s="413"/>
      <c r="U45" s="546"/>
    </row>
    <row r="46" spans="1:21" ht="12.75" x14ac:dyDescent="0.2">
      <c r="A46" s="354"/>
      <c r="B46" s="90"/>
      <c r="C46" s="92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354"/>
      <c r="R46" s="90"/>
      <c r="S46" s="90"/>
      <c r="T46" s="90"/>
      <c r="U46" s="90"/>
    </row>
    <row r="47" spans="1:21" ht="12.75" x14ac:dyDescent="0.2">
      <c r="A47" s="354"/>
      <c r="B47" s="90"/>
      <c r="C47" s="816" t="s">
        <v>885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2"/>
      <c r="R47" s="90"/>
      <c r="S47" s="90"/>
      <c r="T47" s="90"/>
      <c r="U47" s="90"/>
    </row>
    <row r="48" spans="1:21" ht="12.75" x14ac:dyDescent="0.2">
      <c r="A48" s="354"/>
      <c r="B48" s="90"/>
      <c r="C48" s="92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2"/>
      <c r="R48" s="90"/>
      <c r="S48" s="90"/>
      <c r="T48" s="90"/>
      <c r="U48" s="90"/>
    </row>
    <row r="49" spans="1:21" ht="12.75" x14ac:dyDescent="0.2">
      <c r="A49" s="354"/>
      <c r="B49" s="90"/>
      <c r="C49" s="92"/>
      <c r="D49" s="90"/>
      <c r="E49" s="90"/>
      <c r="F49" s="90"/>
      <c r="G49" s="90"/>
      <c r="H49" s="90"/>
      <c r="I49" s="90"/>
      <c r="J49" s="90"/>
      <c r="K49" s="90"/>
      <c r="L49" s="90"/>
      <c r="M49" s="961"/>
      <c r="N49" s="131"/>
      <c r="O49" s="131"/>
      <c r="P49" s="131"/>
      <c r="Q49" s="943"/>
      <c r="R49" s="90"/>
      <c r="S49" s="90"/>
      <c r="T49" s="90"/>
      <c r="U49" s="90"/>
    </row>
    <row r="50" spans="1:21" x14ac:dyDescent="0.15">
      <c r="M50" s="962"/>
      <c r="N50" s="962"/>
      <c r="O50" s="962"/>
      <c r="P50" s="962"/>
      <c r="Q50" s="962"/>
    </row>
    <row r="51" spans="1:21" x14ac:dyDescent="0.15">
      <c r="C51" s="957" t="s">
        <v>612</v>
      </c>
      <c r="D51" s="957"/>
      <c r="E51" s="957"/>
      <c r="F51" s="957"/>
      <c r="G51" s="957"/>
      <c r="M51" s="962"/>
      <c r="N51" s="962"/>
      <c r="O51" s="962"/>
      <c r="P51" s="962"/>
      <c r="Q51" s="962"/>
    </row>
    <row r="52" spans="1:21" x14ac:dyDescent="0.15">
      <c r="C52" s="957"/>
      <c r="D52" s="957"/>
      <c r="E52" s="957"/>
      <c r="F52" s="957"/>
      <c r="G52" s="957"/>
      <c r="M52" s="962"/>
      <c r="N52" s="962"/>
      <c r="O52" s="962"/>
      <c r="P52" s="962"/>
      <c r="Q52" s="962"/>
    </row>
    <row r="53" spans="1:21" ht="12.75" x14ac:dyDescent="0.2">
      <c r="C53" s="958">
        <v>-362970</v>
      </c>
      <c r="D53" s="959"/>
      <c r="E53" s="959">
        <f>+G26+G34-G31-G32</f>
        <v>1283706</v>
      </c>
      <c r="F53" s="957"/>
      <c r="G53" s="960">
        <f>ROUND(C53/E53,7)</f>
        <v>-0.28275169999999999</v>
      </c>
      <c r="M53" s="962"/>
      <c r="N53" s="962"/>
      <c r="O53" s="962"/>
      <c r="P53" s="962"/>
      <c r="Q53" s="962"/>
    </row>
    <row r="54" spans="1:21" x14ac:dyDescent="0.15">
      <c r="M54" s="962"/>
      <c r="N54" s="962"/>
      <c r="O54" s="962"/>
      <c r="P54" s="962"/>
      <c r="Q54" s="962"/>
    </row>
    <row r="55" spans="1:21" x14ac:dyDescent="0.15">
      <c r="M55" s="962"/>
      <c r="N55" s="962"/>
      <c r="O55" s="962"/>
      <c r="P55" s="962"/>
      <c r="Q55" s="962"/>
    </row>
    <row r="56" spans="1:21" x14ac:dyDescent="0.15">
      <c r="M56" s="962"/>
      <c r="N56" s="962"/>
      <c r="O56" s="962"/>
      <c r="P56" s="962"/>
      <c r="Q56" s="962"/>
    </row>
    <row r="57" spans="1:21" x14ac:dyDescent="0.15">
      <c r="M57" s="962"/>
      <c r="N57" s="962"/>
      <c r="O57" s="962"/>
      <c r="P57" s="962"/>
      <c r="Q57" s="962"/>
    </row>
    <row r="58" spans="1:21" x14ac:dyDescent="0.15">
      <c r="M58" s="962"/>
      <c r="N58" s="962"/>
      <c r="O58" s="962"/>
      <c r="P58" s="962"/>
      <c r="Q58" s="962"/>
    </row>
    <row r="59" spans="1:21" x14ac:dyDescent="0.15">
      <c r="M59" s="962"/>
      <c r="N59" s="962"/>
      <c r="O59" s="962"/>
      <c r="P59" s="962"/>
      <c r="Q59" s="962"/>
    </row>
    <row r="60" spans="1:21" x14ac:dyDescent="0.15">
      <c r="M60" s="962"/>
      <c r="N60" s="962"/>
      <c r="O60" s="962"/>
      <c r="P60" s="962"/>
      <c r="Q60" s="962"/>
    </row>
    <row r="61" spans="1:21" x14ac:dyDescent="0.15">
      <c r="M61" s="962"/>
      <c r="N61" s="962"/>
      <c r="O61" s="962"/>
      <c r="P61" s="962"/>
      <c r="Q61" s="962"/>
    </row>
    <row r="62" spans="1:21" x14ac:dyDescent="0.15">
      <c r="M62" s="962"/>
      <c r="N62" s="962"/>
      <c r="O62" s="962"/>
      <c r="P62" s="962"/>
      <c r="Q62" s="962"/>
    </row>
    <row r="63" spans="1:21" x14ac:dyDescent="0.15">
      <c r="M63" s="962"/>
      <c r="N63" s="962"/>
      <c r="O63" s="962"/>
      <c r="P63" s="962"/>
      <c r="Q63" s="962"/>
    </row>
    <row r="64" spans="1:21" x14ac:dyDescent="0.15">
      <c r="M64" s="962"/>
      <c r="N64" s="962"/>
      <c r="O64" s="962"/>
      <c r="P64" s="962"/>
      <c r="Q64" s="962"/>
    </row>
    <row r="65" spans="13:17" x14ac:dyDescent="0.15">
      <c r="M65" s="962"/>
      <c r="N65" s="962"/>
      <c r="O65" s="962"/>
      <c r="P65" s="962"/>
      <c r="Q65" s="962"/>
    </row>
    <row r="66" spans="13:17" x14ac:dyDescent="0.15">
      <c r="M66" s="962"/>
      <c r="N66" s="962"/>
      <c r="O66" s="962"/>
      <c r="P66" s="962"/>
      <c r="Q66" s="962"/>
    </row>
    <row r="67" spans="13:17" x14ac:dyDescent="0.15">
      <c r="M67" s="962"/>
      <c r="N67" s="962"/>
      <c r="O67" s="962"/>
      <c r="P67" s="962"/>
      <c r="Q67" s="962"/>
    </row>
    <row r="68" spans="13:17" x14ac:dyDescent="0.15">
      <c r="M68" s="962"/>
      <c r="N68" s="962"/>
      <c r="O68" s="962"/>
      <c r="P68" s="962"/>
      <c r="Q68" s="962"/>
    </row>
    <row r="69" spans="13:17" x14ac:dyDescent="0.15">
      <c r="M69" s="962"/>
      <c r="N69" s="962"/>
      <c r="O69" s="962"/>
      <c r="P69" s="962"/>
      <c r="Q69" s="962"/>
    </row>
    <row r="70" spans="13:17" x14ac:dyDescent="0.15">
      <c r="M70" s="962"/>
      <c r="N70" s="962"/>
      <c r="O70" s="962"/>
      <c r="P70" s="962"/>
      <c r="Q70" s="962"/>
    </row>
    <row r="71" spans="13:17" x14ac:dyDescent="0.15">
      <c r="M71" s="962"/>
      <c r="N71" s="962"/>
      <c r="O71" s="962"/>
      <c r="P71" s="962"/>
      <c r="Q71" s="962"/>
    </row>
  </sheetData>
  <mergeCells count="5">
    <mergeCell ref="A5:U5"/>
    <mergeCell ref="A1:U1"/>
    <mergeCell ref="A2:U2"/>
    <mergeCell ref="A3:U3"/>
    <mergeCell ref="A4:U4"/>
  </mergeCells>
  <phoneticPr fontId="3" type="noConversion"/>
  <printOptions horizontalCentered="1"/>
  <pageMargins left="0.25" right="0.25" top="1" bottom="0.25" header="0.5" footer="0.5"/>
  <pageSetup scale="78" orientation="landscape" r:id="rId1"/>
  <headerFooter alignWithMargins="0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workbookViewId="0">
      <selection activeCell="F28" sqref="F28"/>
    </sheetView>
  </sheetViews>
  <sheetFormatPr defaultColWidth="10.6640625" defaultRowHeight="10.5" x14ac:dyDescent="0.15"/>
  <cols>
    <col min="1" max="1" width="5.83203125" style="44" customWidth="1"/>
    <col min="2" max="2" width="4.33203125" style="44" customWidth="1"/>
    <col min="3" max="3" width="68.6640625" style="44" bestFit="1" customWidth="1"/>
    <col min="4" max="4" width="10.6640625" style="44" hidden="1" customWidth="1"/>
    <col min="5" max="5" width="26" style="44" bestFit="1" customWidth="1"/>
    <col min="6" max="6" width="20.33203125" style="44" customWidth="1"/>
    <col min="7" max="16384" width="10.6640625" style="44"/>
  </cols>
  <sheetData>
    <row r="1" spans="1:6" ht="12.75" customHeight="1" x14ac:dyDescent="0.2">
      <c r="A1" s="1446" t="s">
        <v>477</v>
      </c>
      <c r="B1" s="1446"/>
      <c r="C1" s="1446"/>
      <c r="D1" s="1446"/>
      <c r="E1" s="1446"/>
      <c r="F1" s="1446"/>
    </row>
    <row r="2" spans="1:6" ht="12.75" customHeight="1" x14ac:dyDescent="0.2">
      <c r="A2" s="1445" t="str">
        <f>+Input!C4</f>
        <v>CASE NO. 2017-xxxxx</v>
      </c>
      <c r="B2" s="1445"/>
      <c r="C2" s="1445"/>
      <c r="D2" s="1445"/>
      <c r="E2" s="1445"/>
      <c r="F2" s="1445"/>
    </row>
    <row r="3" spans="1:6" ht="12.75" customHeight="1" x14ac:dyDescent="0.2">
      <c r="A3" s="1446" t="s">
        <v>1500</v>
      </c>
      <c r="B3" s="1446"/>
      <c r="C3" s="1446"/>
      <c r="D3" s="1446"/>
      <c r="E3" s="1446"/>
      <c r="F3" s="1446"/>
    </row>
    <row r="4" spans="1:6" ht="12.75" customHeight="1" x14ac:dyDescent="0.2">
      <c r="A4" s="1447" t="s">
        <v>1349</v>
      </c>
      <c r="B4" s="1447"/>
      <c r="C4" s="1447"/>
      <c r="D4" s="1447"/>
      <c r="E4" s="1447"/>
      <c r="F4" s="1447"/>
    </row>
    <row r="5" spans="1:6" ht="12.75" customHeight="1" x14ac:dyDescent="0.2">
      <c r="A5" s="1445" t="str">
        <f>+Input!C6</f>
        <v>TWELVE MONTHS ENDED DECEMBER 31, 2017</v>
      </c>
      <c r="B5" s="1445"/>
      <c r="C5" s="1445"/>
      <c r="D5" s="1445"/>
      <c r="E5" s="1445"/>
      <c r="F5" s="1445"/>
    </row>
    <row r="6" spans="1:6" ht="12.75" customHeight="1" x14ac:dyDescent="0.2">
      <c r="A6" s="556"/>
      <c r="B6" s="556"/>
      <c r="C6" s="556"/>
      <c r="D6" s="556"/>
      <c r="E6" s="556"/>
      <c r="F6" s="556"/>
    </row>
    <row r="7" spans="1:6" ht="12.75" customHeight="1" x14ac:dyDescent="0.2">
      <c r="A7" s="556"/>
      <c r="B7" s="556"/>
      <c r="C7" s="556"/>
      <c r="D7" s="556"/>
      <c r="E7" s="556"/>
      <c r="F7" s="556"/>
    </row>
    <row r="8" spans="1:6" ht="12.75" customHeight="1" x14ac:dyDescent="0.2">
      <c r="A8" s="556" t="s">
        <v>1502</v>
      </c>
      <c r="B8" s="556"/>
      <c r="C8" s="556"/>
      <c r="D8" s="556"/>
      <c r="E8" s="556"/>
      <c r="F8" s="558" t="s">
        <v>1589</v>
      </c>
    </row>
    <row r="9" spans="1:6" ht="12.75" customHeight="1" x14ac:dyDescent="0.2">
      <c r="A9" s="556" t="s">
        <v>847</v>
      </c>
      <c r="B9" s="556"/>
      <c r="C9" s="556"/>
      <c r="D9" s="556"/>
      <c r="E9" s="556"/>
      <c r="F9" s="558" t="s">
        <v>491</v>
      </c>
    </row>
    <row r="10" spans="1:6" ht="12.75" customHeight="1" x14ac:dyDescent="0.2">
      <c r="A10" s="550" t="s">
        <v>398</v>
      </c>
      <c r="B10" s="561"/>
      <c r="C10" s="561"/>
      <c r="D10" s="561"/>
      <c r="E10" s="561"/>
      <c r="F10" s="559" t="str">
        <f>+Input!E27</f>
        <v>WITNESS:  C. Y. LAI</v>
      </c>
    </row>
    <row r="11" spans="1:6" ht="12.75" customHeight="1" x14ac:dyDescent="0.2">
      <c r="A11" s="782"/>
      <c r="B11" s="556"/>
      <c r="C11" s="556"/>
      <c r="D11" s="774"/>
      <c r="E11" s="774"/>
      <c r="F11" s="787"/>
    </row>
    <row r="12" spans="1:6" ht="12.75" customHeight="1" x14ac:dyDescent="0.2">
      <c r="A12" s="92" t="s">
        <v>493</v>
      </c>
      <c r="B12" s="556"/>
      <c r="C12" s="556"/>
      <c r="D12" s="556"/>
      <c r="E12" s="556"/>
      <c r="F12" s="556"/>
    </row>
    <row r="13" spans="1:6" ht="12.75" customHeight="1" x14ac:dyDescent="0.2">
      <c r="A13" s="125" t="s">
        <v>496</v>
      </c>
      <c r="B13" s="561"/>
      <c r="C13" s="561" t="s">
        <v>1505</v>
      </c>
      <c r="D13" s="561"/>
      <c r="E13" s="561"/>
      <c r="F13" s="788" t="s">
        <v>1248</v>
      </c>
    </row>
    <row r="14" spans="1:6" ht="12.75" customHeight="1" x14ac:dyDescent="0.2">
      <c r="A14" s="556"/>
      <c r="B14" s="556"/>
      <c r="C14" s="556"/>
      <c r="D14" s="556"/>
      <c r="E14" s="556"/>
      <c r="F14" s="560" t="s">
        <v>500</v>
      </c>
    </row>
    <row r="15" spans="1:6" ht="12.75" customHeight="1" x14ac:dyDescent="0.2">
      <c r="A15" s="556"/>
      <c r="B15" s="556"/>
      <c r="C15" s="556"/>
      <c r="D15" s="556"/>
      <c r="E15" s="556"/>
      <c r="F15" s="556"/>
    </row>
    <row r="16" spans="1:6" ht="12.75" customHeight="1" x14ac:dyDescent="0.2">
      <c r="A16" s="560">
        <v>1</v>
      </c>
      <c r="B16" s="556"/>
      <c r="C16" s="556" t="s">
        <v>1350</v>
      </c>
      <c r="D16" s="556"/>
      <c r="E16" s="556"/>
      <c r="F16" s="556"/>
    </row>
    <row r="17" spans="1:7" ht="12.75" customHeight="1" x14ac:dyDescent="0.2">
      <c r="A17" s="560"/>
      <c r="B17" s="556"/>
      <c r="C17" s="556"/>
      <c r="D17" s="556"/>
      <c r="E17" s="556"/>
      <c r="F17" s="556"/>
    </row>
    <row r="18" spans="1:7" ht="12.75" customHeight="1" x14ac:dyDescent="0.2">
      <c r="A18" s="560">
        <f>A16+1</f>
        <v>2</v>
      </c>
      <c r="B18" s="556"/>
      <c r="C18" s="556" t="s">
        <v>906</v>
      </c>
      <c r="D18" s="556"/>
      <c r="E18" s="556"/>
      <c r="F18" s="981">
        <v>43391</v>
      </c>
    </row>
    <row r="19" spans="1:7" ht="12.75" customHeight="1" x14ac:dyDescent="0.2">
      <c r="A19" s="560"/>
      <c r="B19" s="556"/>
      <c r="C19" s="556"/>
      <c r="D19" s="556"/>
      <c r="E19" s="556"/>
      <c r="F19" s="981"/>
    </row>
    <row r="20" spans="1:7" ht="12.75" customHeight="1" x14ac:dyDescent="0.2">
      <c r="A20" s="560">
        <f>A18+1</f>
        <v>3</v>
      </c>
      <c r="B20" s="556"/>
      <c r="C20" s="556" t="s">
        <v>907</v>
      </c>
      <c r="D20" s="556"/>
      <c r="E20" s="556"/>
      <c r="F20" s="981">
        <v>44843</v>
      </c>
    </row>
    <row r="21" spans="1:7" ht="12.75" customHeight="1" x14ac:dyDescent="0.2">
      <c r="A21" s="560"/>
      <c r="B21" s="556"/>
      <c r="C21" s="556"/>
      <c r="D21" s="556"/>
      <c r="E21" s="556"/>
      <c r="F21" s="556"/>
    </row>
    <row r="22" spans="1:7" ht="12.75" customHeight="1" x14ac:dyDescent="0.2">
      <c r="A22" s="560">
        <f>A20+1</f>
        <v>4</v>
      </c>
      <c r="B22" s="556"/>
      <c r="C22" s="556" t="s">
        <v>908</v>
      </c>
      <c r="D22" s="556"/>
      <c r="E22" s="556"/>
      <c r="F22" s="556">
        <f>F20-F18</f>
        <v>1452</v>
      </c>
    </row>
    <row r="23" spans="1:7" ht="12.75" customHeight="1" x14ac:dyDescent="0.2">
      <c r="A23" s="560"/>
      <c r="B23" s="556"/>
      <c r="C23" s="556"/>
      <c r="D23" s="556"/>
      <c r="E23" s="556"/>
      <c r="F23" s="556"/>
    </row>
    <row r="24" spans="1:7" ht="12.75" customHeight="1" x14ac:dyDescent="0.2">
      <c r="A24" s="560">
        <f>A22+1</f>
        <v>5</v>
      </c>
      <c r="B24" s="556"/>
      <c r="C24" s="556" t="s">
        <v>909</v>
      </c>
      <c r="D24" s="556"/>
      <c r="E24" s="556"/>
      <c r="F24" s="562">
        <f>ROUND(F22/F18,5)</f>
        <v>3.3459999999999997E-2</v>
      </c>
    </row>
    <row r="25" spans="1:7" ht="12.75" customHeight="1" x14ac:dyDescent="0.2">
      <c r="A25" s="560"/>
      <c r="B25" s="556"/>
      <c r="C25" s="556"/>
      <c r="D25" s="556"/>
      <c r="E25" s="556"/>
      <c r="F25" s="556"/>
    </row>
    <row r="26" spans="1:7" ht="12.75" customHeight="1" x14ac:dyDescent="0.2">
      <c r="A26" s="560">
        <f>A24+1</f>
        <v>6</v>
      </c>
      <c r="B26" s="556"/>
      <c r="C26" s="556" t="s">
        <v>910</v>
      </c>
      <c r="D26" s="556"/>
      <c r="E26" s="556"/>
      <c r="F26" s="981">
        <v>578067</v>
      </c>
    </row>
    <row r="27" spans="1:7" ht="12.75" customHeight="1" x14ac:dyDescent="0.2">
      <c r="A27" s="556"/>
      <c r="B27" s="556"/>
      <c r="C27" s="556"/>
      <c r="D27" s="556"/>
      <c r="E27" s="556"/>
      <c r="F27" s="556"/>
    </row>
    <row r="28" spans="1:7" ht="12.75" customHeight="1" x14ac:dyDescent="0.2">
      <c r="A28" s="982">
        <f>A26+1</f>
        <v>7</v>
      </c>
      <c r="B28" s="983"/>
      <c r="C28" s="983" t="s">
        <v>911</v>
      </c>
      <c r="D28" s="983"/>
      <c r="E28" s="983"/>
      <c r="F28" s="985">
        <f>ROUND(F24*F26,0)</f>
        <v>19342</v>
      </c>
      <c r="G28" s="984"/>
    </row>
    <row r="29" spans="1:7" ht="12.75" customHeight="1" x14ac:dyDescent="0.2">
      <c r="A29" s="560"/>
      <c r="B29" s="556"/>
      <c r="C29" s="556"/>
      <c r="D29" s="556"/>
      <c r="E29" s="556"/>
      <c r="F29" s="556"/>
    </row>
    <row r="30" spans="1:7" ht="12.75" customHeight="1" x14ac:dyDescent="0.2">
      <c r="A30" s="560">
        <f>1+A28</f>
        <v>8</v>
      </c>
      <c r="B30" s="556"/>
      <c r="C30" s="556" t="s">
        <v>1574</v>
      </c>
      <c r="D30" s="556"/>
      <c r="E30" s="556"/>
      <c r="F30" s="562">
        <v>1</v>
      </c>
    </row>
    <row r="31" spans="1:7" ht="12.75" customHeight="1" x14ac:dyDescent="0.2">
      <c r="A31" s="560"/>
      <c r="B31" s="556"/>
      <c r="C31" s="556"/>
      <c r="D31" s="556"/>
      <c r="E31" s="556"/>
      <c r="F31" s="556"/>
    </row>
    <row r="32" spans="1:7" ht="12.75" customHeight="1" x14ac:dyDescent="0.2">
      <c r="A32" s="560">
        <f>1+A30</f>
        <v>9</v>
      </c>
      <c r="B32" s="556"/>
      <c r="C32" s="556" t="s">
        <v>1575</v>
      </c>
      <c r="D32" s="556"/>
      <c r="E32" s="526" t="s">
        <v>418</v>
      </c>
      <c r="F32" s="746">
        <f>ROUND(F28*F30,0)</f>
        <v>19342</v>
      </c>
    </row>
    <row r="33" spans="1:6" ht="12.75" customHeight="1" x14ac:dyDescent="0.2">
      <c r="A33" s="560"/>
      <c r="B33" s="556"/>
      <c r="C33" s="556"/>
      <c r="D33" s="556"/>
      <c r="E33" s="556"/>
      <c r="F33" s="556"/>
    </row>
    <row r="34" spans="1:6" ht="12.75" customHeight="1" x14ac:dyDescent="0.2">
      <c r="A34" s="556"/>
      <c r="B34" s="556"/>
      <c r="C34" s="556"/>
      <c r="D34" s="556"/>
      <c r="E34" s="556"/>
      <c r="F34" s="556"/>
    </row>
    <row r="35" spans="1:6" ht="12.75" customHeight="1" x14ac:dyDescent="0.2">
      <c r="C35" s="557"/>
      <c r="D35" s="557"/>
      <c r="E35" s="557"/>
      <c r="F35" s="557"/>
    </row>
    <row r="36" spans="1:6" ht="12.75" customHeight="1" x14ac:dyDescent="0.2">
      <c r="C36" s="557"/>
      <c r="D36" s="557"/>
      <c r="E36" s="557"/>
      <c r="F36" s="557"/>
    </row>
    <row r="37" spans="1:6" ht="12.75" customHeight="1" x14ac:dyDescent="0.15"/>
    <row r="38" spans="1:6" ht="12.75" customHeight="1" x14ac:dyDescent="0.15"/>
    <row r="39" spans="1:6" ht="12.75" customHeight="1" x14ac:dyDescent="0.15"/>
    <row r="40" spans="1:6" ht="12.75" customHeight="1" x14ac:dyDescent="0.15"/>
    <row r="41" spans="1:6" ht="12.75" customHeight="1" x14ac:dyDescent="0.15"/>
    <row r="42" spans="1:6" ht="12.75" customHeight="1" x14ac:dyDescent="0.15"/>
    <row r="43" spans="1:6" ht="12.75" customHeight="1" x14ac:dyDescent="0.15"/>
    <row r="44" spans="1:6" ht="12.75" customHeight="1" x14ac:dyDescent="0.15"/>
    <row r="45" spans="1:6" ht="12.75" customHeight="1" x14ac:dyDescent="0.15"/>
    <row r="46" spans="1:6" ht="12.75" customHeight="1" x14ac:dyDescent="0.15"/>
    <row r="47" spans="1:6" ht="12.75" customHeight="1" x14ac:dyDescent="0.15"/>
    <row r="48" spans="1:6" ht="12.75" customHeight="1" x14ac:dyDescent="0.15"/>
    <row r="49" spans="3:6" ht="12.75" customHeight="1" x14ac:dyDescent="0.15"/>
    <row r="50" spans="3:6" ht="12.75" customHeight="1" x14ac:dyDescent="0.15"/>
    <row r="51" spans="3:6" ht="12.75" customHeight="1" x14ac:dyDescent="0.15"/>
    <row r="52" spans="3:6" ht="12.75" customHeight="1" x14ac:dyDescent="0.15"/>
    <row r="53" spans="3:6" ht="12.75" customHeight="1" x14ac:dyDescent="0.15"/>
    <row r="54" spans="3:6" ht="12.75" customHeight="1" x14ac:dyDescent="0.15"/>
    <row r="55" spans="3:6" ht="12.75" customHeight="1" x14ac:dyDescent="0.15"/>
    <row r="56" spans="3:6" ht="12.75" customHeight="1" x14ac:dyDescent="0.15"/>
    <row r="57" spans="3:6" ht="12.75" customHeight="1" x14ac:dyDescent="0.15"/>
    <row r="58" spans="3:6" ht="12.75" customHeight="1" x14ac:dyDescent="0.15"/>
    <row r="59" spans="3:6" ht="12.75" customHeight="1" x14ac:dyDescent="0.15"/>
    <row r="60" spans="3:6" ht="12.75" customHeight="1" x14ac:dyDescent="0.15"/>
    <row r="61" spans="3:6" ht="12.75" customHeight="1" x14ac:dyDescent="0.2">
      <c r="C61" s="557"/>
      <c r="D61" s="557"/>
      <c r="E61" s="557"/>
      <c r="F61" s="557"/>
    </row>
    <row r="62" spans="3:6" ht="12.75" customHeight="1" x14ac:dyDescent="0.2">
      <c r="C62" s="557"/>
      <c r="D62" s="557"/>
      <c r="E62" s="557"/>
      <c r="F62" s="557"/>
    </row>
    <row r="63" spans="3:6" ht="12.75" customHeight="1" x14ac:dyDescent="0.2">
      <c r="C63" s="557"/>
      <c r="D63" s="557"/>
      <c r="E63" s="557"/>
      <c r="F63" s="557"/>
    </row>
    <row r="64" spans="3:6" ht="12.75" customHeight="1" x14ac:dyDescent="0.2">
      <c r="C64" s="557"/>
      <c r="D64" s="557"/>
      <c r="E64" s="557"/>
      <c r="F64" s="557"/>
    </row>
    <row r="65" spans="3:6" ht="12.75" customHeight="1" x14ac:dyDescent="0.2">
      <c r="C65" s="557"/>
      <c r="D65" s="557"/>
      <c r="E65" s="557"/>
      <c r="F65" s="557"/>
    </row>
    <row r="66" spans="3:6" ht="12.75" customHeight="1" x14ac:dyDescent="0.2">
      <c r="C66" s="557"/>
      <c r="D66" s="557"/>
      <c r="E66" s="557"/>
      <c r="F66" s="557"/>
    </row>
    <row r="67" spans="3:6" ht="12.75" customHeight="1" x14ac:dyDescent="0.2">
      <c r="C67" s="557"/>
      <c r="D67" s="557"/>
      <c r="E67" s="557"/>
      <c r="F67" s="557"/>
    </row>
    <row r="68" spans="3:6" ht="12.75" customHeight="1" x14ac:dyDescent="0.2">
      <c r="C68" s="557"/>
      <c r="D68" s="557"/>
      <c r="E68" s="557"/>
      <c r="F68" s="557"/>
    </row>
    <row r="69" spans="3:6" ht="12.75" customHeight="1" x14ac:dyDescent="0.2">
      <c r="C69" s="557"/>
      <c r="D69" s="557"/>
      <c r="E69" s="557"/>
      <c r="F69" s="557"/>
    </row>
    <row r="70" spans="3:6" ht="12.75" customHeight="1" x14ac:dyDescent="0.2">
      <c r="C70" s="557"/>
      <c r="D70" s="557"/>
      <c r="E70" s="557"/>
      <c r="F70" s="557"/>
    </row>
    <row r="71" spans="3:6" ht="12.75" customHeight="1" x14ac:dyDescent="0.2">
      <c r="C71" s="557"/>
      <c r="D71" s="557"/>
      <c r="E71" s="557"/>
      <c r="F71" s="557"/>
    </row>
    <row r="72" spans="3:6" ht="12.75" customHeight="1" x14ac:dyDescent="0.2">
      <c r="C72" s="557"/>
      <c r="D72" s="557"/>
      <c r="E72" s="557"/>
      <c r="F72" s="557"/>
    </row>
    <row r="73" spans="3:6" ht="12.75" customHeight="1" x14ac:dyDescent="0.2">
      <c r="C73" s="557"/>
      <c r="D73" s="557"/>
      <c r="E73" s="557"/>
      <c r="F73" s="557"/>
    </row>
    <row r="74" spans="3:6" ht="12.75" customHeight="1" x14ac:dyDescent="0.2">
      <c r="C74" s="557"/>
      <c r="D74" s="557"/>
      <c r="E74" s="557"/>
      <c r="F74" s="557"/>
    </row>
    <row r="75" spans="3:6" ht="12.75" customHeight="1" x14ac:dyDescent="0.2">
      <c r="C75" s="557"/>
      <c r="D75" s="557"/>
      <c r="E75" s="557"/>
      <c r="F75" s="557"/>
    </row>
    <row r="76" spans="3:6" ht="12.75" customHeight="1" x14ac:dyDescent="0.2">
      <c r="C76" s="557"/>
      <c r="D76" s="557"/>
      <c r="E76" s="557"/>
      <c r="F76" s="557"/>
    </row>
    <row r="77" spans="3:6" ht="12.75" customHeight="1" x14ac:dyDescent="0.2">
      <c r="C77" s="557"/>
      <c r="D77" s="557"/>
      <c r="E77" s="557"/>
      <c r="F77" s="557"/>
    </row>
    <row r="78" spans="3:6" ht="12.75" customHeight="1" x14ac:dyDescent="0.2">
      <c r="C78" s="557"/>
      <c r="D78" s="557"/>
      <c r="E78" s="557"/>
      <c r="F78" s="557"/>
    </row>
    <row r="79" spans="3:6" ht="12.75" customHeight="1" x14ac:dyDescent="0.2">
      <c r="C79" s="557"/>
      <c r="D79" s="557"/>
      <c r="E79" s="557"/>
      <c r="F79" s="557"/>
    </row>
    <row r="80" spans="3:6" ht="12.75" customHeight="1" x14ac:dyDescent="0.2">
      <c r="C80" s="557"/>
      <c r="D80" s="557"/>
      <c r="E80" s="557"/>
      <c r="F80" s="557"/>
    </row>
    <row r="81" spans="3:6" ht="12.75" customHeight="1" x14ac:dyDescent="0.2">
      <c r="C81" s="557"/>
      <c r="D81" s="557"/>
      <c r="E81" s="557"/>
      <c r="F81" s="557"/>
    </row>
    <row r="82" spans="3:6" ht="12.75" customHeight="1" x14ac:dyDescent="0.2">
      <c r="C82" s="557"/>
      <c r="D82" s="557"/>
      <c r="E82" s="557"/>
      <c r="F82" s="557"/>
    </row>
    <row r="83" spans="3:6" ht="12.75" customHeight="1" x14ac:dyDescent="0.2">
      <c r="C83" s="557"/>
      <c r="D83" s="557"/>
      <c r="E83" s="557"/>
      <c r="F83" s="557"/>
    </row>
    <row r="84" spans="3:6" ht="12.75" customHeight="1" x14ac:dyDescent="0.2">
      <c r="C84" s="557"/>
      <c r="D84" s="557"/>
      <c r="E84" s="557"/>
      <c r="F84" s="557"/>
    </row>
    <row r="85" spans="3:6" ht="12.75" customHeight="1" x14ac:dyDescent="0.2">
      <c r="C85" s="557"/>
      <c r="D85" s="557"/>
      <c r="E85" s="557"/>
      <c r="F85" s="557"/>
    </row>
    <row r="86" spans="3:6" ht="12.75" customHeight="1" x14ac:dyDescent="0.2">
      <c r="C86" s="557"/>
      <c r="D86" s="557"/>
      <c r="E86" s="557"/>
      <c r="F86" s="557"/>
    </row>
    <row r="87" spans="3:6" ht="12.75" customHeight="1" x14ac:dyDescent="0.2">
      <c r="C87" s="557"/>
      <c r="D87" s="557"/>
      <c r="E87" s="557"/>
      <c r="F87" s="557"/>
    </row>
    <row r="88" spans="3:6" ht="12.75" customHeight="1" x14ac:dyDescent="0.2">
      <c r="C88" s="557"/>
      <c r="D88" s="557"/>
      <c r="E88" s="557"/>
      <c r="F88" s="557"/>
    </row>
    <row r="89" spans="3:6" ht="12.75" customHeight="1" x14ac:dyDescent="0.2">
      <c r="C89" s="557"/>
      <c r="D89" s="557"/>
      <c r="E89" s="557"/>
      <c r="F89" s="557"/>
    </row>
    <row r="90" spans="3:6" ht="12.75" customHeight="1" x14ac:dyDescent="0.2">
      <c r="C90" s="557"/>
      <c r="D90" s="557"/>
      <c r="E90" s="557"/>
      <c r="F90" s="557"/>
    </row>
    <row r="91" spans="3:6" ht="12.75" customHeight="1" x14ac:dyDescent="0.2">
      <c r="C91" s="557"/>
      <c r="D91" s="557"/>
      <c r="E91" s="557"/>
      <c r="F91" s="557"/>
    </row>
    <row r="92" spans="3:6" ht="12.75" customHeight="1" x14ac:dyDescent="0.2">
      <c r="C92" s="557"/>
      <c r="D92" s="557"/>
      <c r="E92" s="557"/>
      <c r="F92" s="557"/>
    </row>
    <row r="93" spans="3:6" ht="12.75" customHeight="1" x14ac:dyDescent="0.2">
      <c r="C93" s="557"/>
      <c r="D93" s="557"/>
      <c r="E93" s="557"/>
      <c r="F93" s="557"/>
    </row>
    <row r="94" spans="3:6" ht="12.75" customHeight="1" x14ac:dyDescent="0.2">
      <c r="C94" s="557"/>
      <c r="D94" s="557"/>
      <c r="E94" s="557"/>
      <c r="F94" s="557"/>
    </row>
    <row r="95" spans="3:6" ht="12.75" customHeight="1" x14ac:dyDescent="0.2">
      <c r="C95" s="557"/>
      <c r="D95" s="557"/>
      <c r="E95" s="557"/>
      <c r="F95" s="557"/>
    </row>
    <row r="96" spans="3:6" ht="12.75" customHeight="1" x14ac:dyDescent="0.2">
      <c r="C96" s="557"/>
      <c r="D96" s="557"/>
      <c r="E96" s="557"/>
      <c r="F96" s="557"/>
    </row>
    <row r="97" spans="3:6" ht="12.75" customHeight="1" x14ac:dyDescent="0.2">
      <c r="C97" s="557"/>
      <c r="D97" s="557"/>
      <c r="E97" s="557"/>
      <c r="F97" s="557"/>
    </row>
    <row r="98" spans="3:6" ht="12.75" customHeight="1" x14ac:dyDescent="0.2">
      <c r="C98" s="557"/>
      <c r="D98" s="557"/>
      <c r="E98" s="557"/>
      <c r="F98" s="557"/>
    </row>
    <row r="99" spans="3:6" ht="12.75" customHeight="1" x14ac:dyDescent="0.2">
      <c r="C99" s="557"/>
      <c r="D99" s="557"/>
      <c r="E99" s="557"/>
      <c r="F99" s="557"/>
    </row>
    <row r="100" spans="3:6" ht="12.75" customHeight="1" x14ac:dyDescent="0.2">
      <c r="C100" s="557"/>
      <c r="D100" s="557"/>
      <c r="E100" s="557"/>
      <c r="F100" s="557"/>
    </row>
    <row r="101" spans="3:6" ht="12.75" customHeight="1" x14ac:dyDescent="0.2">
      <c r="C101" s="557"/>
      <c r="D101" s="557"/>
      <c r="E101" s="557"/>
      <c r="F101" s="557"/>
    </row>
    <row r="102" spans="3:6" ht="12.75" customHeight="1" x14ac:dyDescent="0.2">
      <c r="C102" s="557"/>
      <c r="D102" s="557"/>
      <c r="E102" s="557"/>
      <c r="F102" s="557"/>
    </row>
    <row r="103" spans="3:6" ht="12.75" customHeight="1" x14ac:dyDescent="0.2">
      <c r="C103" s="557"/>
      <c r="D103" s="557"/>
      <c r="E103" s="557"/>
      <c r="F103" s="557"/>
    </row>
    <row r="104" spans="3:6" ht="12.75" customHeight="1" x14ac:dyDescent="0.2">
      <c r="C104" s="557"/>
      <c r="D104" s="557"/>
      <c r="E104" s="557"/>
      <c r="F104" s="557"/>
    </row>
    <row r="105" spans="3:6" ht="12.75" customHeight="1" x14ac:dyDescent="0.2">
      <c r="C105" s="557"/>
      <c r="D105" s="557"/>
      <c r="E105" s="557"/>
      <c r="F105" s="557"/>
    </row>
    <row r="106" spans="3:6" ht="12.75" customHeight="1" x14ac:dyDescent="0.2">
      <c r="C106" s="557"/>
      <c r="D106" s="557"/>
      <c r="E106" s="557"/>
      <c r="F106" s="557"/>
    </row>
    <row r="107" spans="3:6" ht="12.75" customHeight="1" x14ac:dyDescent="0.2">
      <c r="C107" s="557"/>
      <c r="D107" s="557"/>
      <c r="E107" s="557"/>
      <c r="F107" s="557"/>
    </row>
    <row r="108" spans="3:6" ht="12.75" customHeight="1" x14ac:dyDescent="0.2">
      <c r="C108" s="557"/>
      <c r="D108" s="557"/>
      <c r="E108" s="557"/>
      <c r="F108" s="557"/>
    </row>
    <row r="109" spans="3:6" ht="12.75" customHeight="1" x14ac:dyDescent="0.2">
      <c r="C109" s="557"/>
      <c r="D109" s="557"/>
      <c r="E109" s="557"/>
      <c r="F109" s="557"/>
    </row>
    <row r="110" spans="3:6" ht="12.75" customHeight="1" x14ac:dyDescent="0.2">
      <c r="C110" s="557"/>
      <c r="D110" s="557"/>
      <c r="E110" s="557"/>
      <c r="F110" s="557"/>
    </row>
    <row r="111" spans="3:6" ht="12.75" customHeight="1" x14ac:dyDescent="0.2">
      <c r="C111" s="557"/>
      <c r="D111" s="557"/>
      <c r="E111" s="557"/>
      <c r="F111" s="557"/>
    </row>
    <row r="112" spans="3:6" ht="12.75" customHeight="1" x14ac:dyDescent="0.2">
      <c r="C112" s="557"/>
      <c r="D112" s="557"/>
      <c r="E112" s="557"/>
      <c r="F112" s="557"/>
    </row>
    <row r="113" spans="3:6" ht="12.75" customHeight="1" x14ac:dyDescent="0.2">
      <c r="C113" s="557"/>
      <c r="D113" s="557"/>
      <c r="E113" s="557"/>
      <c r="F113" s="557"/>
    </row>
    <row r="114" spans="3:6" ht="12.75" customHeight="1" x14ac:dyDescent="0.2">
      <c r="C114" s="557"/>
      <c r="D114" s="557"/>
      <c r="E114" s="557"/>
      <c r="F114" s="557"/>
    </row>
    <row r="115" spans="3:6" ht="12.75" customHeight="1" x14ac:dyDescent="0.2">
      <c r="C115" s="557"/>
      <c r="D115" s="557"/>
      <c r="E115" s="557"/>
      <c r="F115" s="557"/>
    </row>
    <row r="116" spans="3:6" ht="12.75" customHeight="1" x14ac:dyDescent="0.2">
      <c r="C116" s="557"/>
      <c r="D116" s="557"/>
      <c r="E116" s="557"/>
      <c r="F116" s="557"/>
    </row>
    <row r="117" spans="3:6" ht="12.75" customHeight="1" x14ac:dyDescent="0.2">
      <c r="C117" s="557"/>
      <c r="D117" s="557"/>
      <c r="E117" s="557"/>
      <c r="F117" s="557"/>
    </row>
    <row r="118" spans="3:6" ht="12.75" customHeight="1" x14ac:dyDescent="0.2">
      <c r="C118" s="557"/>
      <c r="D118" s="557"/>
      <c r="E118" s="557"/>
      <c r="F118" s="557"/>
    </row>
    <row r="119" spans="3:6" ht="12.75" customHeight="1" x14ac:dyDescent="0.2">
      <c r="C119" s="557"/>
      <c r="D119" s="557"/>
      <c r="E119" s="557"/>
      <c r="F119" s="557"/>
    </row>
    <row r="120" spans="3:6" ht="12.75" customHeight="1" x14ac:dyDescent="0.2">
      <c r="C120" s="557"/>
      <c r="D120" s="557"/>
      <c r="E120" s="557"/>
      <c r="F120" s="557"/>
    </row>
    <row r="121" spans="3:6" ht="12.75" customHeight="1" x14ac:dyDescent="0.2">
      <c r="C121" s="557"/>
      <c r="D121" s="557"/>
      <c r="E121" s="557"/>
      <c r="F121" s="557"/>
    </row>
    <row r="122" spans="3:6" ht="12.75" customHeight="1" x14ac:dyDescent="0.2">
      <c r="C122" s="557"/>
      <c r="D122" s="557"/>
      <c r="E122" s="557"/>
      <c r="F122" s="557"/>
    </row>
    <row r="123" spans="3:6" ht="12.75" customHeight="1" x14ac:dyDescent="0.2">
      <c r="C123" s="557"/>
      <c r="D123" s="557"/>
      <c r="E123" s="557"/>
      <c r="F123" s="557"/>
    </row>
    <row r="124" spans="3:6" ht="12.75" customHeight="1" x14ac:dyDescent="0.2">
      <c r="C124" s="557"/>
      <c r="D124" s="557"/>
      <c r="E124" s="557"/>
      <c r="F124" s="557"/>
    </row>
    <row r="125" spans="3:6" ht="12.75" customHeight="1" x14ac:dyDescent="0.2">
      <c r="C125" s="557"/>
      <c r="D125" s="557"/>
      <c r="E125" s="557"/>
      <c r="F125" s="557"/>
    </row>
    <row r="126" spans="3:6" ht="12.75" customHeight="1" x14ac:dyDescent="0.2">
      <c r="C126" s="557"/>
      <c r="D126" s="557"/>
      <c r="E126" s="557"/>
      <c r="F126" s="557"/>
    </row>
    <row r="127" spans="3:6" ht="12.75" customHeight="1" x14ac:dyDescent="0.2">
      <c r="C127" s="557"/>
      <c r="D127" s="557"/>
      <c r="E127" s="557"/>
      <c r="F127" s="557"/>
    </row>
    <row r="128" spans="3:6" ht="12.75" customHeight="1" x14ac:dyDescent="0.2">
      <c r="C128" s="557"/>
      <c r="D128" s="557"/>
      <c r="E128" s="557"/>
      <c r="F128" s="557"/>
    </row>
    <row r="129" spans="3:6" ht="12.75" customHeight="1" x14ac:dyDescent="0.2">
      <c r="C129" s="557"/>
      <c r="D129" s="557"/>
      <c r="E129" s="557"/>
      <c r="F129" s="557"/>
    </row>
    <row r="130" spans="3:6" ht="12.75" customHeight="1" x14ac:dyDescent="0.2">
      <c r="C130" s="557"/>
      <c r="D130" s="557"/>
      <c r="E130" s="557"/>
      <c r="F130" s="557"/>
    </row>
    <row r="131" spans="3:6" ht="12.75" customHeight="1" x14ac:dyDescent="0.2">
      <c r="C131" s="557"/>
      <c r="D131" s="557"/>
      <c r="E131" s="557"/>
      <c r="F131" s="557"/>
    </row>
    <row r="132" spans="3:6" ht="12.75" customHeight="1" x14ac:dyDescent="0.2">
      <c r="C132" s="557"/>
      <c r="D132" s="557"/>
      <c r="E132" s="557"/>
      <c r="F132" s="557"/>
    </row>
    <row r="133" spans="3:6" ht="12.75" customHeight="1" x14ac:dyDescent="0.2">
      <c r="C133" s="557"/>
      <c r="D133" s="557"/>
      <c r="E133" s="557"/>
      <c r="F133" s="557"/>
    </row>
    <row r="134" spans="3:6" ht="12.75" customHeight="1" x14ac:dyDescent="0.2">
      <c r="C134" s="557"/>
      <c r="D134" s="557"/>
      <c r="E134" s="557"/>
      <c r="F134" s="557"/>
    </row>
    <row r="135" spans="3:6" ht="12.75" customHeight="1" x14ac:dyDescent="0.2">
      <c r="C135" s="557"/>
      <c r="D135" s="557"/>
      <c r="E135" s="557"/>
      <c r="F135" s="557"/>
    </row>
    <row r="136" spans="3:6" ht="12.75" customHeight="1" x14ac:dyDescent="0.2">
      <c r="C136" s="557"/>
      <c r="D136" s="557"/>
      <c r="E136" s="557"/>
      <c r="F136" s="557"/>
    </row>
    <row r="137" spans="3:6" ht="12.75" customHeight="1" x14ac:dyDescent="0.2">
      <c r="C137" s="557"/>
      <c r="D137" s="557"/>
      <c r="E137" s="557"/>
      <c r="F137" s="557"/>
    </row>
    <row r="138" spans="3:6" ht="12.75" customHeight="1" x14ac:dyDescent="0.2">
      <c r="C138" s="557"/>
      <c r="D138" s="557"/>
      <c r="E138" s="557"/>
      <c r="F138" s="557"/>
    </row>
    <row r="139" spans="3:6" ht="12.75" customHeight="1" x14ac:dyDescent="0.2">
      <c r="C139" s="557"/>
      <c r="D139" s="557"/>
      <c r="E139" s="557"/>
      <c r="F139" s="557"/>
    </row>
    <row r="140" spans="3:6" ht="12.75" customHeight="1" x14ac:dyDescent="0.2">
      <c r="C140" s="557"/>
      <c r="D140" s="557"/>
      <c r="E140" s="557"/>
      <c r="F140" s="557"/>
    </row>
    <row r="141" spans="3:6" ht="12.75" customHeight="1" x14ac:dyDescent="0.2">
      <c r="C141" s="557"/>
      <c r="D141" s="557"/>
      <c r="E141" s="557"/>
      <c r="F141" s="557"/>
    </row>
    <row r="142" spans="3:6" ht="12.75" customHeight="1" x14ac:dyDescent="0.2">
      <c r="C142" s="557"/>
      <c r="D142" s="557"/>
      <c r="E142" s="557"/>
      <c r="F142" s="557"/>
    </row>
    <row r="143" spans="3:6" ht="12.75" customHeight="1" x14ac:dyDescent="0.2">
      <c r="C143" s="557"/>
      <c r="D143" s="557"/>
      <c r="E143" s="557"/>
      <c r="F143" s="557"/>
    </row>
    <row r="144" spans="3:6" ht="12.75" customHeight="1" x14ac:dyDescent="0.2">
      <c r="C144" s="557"/>
      <c r="D144" s="557"/>
      <c r="E144" s="557"/>
      <c r="F144" s="557"/>
    </row>
    <row r="145" spans="3:6" ht="12.75" customHeight="1" x14ac:dyDescent="0.2">
      <c r="C145" s="557"/>
      <c r="D145" s="557"/>
      <c r="E145" s="557"/>
      <c r="F145" s="557"/>
    </row>
    <row r="146" spans="3:6" ht="12.75" customHeight="1" x14ac:dyDescent="0.2">
      <c r="C146" s="557"/>
      <c r="D146" s="557"/>
      <c r="E146" s="557"/>
      <c r="F146" s="557"/>
    </row>
    <row r="147" spans="3:6" ht="12.75" customHeight="1" x14ac:dyDescent="0.2">
      <c r="C147" s="557"/>
      <c r="D147" s="557"/>
      <c r="E147" s="557"/>
      <c r="F147" s="557"/>
    </row>
    <row r="148" spans="3:6" ht="12.75" customHeight="1" x14ac:dyDescent="0.2">
      <c r="C148" s="557"/>
      <c r="D148" s="557"/>
      <c r="E148" s="557"/>
      <c r="F148" s="557"/>
    </row>
    <row r="149" spans="3:6" ht="12.75" customHeight="1" x14ac:dyDescent="0.2">
      <c r="C149" s="557"/>
      <c r="D149" s="557"/>
      <c r="E149" s="557"/>
      <c r="F149" s="557"/>
    </row>
    <row r="150" spans="3:6" ht="12.75" customHeight="1" x14ac:dyDescent="0.2">
      <c r="C150" s="557"/>
      <c r="D150" s="557"/>
      <c r="E150" s="557"/>
      <c r="F150" s="557"/>
    </row>
    <row r="151" spans="3:6" ht="12.75" customHeight="1" x14ac:dyDescent="0.2">
      <c r="C151" s="557"/>
      <c r="D151" s="557"/>
      <c r="E151" s="557"/>
      <c r="F151" s="557"/>
    </row>
    <row r="152" spans="3:6" ht="12.75" customHeight="1" x14ac:dyDescent="0.2">
      <c r="C152" s="557"/>
      <c r="D152" s="557"/>
      <c r="E152" s="557"/>
      <c r="F152" s="557"/>
    </row>
    <row r="153" spans="3:6" ht="12.75" customHeight="1" x14ac:dyDescent="0.2">
      <c r="C153" s="557"/>
      <c r="D153" s="557"/>
      <c r="E153" s="557"/>
      <c r="F153" s="557"/>
    </row>
    <row r="154" spans="3:6" ht="12.75" customHeight="1" x14ac:dyDescent="0.2">
      <c r="C154" s="557"/>
      <c r="D154" s="557"/>
      <c r="E154" s="557"/>
      <c r="F154" s="557"/>
    </row>
    <row r="155" spans="3:6" ht="12.75" customHeight="1" x14ac:dyDescent="0.2">
      <c r="C155" s="557"/>
      <c r="D155" s="557"/>
      <c r="E155" s="557"/>
      <c r="F155" s="557"/>
    </row>
    <row r="156" spans="3:6" ht="12.75" customHeight="1" x14ac:dyDescent="0.2">
      <c r="C156" s="557"/>
      <c r="D156" s="557"/>
      <c r="E156" s="557"/>
      <c r="F156" s="557"/>
    </row>
    <row r="157" spans="3:6" ht="12.75" customHeight="1" x14ac:dyDescent="0.2">
      <c r="C157" s="557"/>
      <c r="D157" s="557"/>
      <c r="E157" s="557"/>
      <c r="F157" s="557"/>
    </row>
    <row r="158" spans="3:6" ht="12.75" customHeight="1" x14ac:dyDescent="0.2">
      <c r="C158" s="557"/>
      <c r="D158" s="557"/>
      <c r="E158" s="557"/>
      <c r="F158" s="557"/>
    </row>
    <row r="159" spans="3:6" ht="12.75" customHeight="1" x14ac:dyDescent="0.2">
      <c r="C159" s="557"/>
      <c r="D159" s="557"/>
      <c r="E159" s="557"/>
      <c r="F159" s="557"/>
    </row>
    <row r="160" spans="3:6" ht="12.75" customHeight="1" x14ac:dyDescent="0.2">
      <c r="C160" s="557"/>
      <c r="D160" s="557"/>
      <c r="E160" s="557"/>
      <c r="F160" s="557"/>
    </row>
    <row r="161" spans="3:6" ht="12.75" customHeight="1" x14ac:dyDescent="0.2">
      <c r="C161" s="557"/>
      <c r="D161" s="557"/>
      <c r="E161" s="557"/>
      <c r="F161" s="557"/>
    </row>
    <row r="162" spans="3:6" ht="12.75" customHeight="1" x14ac:dyDescent="0.2">
      <c r="C162" s="557"/>
      <c r="D162" s="557"/>
      <c r="E162" s="557"/>
      <c r="F162" s="557"/>
    </row>
    <row r="163" spans="3:6" ht="12.75" customHeight="1" x14ac:dyDescent="0.2">
      <c r="C163" s="557"/>
      <c r="D163" s="557"/>
      <c r="E163" s="557"/>
      <c r="F163" s="557"/>
    </row>
    <row r="164" spans="3:6" ht="12.75" customHeight="1" x14ac:dyDescent="0.2">
      <c r="C164" s="557"/>
      <c r="D164" s="557"/>
      <c r="E164" s="557"/>
      <c r="F164" s="557"/>
    </row>
    <row r="165" spans="3:6" ht="12.75" customHeight="1" x14ac:dyDescent="0.2">
      <c r="C165" s="557"/>
      <c r="D165" s="557"/>
      <c r="E165" s="557"/>
      <c r="F165" s="557"/>
    </row>
    <row r="166" spans="3:6" ht="12.75" customHeight="1" x14ac:dyDescent="0.2">
      <c r="C166" s="557"/>
      <c r="D166" s="557"/>
      <c r="E166" s="557"/>
      <c r="F166" s="557"/>
    </row>
    <row r="167" spans="3:6" ht="12.75" customHeight="1" x14ac:dyDescent="0.2">
      <c r="C167" s="557"/>
      <c r="D167" s="557"/>
      <c r="E167" s="557"/>
      <c r="F167" s="557"/>
    </row>
    <row r="168" spans="3:6" ht="12.75" customHeight="1" x14ac:dyDescent="0.2">
      <c r="C168" s="557"/>
      <c r="D168" s="557"/>
      <c r="E168" s="557"/>
      <c r="F168" s="557"/>
    </row>
    <row r="169" spans="3:6" ht="12.75" customHeight="1" x14ac:dyDescent="0.2">
      <c r="C169" s="557"/>
      <c r="D169" s="557"/>
      <c r="E169" s="557"/>
      <c r="F169" s="557"/>
    </row>
    <row r="170" spans="3:6" ht="12.75" customHeight="1" x14ac:dyDescent="0.2">
      <c r="C170" s="557"/>
      <c r="D170" s="557"/>
      <c r="E170" s="557"/>
      <c r="F170" s="557"/>
    </row>
    <row r="171" spans="3:6" ht="12.75" customHeight="1" x14ac:dyDescent="0.2">
      <c r="C171" s="557"/>
      <c r="D171" s="557"/>
      <c r="E171" s="557"/>
      <c r="F171" s="557"/>
    </row>
    <row r="172" spans="3:6" ht="12.75" customHeight="1" x14ac:dyDescent="0.2">
      <c r="C172" s="557"/>
      <c r="D172" s="557"/>
      <c r="E172" s="557"/>
      <c r="F172" s="557"/>
    </row>
    <row r="173" spans="3:6" ht="12.75" customHeight="1" x14ac:dyDescent="0.2">
      <c r="C173" s="557"/>
      <c r="D173" s="557"/>
      <c r="E173" s="557"/>
      <c r="F173" s="557"/>
    </row>
    <row r="174" spans="3:6" ht="12.75" customHeight="1" x14ac:dyDescent="0.2">
      <c r="C174" s="557"/>
      <c r="D174" s="557"/>
      <c r="E174" s="557"/>
      <c r="F174" s="557"/>
    </row>
    <row r="175" spans="3:6" ht="12.75" customHeight="1" x14ac:dyDescent="0.2">
      <c r="C175" s="557"/>
      <c r="D175" s="557"/>
      <c r="E175" s="557"/>
      <c r="F175" s="557"/>
    </row>
    <row r="176" spans="3:6" ht="12.75" customHeight="1" x14ac:dyDescent="0.2">
      <c r="C176" s="557"/>
      <c r="D176" s="557"/>
      <c r="E176" s="557"/>
      <c r="F176" s="557"/>
    </row>
    <row r="177" spans="3:6" ht="12.75" customHeight="1" x14ac:dyDescent="0.2">
      <c r="C177" s="557"/>
      <c r="D177" s="557"/>
      <c r="E177" s="557"/>
      <c r="F177" s="557"/>
    </row>
    <row r="178" spans="3:6" ht="12.75" customHeight="1" x14ac:dyDescent="0.2">
      <c r="C178" s="557"/>
      <c r="D178" s="557"/>
      <c r="E178" s="557"/>
      <c r="F178" s="557"/>
    </row>
    <row r="179" spans="3:6" ht="12.75" customHeight="1" x14ac:dyDescent="0.2">
      <c r="C179" s="557"/>
      <c r="D179" s="557"/>
      <c r="E179" s="557"/>
      <c r="F179" s="557"/>
    </row>
    <row r="180" spans="3:6" ht="12.75" customHeight="1" x14ac:dyDescent="0.2">
      <c r="C180" s="557"/>
      <c r="D180" s="557"/>
      <c r="E180" s="557"/>
      <c r="F180" s="557"/>
    </row>
    <row r="181" spans="3:6" ht="12.75" customHeight="1" x14ac:dyDescent="0.2">
      <c r="C181" s="557"/>
      <c r="D181" s="557"/>
      <c r="E181" s="557"/>
      <c r="F181" s="557"/>
    </row>
    <row r="182" spans="3:6" ht="12.75" customHeight="1" x14ac:dyDescent="0.2">
      <c r="C182" s="557"/>
      <c r="D182" s="557"/>
      <c r="E182" s="557"/>
      <c r="F182" s="557"/>
    </row>
    <row r="183" spans="3:6" ht="12.75" customHeight="1" x14ac:dyDescent="0.2">
      <c r="C183" s="557"/>
      <c r="D183" s="557"/>
      <c r="E183" s="557"/>
      <c r="F183" s="557"/>
    </row>
    <row r="184" spans="3:6" ht="12.75" customHeight="1" x14ac:dyDescent="0.2">
      <c r="C184" s="557"/>
      <c r="D184" s="557"/>
      <c r="E184" s="557"/>
      <c r="F184" s="557"/>
    </row>
    <row r="185" spans="3:6" ht="12.75" customHeight="1" x14ac:dyDescent="0.2">
      <c r="C185" s="557"/>
      <c r="D185" s="557"/>
      <c r="E185" s="557"/>
      <c r="F185" s="557"/>
    </row>
    <row r="186" spans="3:6" ht="12.75" customHeight="1" x14ac:dyDescent="0.2">
      <c r="C186" s="557"/>
      <c r="D186" s="557"/>
      <c r="E186" s="557"/>
      <c r="F186" s="557"/>
    </row>
    <row r="187" spans="3:6" ht="12.75" customHeight="1" x14ac:dyDescent="0.2">
      <c r="C187" s="557"/>
      <c r="D187" s="557"/>
      <c r="E187" s="557"/>
      <c r="F187" s="557"/>
    </row>
    <row r="188" spans="3:6" ht="12.75" customHeight="1" x14ac:dyDescent="0.2">
      <c r="C188" s="557"/>
      <c r="D188" s="557"/>
      <c r="E188" s="557"/>
      <c r="F188" s="557"/>
    </row>
    <row r="189" spans="3:6" ht="12.75" customHeight="1" x14ac:dyDescent="0.2">
      <c r="C189" s="557"/>
      <c r="D189" s="557"/>
      <c r="E189" s="557"/>
      <c r="F189" s="557"/>
    </row>
    <row r="190" spans="3:6" ht="12.75" customHeight="1" x14ac:dyDescent="0.2">
      <c r="C190" s="557"/>
      <c r="D190" s="557"/>
      <c r="E190" s="557"/>
      <c r="F190" s="557"/>
    </row>
    <row r="191" spans="3:6" ht="12.75" customHeight="1" x14ac:dyDescent="0.2">
      <c r="C191" s="557"/>
      <c r="D191" s="557"/>
      <c r="E191" s="557"/>
      <c r="F191" s="557"/>
    </row>
    <row r="192" spans="3:6" ht="12.75" customHeight="1" x14ac:dyDescent="0.2">
      <c r="C192" s="557"/>
      <c r="D192" s="557"/>
      <c r="E192" s="557"/>
      <c r="F192" s="557"/>
    </row>
    <row r="193" spans="3:6" ht="12.75" customHeight="1" x14ac:dyDescent="0.2">
      <c r="C193" s="557"/>
      <c r="D193" s="557"/>
      <c r="E193" s="557"/>
      <c r="F193" s="557"/>
    </row>
    <row r="194" spans="3:6" ht="12.75" customHeight="1" x14ac:dyDescent="0.2">
      <c r="C194" s="557"/>
      <c r="D194" s="557"/>
      <c r="E194" s="557"/>
      <c r="F194" s="557"/>
    </row>
    <row r="195" spans="3:6" ht="12.75" customHeight="1" x14ac:dyDescent="0.2">
      <c r="C195" s="557"/>
      <c r="D195" s="557"/>
      <c r="E195" s="557"/>
      <c r="F195" s="557"/>
    </row>
    <row r="196" spans="3:6" ht="12.75" customHeight="1" x14ac:dyDescent="0.2">
      <c r="C196" s="557"/>
      <c r="D196" s="557"/>
      <c r="E196" s="557"/>
      <c r="F196" s="557"/>
    </row>
    <row r="197" spans="3:6" ht="12.75" customHeight="1" x14ac:dyDescent="0.2">
      <c r="C197" s="557"/>
      <c r="D197" s="557"/>
      <c r="E197" s="557"/>
      <c r="F197" s="557"/>
    </row>
    <row r="198" spans="3:6" ht="12.75" customHeight="1" x14ac:dyDescent="0.2">
      <c r="C198" s="557"/>
      <c r="D198" s="557"/>
      <c r="E198" s="557"/>
      <c r="F198" s="557"/>
    </row>
    <row r="199" spans="3:6" ht="12.75" customHeight="1" x14ac:dyDescent="0.2">
      <c r="C199" s="557"/>
      <c r="D199" s="557"/>
      <c r="E199" s="557"/>
      <c r="F199" s="557"/>
    </row>
    <row r="200" spans="3:6" ht="12.75" customHeight="1" x14ac:dyDescent="0.2">
      <c r="C200" s="557"/>
      <c r="D200" s="557"/>
      <c r="E200" s="557"/>
      <c r="F200" s="557"/>
    </row>
    <row r="201" spans="3:6" ht="12.75" customHeight="1" x14ac:dyDescent="0.2">
      <c r="C201" s="557"/>
      <c r="D201" s="557"/>
      <c r="E201" s="557"/>
      <c r="F201" s="557"/>
    </row>
    <row r="202" spans="3:6" ht="12.75" customHeight="1" x14ac:dyDescent="0.2">
      <c r="C202" s="557"/>
      <c r="D202" s="557"/>
      <c r="E202" s="557"/>
      <c r="F202" s="557"/>
    </row>
    <row r="203" spans="3:6" ht="12.75" customHeight="1" x14ac:dyDescent="0.2">
      <c r="C203" s="557"/>
      <c r="D203" s="557"/>
      <c r="E203" s="557"/>
      <c r="F203" s="557"/>
    </row>
    <row r="204" spans="3:6" ht="12.75" customHeight="1" x14ac:dyDescent="0.2">
      <c r="C204" s="557"/>
      <c r="D204" s="557"/>
      <c r="E204" s="557"/>
      <c r="F204" s="557"/>
    </row>
    <row r="205" spans="3:6" ht="12.75" customHeight="1" x14ac:dyDescent="0.2">
      <c r="C205" s="557"/>
      <c r="D205" s="557"/>
      <c r="E205" s="557"/>
      <c r="F205" s="557"/>
    </row>
    <row r="206" spans="3:6" ht="12.75" customHeight="1" x14ac:dyDescent="0.2">
      <c r="C206" s="557"/>
      <c r="D206" s="557"/>
      <c r="E206" s="557"/>
      <c r="F206" s="557"/>
    </row>
    <row r="207" spans="3:6" ht="12.75" customHeight="1" x14ac:dyDescent="0.2">
      <c r="C207" s="557"/>
      <c r="D207" s="557"/>
      <c r="E207" s="557"/>
      <c r="F207" s="557"/>
    </row>
    <row r="208" spans="3:6" ht="12.75" customHeight="1" x14ac:dyDescent="0.2">
      <c r="C208" s="557"/>
      <c r="D208" s="557"/>
      <c r="E208" s="557"/>
      <c r="F208" s="557"/>
    </row>
    <row r="209" spans="3:6" ht="12.75" customHeight="1" x14ac:dyDescent="0.2">
      <c r="C209" s="557"/>
      <c r="D209" s="557"/>
      <c r="E209" s="557"/>
      <c r="F209" s="557"/>
    </row>
    <row r="210" spans="3:6" ht="12.75" customHeight="1" x14ac:dyDescent="0.2">
      <c r="C210" s="557"/>
      <c r="D210" s="557"/>
      <c r="E210" s="557"/>
      <c r="F210" s="557"/>
    </row>
    <row r="211" spans="3:6" ht="12.75" customHeight="1" x14ac:dyDescent="0.2">
      <c r="C211" s="557"/>
      <c r="D211" s="557"/>
      <c r="E211" s="557"/>
      <c r="F211" s="557"/>
    </row>
    <row r="212" spans="3:6" ht="12.75" customHeight="1" x14ac:dyDescent="0.2">
      <c r="C212" s="557"/>
      <c r="D212" s="557"/>
      <c r="E212" s="557"/>
      <c r="F212" s="557"/>
    </row>
    <row r="213" spans="3:6" ht="12.75" customHeight="1" x14ac:dyDescent="0.2">
      <c r="C213" s="557"/>
      <c r="D213" s="557"/>
      <c r="E213" s="557"/>
      <c r="F213" s="557"/>
    </row>
    <row r="214" spans="3:6" ht="12.75" customHeight="1" x14ac:dyDescent="0.2">
      <c r="C214" s="557"/>
      <c r="D214" s="557"/>
      <c r="E214" s="557"/>
      <c r="F214" s="557"/>
    </row>
    <row r="215" spans="3:6" ht="12.75" customHeight="1" x14ac:dyDescent="0.2">
      <c r="C215" s="557"/>
      <c r="D215" s="557"/>
      <c r="E215" s="557"/>
      <c r="F215" s="557"/>
    </row>
    <row r="216" spans="3:6" ht="12.75" customHeight="1" x14ac:dyDescent="0.2">
      <c r="C216" s="557"/>
      <c r="D216" s="557"/>
      <c r="E216" s="557"/>
      <c r="F216" s="557"/>
    </row>
    <row r="217" spans="3:6" ht="12.75" customHeight="1" x14ac:dyDescent="0.2">
      <c r="C217" s="557"/>
      <c r="D217" s="557"/>
      <c r="E217" s="557"/>
      <c r="F217" s="557"/>
    </row>
    <row r="218" spans="3:6" ht="12.75" customHeight="1" x14ac:dyDescent="0.2">
      <c r="C218" s="557"/>
      <c r="D218" s="557"/>
      <c r="E218" s="557"/>
      <c r="F218" s="557"/>
    </row>
    <row r="219" spans="3:6" ht="12.75" customHeight="1" x14ac:dyDescent="0.2">
      <c r="C219" s="557"/>
      <c r="D219" s="557"/>
      <c r="E219" s="557"/>
      <c r="F219" s="557"/>
    </row>
    <row r="220" spans="3:6" ht="12.75" customHeight="1" x14ac:dyDescent="0.2">
      <c r="C220" s="557"/>
      <c r="D220" s="557"/>
      <c r="E220" s="557"/>
      <c r="F220" s="557"/>
    </row>
    <row r="221" spans="3:6" ht="12.75" customHeight="1" x14ac:dyDescent="0.2">
      <c r="C221" s="557"/>
      <c r="D221" s="557"/>
      <c r="E221" s="557"/>
      <c r="F221" s="557"/>
    </row>
    <row r="222" spans="3:6" ht="12.75" customHeight="1" x14ac:dyDescent="0.2">
      <c r="C222" s="557"/>
      <c r="D222" s="557"/>
      <c r="E222" s="557"/>
      <c r="F222" s="557"/>
    </row>
    <row r="223" spans="3:6" ht="12.75" customHeight="1" x14ac:dyDescent="0.2">
      <c r="C223" s="557"/>
      <c r="D223" s="557"/>
      <c r="E223" s="557"/>
      <c r="F223" s="557"/>
    </row>
    <row r="224" spans="3:6" ht="12.75" customHeight="1" x14ac:dyDescent="0.2">
      <c r="C224" s="557"/>
      <c r="D224" s="557"/>
      <c r="E224" s="557"/>
      <c r="F224" s="557"/>
    </row>
    <row r="225" spans="3:6" ht="12.75" customHeight="1" x14ac:dyDescent="0.2">
      <c r="C225" s="557"/>
      <c r="D225" s="557"/>
      <c r="E225" s="557"/>
      <c r="F225" s="557"/>
    </row>
    <row r="226" spans="3:6" ht="12.75" customHeight="1" x14ac:dyDescent="0.2">
      <c r="C226" s="557"/>
      <c r="D226" s="557"/>
      <c r="E226" s="557"/>
      <c r="F226" s="557"/>
    </row>
    <row r="227" spans="3:6" ht="12.75" customHeight="1" x14ac:dyDescent="0.2">
      <c r="C227" s="557"/>
      <c r="D227" s="557"/>
      <c r="E227" s="557"/>
      <c r="F227" s="557"/>
    </row>
    <row r="228" spans="3:6" ht="12.75" customHeight="1" x14ac:dyDescent="0.2">
      <c r="C228" s="557"/>
      <c r="D228" s="557"/>
      <c r="E228" s="557"/>
      <c r="F228" s="557"/>
    </row>
    <row r="229" spans="3:6" ht="12.75" customHeight="1" x14ac:dyDescent="0.2">
      <c r="C229" s="557"/>
      <c r="D229" s="557"/>
      <c r="E229" s="557"/>
      <c r="F229" s="557"/>
    </row>
    <row r="230" spans="3:6" ht="12.75" customHeight="1" x14ac:dyDescent="0.2">
      <c r="C230" s="557"/>
      <c r="D230" s="557"/>
      <c r="E230" s="557"/>
      <c r="F230" s="557"/>
    </row>
    <row r="231" spans="3:6" ht="12.75" customHeight="1" x14ac:dyDescent="0.2">
      <c r="C231" s="557"/>
      <c r="D231" s="557"/>
      <c r="E231" s="557"/>
      <c r="F231" s="557"/>
    </row>
    <row r="232" spans="3:6" ht="12.75" customHeight="1" x14ac:dyDescent="0.2">
      <c r="C232" s="557"/>
      <c r="D232" s="557"/>
      <c r="E232" s="557"/>
      <c r="F232" s="557"/>
    </row>
    <row r="233" spans="3:6" ht="12.75" customHeight="1" x14ac:dyDescent="0.2">
      <c r="C233" s="557"/>
      <c r="D233" s="557"/>
      <c r="E233" s="557"/>
      <c r="F233" s="557"/>
    </row>
    <row r="234" spans="3:6" ht="12.75" customHeight="1" x14ac:dyDescent="0.2">
      <c r="C234" s="557"/>
      <c r="D234" s="557"/>
      <c r="E234" s="557"/>
      <c r="F234" s="557"/>
    </row>
    <row r="235" spans="3:6" ht="12.75" customHeight="1" x14ac:dyDescent="0.2">
      <c r="C235" s="557"/>
      <c r="D235" s="557"/>
      <c r="E235" s="557"/>
      <c r="F235" s="557"/>
    </row>
    <row r="236" spans="3:6" ht="12.75" customHeight="1" x14ac:dyDescent="0.2">
      <c r="C236" s="557"/>
      <c r="D236" s="557"/>
      <c r="E236" s="557"/>
      <c r="F236" s="557"/>
    </row>
    <row r="237" spans="3:6" ht="12.75" customHeight="1" x14ac:dyDescent="0.2">
      <c r="C237" s="557"/>
      <c r="D237" s="557"/>
      <c r="E237" s="557"/>
      <c r="F237" s="557"/>
    </row>
    <row r="238" spans="3:6" ht="12.75" customHeight="1" x14ac:dyDescent="0.2">
      <c r="C238" s="557"/>
      <c r="D238" s="557"/>
      <c r="E238" s="557"/>
      <c r="F238" s="557"/>
    </row>
    <row r="239" spans="3:6" ht="12.75" customHeight="1" x14ac:dyDescent="0.2">
      <c r="C239" s="557"/>
      <c r="D239" s="557"/>
      <c r="E239" s="557"/>
      <c r="F239" s="557"/>
    </row>
    <row r="240" spans="3:6" ht="12.75" customHeight="1" x14ac:dyDescent="0.2">
      <c r="C240" s="557"/>
      <c r="D240" s="557"/>
      <c r="E240" s="557"/>
      <c r="F240" s="557"/>
    </row>
    <row r="241" spans="3:6" ht="12.75" customHeight="1" x14ac:dyDescent="0.2">
      <c r="C241" s="557"/>
      <c r="D241" s="557"/>
      <c r="E241" s="557"/>
      <c r="F241" s="557"/>
    </row>
    <row r="242" spans="3:6" ht="12.75" customHeight="1" x14ac:dyDescent="0.2">
      <c r="C242" s="557"/>
      <c r="D242" s="557"/>
      <c r="E242" s="557"/>
      <c r="F242" s="557"/>
    </row>
    <row r="243" spans="3:6" ht="12.75" customHeight="1" x14ac:dyDescent="0.2">
      <c r="C243" s="557"/>
      <c r="D243" s="557"/>
      <c r="E243" s="557"/>
      <c r="F243" s="557"/>
    </row>
    <row r="244" spans="3:6" ht="12.75" customHeight="1" x14ac:dyDescent="0.2">
      <c r="C244" s="557"/>
      <c r="D244" s="557"/>
      <c r="E244" s="557"/>
      <c r="F244" s="557"/>
    </row>
    <row r="245" spans="3:6" ht="12.75" customHeight="1" x14ac:dyDescent="0.2">
      <c r="C245" s="557"/>
      <c r="D245" s="557"/>
      <c r="E245" s="557"/>
      <c r="F245" s="557"/>
    </row>
    <row r="246" spans="3:6" ht="12.75" customHeight="1" x14ac:dyDescent="0.2">
      <c r="C246" s="557"/>
      <c r="D246" s="557"/>
      <c r="E246" s="557"/>
      <c r="F246" s="557"/>
    </row>
    <row r="247" spans="3:6" ht="12.75" customHeight="1" x14ac:dyDescent="0.2">
      <c r="C247" s="557"/>
      <c r="D247" s="557"/>
      <c r="E247" s="557"/>
      <c r="F247" s="557"/>
    </row>
    <row r="248" spans="3:6" ht="12.75" customHeight="1" x14ac:dyDescent="0.2">
      <c r="C248" s="557"/>
      <c r="D248" s="557"/>
      <c r="E248" s="557"/>
      <c r="F248" s="557"/>
    </row>
    <row r="249" spans="3:6" ht="12.75" customHeight="1" x14ac:dyDescent="0.2">
      <c r="C249" s="557"/>
      <c r="D249" s="557"/>
      <c r="E249" s="557"/>
      <c r="F249" s="557"/>
    </row>
    <row r="250" spans="3:6" ht="12.75" customHeight="1" x14ac:dyDescent="0.2">
      <c r="C250" s="557"/>
      <c r="D250" s="557"/>
      <c r="E250" s="557"/>
      <c r="F250" s="557"/>
    </row>
    <row r="251" spans="3:6" ht="12.75" customHeight="1" x14ac:dyDescent="0.2">
      <c r="C251" s="557"/>
      <c r="D251" s="557"/>
      <c r="E251" s="557"/>
      <c r="F251" s="557"/>
    </row>
    <row r="252" spans="3:6" ht="12.75" customHeight="1" x14ac:dyDescent="0.2">
      <c r="C252" s="557"/>
      <c r="D252" s="557"/>
      <c r="E252" s="557"/>
      <c r="F252" s="557"/>
    </row>
    <row r="253" spans="3:6" ht="12.75" customHeight="1" x14ac:dyDescent="0.2">
      <c r="C253" s="557"/>
      <c r="D253" s="557"/>
      <c r="E253" s="557"/>
      <c r="F253" s="557"/>
    </row>
    <row r="254" spans="3:6" ht="12.75" customHeight="1" x14ac:dyDescent="0.2">
      <c r="C254" s="557"/>
      <c r="D254" s="557"/>
      <c r="E254" s="557"/>
      <c r="F254" s="557"/>
    </row>
    <row r="255" spans="3:6" ht="12.75" customHeight="1" x14ac:dyDescent="0.2">
      <c r="C255" s="557"/>
      <c r="D255" s="557"/>
      <c r="E255" s="557"/>
      <c r="F255" s="557"/>
    </row>
    <row r="256" spans="3:6" ht="12.75" customHeight="1" x14ac:dyDescent="0.2">
      <c r="C256" s="557"/>
      <c r="D256" s="557"/>
      <c r="E256" s="557"/>
      <c r="F256" s="557"/>
    </row>
    <row r="257" spans="3:6" ht="12.75" customHeight="1" x14ac:dyDescent="0.2">
      <c r="C257" s="557"/>
      <c r="D257" s="557"/>
      <c r="E257" s="557"/>
      <c r="F257" s="557"/>
    </row>
    <row r="258" spans="3:6" ht="12.75" customHeight="1" x14ac:dyDescent="0.2">
      <c r="C258" s="557"/>
      <c r="D258" s="557"/>
      <c r="E258" s="557"/>
      <c r="F258" s="557"/>
    </row>
    <row r="259" spans="3:6" ht="12.75" customHeight="1" x14ac:dyDescent="0.2">
      <c r="C259" s="557"/>
      <c r="D259" s="557"/>
      <c r="E259" s="557"/>
      <c r="F259" s="557"/>
    </row>
    <row r="260" spans="3:6" ht="12.75" customHeight="1" x14ac:dyDescent="0.2">
      <c r="C260" s="557"/>
      <c r="D260" s="557"/>
      <c r="E260" s="557"/>
      <c r="F260" s="557"/>
    </row>
    <row r="261" spans="3:6" ht="12.75" customHeight="1" x14ac:dyDescent="0.2">
      <c r="C261" s="557"/>
      <c r="D261" s="557"/>
      <c r="E261" s="557"/>
      <c r="F261" s="557"/>
    </row>
    <row r="262" spans="3:6" ht="12.75" customHeight="1" x14ac:dyDescent="0.2">
      <c r="C262" s="557"/>
      <c r="D262" s="557"/>
      <c r="E262" s="557"/>
      <c r="F262" s="557"/>
    </row>
    <row r="263" spans="3:6" ht="12.75" customHeight="1" x14ac:dyDescent="0.2">
      <c r="C263" s="557"/>
      <c r="D263" s="557"/>
      <c r="E263" s="557"/>
      <c r="F263" s="557"/>
    </row>
    <row r="264" spans="3:6" ht="12.75" customHeight="1" x14ac:dyDescent="0.2">
      <c r="C264" s="557"/>
      <c r="D264" s="557"/>
      <c r="E264" s="557"/>
      <c r="F264" s="557"/>
    </row>
    <row r="265" spans="3:6" ht="12.75" customHeight="1" x14ac:dyDescent="0.2">
      <c r="C265" s="557"/>
      <c r="D265" s="557"/>
      <c r="E265" s="557"/>
      <c r="F265" s="557"/>
    </row>
    <row r="266" spans="3:6" ht="12.75" customHeight="1" x14ac:dyDescent="0.2">
      <c r="C266" s="557"/>
      <c r="D266" s="557"/>
      <c r="E266" s="557"/>
      <c r="F266" s="557"/>
    </row>
    <row r="267" spans="3:6" ht="12.75" customHeight="1" x14ac:dyDescent="0.2">
      <c r="C267" s="557"/>
      <c r="D267" s="557"/>
      <c r="E267" s="557"/>
      <c r="F267" s="557"/>
    </row>
    <row r="268" spans="3:6" ht="12.75" customHeight="1" x14ac:dyDescent="0.2">
      <c r="C268" s="557"/>
      <c r="D268" s="557"/>
      <c r="E268" s="557"/>
      <c r="F268" s="557"/>
    </row>
    <row r="269" spans="3:6" ht="12.75" customHeight="1" x14ac:dyDescent="0.2">
      <c r="C269" s="557"/>
      <c r="D269" s="557"/>
      <c r="E269" s="557"/>
      <c r="F269" s="557"/>
    </row>
    <row r="270" spans="3:6" ht="12.75" customHeight="1" x14ac:dyDescent="0.2">
      <c r="C270" s="557"/>
      <c r="D270" s="557"/>
      <c r="E270" s="557"/>
      <c r="F270" s="557"/>
    </row>
    <row r="271" spans="3:6" ht="12.75" customHeight="1" x14ac:dyDescent="0.2">
      <c r="C271" s="557"/>
      <c r="D271" s="557"/>
      <c r="E271" s="557"/>
      <c r="F271" s="557"/>
    </row>
    <row r="272" spans="3:6" ht="12.75" customHeight="1" x14ac:dyDescent="0.2">
      <c r="C272" s="557"/>
      <c r="D272" s="557"/>
      <c r="E272" s="557"/>
      <c r="F272" s="557"/>
    </row>
    <row r="273" spans="3:6" ht="12.75" customHeight="1" x14ac:dyDescent="0.2">
      <c r="C273" s="557"/>
      <c r="D273" s="557"/>
      <c r="E273" s="557"/>
      <c r="F273" s="557"/>
    </row>
    <row r="274" spans="3:6" ht="12.75" customHeight="1" x14ac:dyDescent="0.2">
      <c r="C274" s="557"/>
      <c r="D274" s="557"/>
      <c r="E274" s="557"/>
      <c r="F274" s="557"/>
    </row>
    <row r="275" spans="3:6" ht="12.75" customHeight="1" x14ac:dyDescent="0.2">
      <c r="C275" s="557"/>
      <c r="D275" s="557"/>
      <c r="E275" s="557"/>
      <c r="F275" s="557"/>
    </row>
    <row r="276" spans="3:6" ht="12.75" customHeight="1" x14ac:dyDescent="0.2">
      <c r="C276" s="557"/>
      <c r="D276" s="557"/>
      <c r="E276" s="557"/>
      <c r="F276" s="557"/>
    </row>
    <row r="277" spans="3:6" ht="12.75" customHeight="1" x14ac:dyDescent="0.2">
      <c r="C277" s="557"/>
      <c r="D277" s="557"/>
      <c r="E277" s="557"/>
      <c r="F277" s="557"/>
    </row>
    <row r="278" spans="3:6" ht="12.75" customHeight="1" x14ac:dyDescent="0.2">
      <c r="C278" s="557"/>
      <c r="D278" s="557"/>
      <c r="E278" s="557"/>
      <c r="F278" s="557"/>
    </row>
    <row r="279" spans="3:6" ht="12.75" customHeight="1" x14ac:dyDescent="0.2">
      <c r="C279" s="557"/>
      <c r="D279" s="557"/>
      <c r="E279" s="557"/>
      <c r="F279" s="557"/>
    </row>
    <row r="280" spans="3:6" ht="12.75" customHeight="1" x14ac:dyDescent="0.2">
      <c r="C280" s="557"/>
      <c r="D280" s="557"/>
      <c r="E280" s="557"/>
      <c r="F280" s="557"/>
    </row>
    <row r="281" spans="3:6" ht="12.75" customHeight="1" x14ac:dyDescent="0.2">
      <c r="C281" s="557"/>
      <c r="D281" s="557"/>
      <c r="E281" s="557"/>
      <c r="F281" s="557"/>
    </row>
    <row r="282" spans="3:6" ht="12.75" customHeight="1" x14ac:dyDescent="0.2">
      <c r="C282" s="557"/>
      <c r="D282" s="557"/>
      <c r="E282" s="557"/>
      <c r="F282" s="557"/>
    </row>
    <row r="283" spans="3:6" ht="12.75" customHeight="1" x14ac:dyDescent="0.2">
      <c r="C283" s="557"/>
      <c r="D283" s="557"/>
      <c r="E283" s="557"/>
      <c r="F283" s="557"/>
    </row>
    <row r="284" spans="3:6" ht="12.75" customHeight="1" x14ac:dyDescent="0.2">
      <c r="C284" s="557"/>
      <c r="D284" s="557"/>
      <c r="E284" s="557"/>
      <c r="F284" s="557"/>
    </row>
    <row r="285" spans="3:6" ht="12.75" customHeight="1" x14ac:dyDescent="0.2">
      <c r="C285" s="557"/>
      <c r="D285" s="557"/>
      <c r="E285" s="557"/>
      <c r="F285" s="557"/>
    </row>
    <row r="286" spans="3:6" ht="12.75" customHeight="1" x14ac:dyDescent="0.2">
      <c r="C286" s="557"/>
      <c r="D286" s="557"/>
      <c r="E286" s="557"/>
      <c r="F286" s="557"/>
    </row>
    <row r="287" spans="3:6" ht="12.75" customHeight="1" x14ac:dyDescent="0.2">
      <c r="C287" s="557"/>
      <c r="D287" s="557"/>
      <c r="E287" s="557"/>
      <c r="F287" s="557"/>
    </row>
    <row r="288" spans="3:6" ht="12.75" customHeight="1" x14ac:dyDescent="0.2">
      <c r="C288" s="557"/>
      <c r="D288" s="557"/>
      <c r="E288" s="557"/>
      <c r="F288" s="557"/>
    </row>
    <row r="289" spans="3:6" ht="12.75" customHeight="1" x14ac:dyDescent="0.2">
      <c r="C289" s="557"/>
      <c r="D289" s="557"/>
      <c r="E289" s="557"/>
      <c r="F289" s="557"/>
    </row>
    <row r="290" spans="3:6" ht="12.75" customHeight="1" x14ac:dyDescent="0.2">
      <c r="C290" s="557"/>
      <c r="D290" s="557"/>
      <c r="E290" s="557"/>
      <c r="F290" s="557"/>
    </row>
    <row r="291" spans="3:6" ht="12.75" customHeight="1" x14ac:dyDescent="0.2">
      <c r="C291" s="557"/>
      <c r="D291" s="557"/>
      <c r="E291" s="557"/>
      <c r="F291" s="557"/>
    </row>
    <row r="292" spans="3:6" ht="12.75" customHeight="1" x14ac:dyDescent="0.2">
      <c r="C292" s="557"/>
      <c r="D292" s="557"/>
      <c r="E292" s="557"/>
      <c r="F292" s="557"/>
    </row>
    <row r="293" spans="3:6" ht="12.75" customHeight="1" x14ac:dyDescent="0.2">
      <c r="C293" s="557"/>
      <c r="D293" s="557"/>
      <c r="E293" s="557"/>
      <c r="F293" s="557"/>
    </row>
    <row r="294" spans="3:6" ht="12.75" customHeight="1" x14ac:dyDescent="0.2">
      <c r="C294" s="557"/>
      <c r="D294" s="557"/>
      <c r="E294" s="557"/>
      <c r="F294" s="557"/>
    </row>
    <row r="295" spans="3:6" ht="12.75" customHeight="1" x14ac:dyDescent="0.2">
      <c r="C295" s="557"/>
      <c r="D295" s="557"/>
      <c r="E295" s="557"/>
      <c r="F295" s="557"/>
    </row>
    <row r="296" spans="3:6" ht="12.75" customHeight="1" x14ac:dyDescent="0.2">
      <c r="C296" s="557"/>
      <c r="D296" s="557"/>
      <c r="E296" s="557"/>
      <c r="F296" s="557"/>
    </row>
    <row r="297" spans="3:6" ht="12.75" customHeight="1" x14ac:dyDescent="0.2">
      <c r="C297" s="557"/>
      <c r="D297" s="557"/>
      <c r="E297" s="557"/>
      <c r="F297" s="557"/>
    </row>
    <row r="298" spans="3:6" ht="12.75" customHeight="1" x14ac:dyDescent="0.2">
      <c r="C298" s="557"/>
      <c r="D298" s="557"/>
      <c r="E298" s="557"/>
      <c r="F298" s="557"/>
    </row>
    <row r="299" spans="3:6" ht="12.75" customHeight="1" x14ac:dyDescent="0.2">
      <c r="C299" s="557"/>
      <c r="D299" s="557"/>
      <c r="E299" s="557"/>
      <c r="F299" s="557"/>
    </row>
    <row r="300" spans="3:6" ht="12.75" customHeight="1" x14ac:dyDescent="0.2">
      <c r="C300" s="557"/>
      <c r="D300" s="557"/>
      <c r="E300" s="557"/>
      <c r="F300" s="557"/>
    </row>
    <row r="301" spans="3:6" ht="12.75" customHeight="1" x14ac:dyDescent="0.2">
      <c r="C301" s="557"/>
      <c r="D301" s="557"/>
      <c r="E301" s="557"/>
      <c r="F301" s="557"/>
    </row>
    <row r="302" spans="3:6" ht="12.75" customHeight="1" x14ac:dyDescent="0.2">
      <c r="C302" s="557"/>
      <c r="D302" s="557"/>
      <c r="E302" s="557"/>
      <c r="F302" s="557"/>
    </row>
    <row r="303" spans="3:6" ht="12.75" customHeight="1" x14ac:dyDescent="0.2">
      <c r="C303" s="557"/>
      <c r="D303" s="557"/>
      <c r="E303" s="557"/>
      <c r="F303" s="557"/>
    </row>
    <row r="304" spans="3:6" ht="12.75" customHeight="1" x14ac:dyDescent="0.2">
      <c r="C304" s="557"/>
      <c r="D304" s="557"/>
      <c r="E304" s="557"/>
      <c r="F304" s="557"/>
    </row>
    <row r="305" spans="3:6" ht="12.75" customHeight="1" x14ac:dyDescent="0.2">
      <c r="C305" s="557"/>
      <c r="D305" s="557"/>
      <c r="E305" s="557"/>
      <c r="F305" s="557"/>
    </row>
    <row r="306" spans="3:6" ht="12.75" customHeight="1" x14ac:dyDescent="0.2">
      <c r="C306" s="557"/>
      <c r="D306" s="557"/>
      <c r="E306" s="557"/>
      <c r="F306" s="557"/>
    </row>
  </sheetData>
  <mergeCells count="5">
    <mergeCell ref="A5:F5"/>
    <mergeCell ref="A1:F1"/>
    <mergeCell ref="A2:F2"/>
    <mergeCell ref="A3:F3"/>
    <mergeCell ref="A4:F4"/>
  </mergeCells>
  <phoneticPr fontId="3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workbookViewId="0">
      <selection activeCell="C22" sqref="C22"/>
    </sheetView>
  </sheetViews>
  <sheetFormatPr defaultColWidth="10.6640625" defaultRowHeight="10.5" x14ac:dyDescent="0.15"/>
  <cols>
    <col min="1" max="1" width="5.83203125" style="45" bestFit="1" customWidth="1"/>
    <col min="2" max="2" width="2.83203125" style="45" customWidth="1"/>
    <col min="3" max="3" width="63.33203125" style="45" bestFit="1" customWidth="1"/>
    <col min="4" max="4" width="6.1640625" style="45" hidden="1" customWidth="1"/>
    <col min="5" max="5" width="32.1640625" style="45" bestFit="1" customWidth="1"/>
    <col min="6" max="6" width="19.5" style="45" customWidth="1"/>
    <col min="7" max="16384" width="10.6640625" style="45"/>
  </cols>
  <sheetData>
    <row r="1" spans="1:6" ht="12.75" customHeight="1" x14ac:dyDescent="0.2">
      <c r="A1" s="1449" t="s">
        <v>477</v>
      </c>
      <c r="B1" s="1449"/>
      <c r="C1" s="1449"/>
      <c r="D1" s="1449"/>
      <c r="E1" s="1449"/>
      <c r="F1" s="1449"/>
    </row>
    <row r="2" spans="1:6" ht="12.75" customHeight="1" x14ac:dyDescent="0.2">
      <c r="A2" s="1448" t="str">
        <f>+Input!C4</f>
        <v>CASE NO. 2017-xxxxx</v>
      </c>
      <c r="B2" s="1448"/>
      <c r="C2" s="1448"/>
      <c r="D2" s="1448"/>
      <c r="E2" s="1448"/>
      <c r="F2" s="1448"/>
    </row>
    <row r="3" spans="1:6" ht="12.75" customHeight="1" x14ac:dyDescent="0.2">
      <c r="A3" s="1449" t="s">
        <v>1500</v>
      </c>
      <c r="B3" s="1449"/>
      <c r="C3" s="1449"/>
      <c r="D3" s="1449"/>
      <c r="E3" s="1449"/>
      <c r="F3" s="1449"/>
    </row>
    <row r="4" spans="1:6" ht="12.75" customHeight="1" x14ac:dyDescent="0.2">
      <c r="A4" s="1450" t="s">
        <v>1714</v>
      </c>
      <c r="B4" s="1450"/>
      <c r="C4" s="1450"/>
      <c r="D4" s="1450"/>
      <c r="E4" s="1450"/>
      <c r="F4" s="1450"/>
    </row>
    <row r="5" spans="1:6" ht="12.75" customHeight="1" x14ac:dyDescent="0.2">
      <c r="A5" s="1448" t="str">
        <f>+Input!C6</f>
        <v>TWELVE MONTHS ENDED DECEMBER 31, 2017</v>
      </c>
      <c r="B5" s="1448"/>
      <c r="C5" s="1448"/>
      <c r="D5" s="1448"/>
      <c r="E5" s="1448"/>
      <c r="F5" s="1448"/>
    </row>
    <row r="6" spans="1:6" ht="12.75" customHeight="1" x14ac:dyDescent="0.2">
      <c r="A6" s="563"/>
      <c r="B6" s="563"/>
      <c r="C6" s="563"/>
      <c r="D6" s="563"/>
      <c r="E6" s="563"/>
      <c r="F6" s="563"/>
    </row>
    <row r="7" spans="1:6" ht="12.75" customHeight="1" x14ac:dyDescent="0.2">
      <c r="A7" s="563"/>
      <c r="B7" s="563"/>
      <c r="C7" s="563"/>
      <c r="D7" s="563"/>
      <c r="E7" s="563"/>
      <c r="F7" s="563"/>
    </row>
    <row r="8" spans="1:6" ht="12.75" customHeight="1" x14ac:dyDescent="0.2">
      <c r="A8" s="564" t="s">
        <v>839</v>
      </c>
      <c r="B8" s="563"/>
      <c r="C8" s="563"/>
      <c r="D8" s="563"/>
      <c r="E8" s="563"/>
      <c r="F8" s="566" t="s">
        <v>1590</v>
      </c>
    </row>
    <row r="9" spans="1:6" ht="12.75" customHeight="1" x14ac:dyDescent="0.2">
      <c r="A9" s="564" t="s">
        <v>490</v>
      </c>
      <c r="B9" s="563"/>
      <c r="C9" s="563"/>
      <c r="D9" s="563"/>
      <c r="E9" s="563"/>
      <c r="F9" s="566" t="s">
        <v>997</v>
      </c>
    </row>
    <row r="10" spans="1:6" ht="12.75" customHeight="1" x14ac:dyDescent="0.2">
      <c r="A10" s="567" t="s">
        <v>1727</v>
      </c>
      <c r="B10" s="568"/>
      <c r="C10" s="568"/>
      <c r="D10" s="568"/>
      <c r="E10" s="568"/>
      <c r="F10" s="569" t="str">
        <f>+Input!E27</f>
        <v>WITNESS:  C. Y. LAI</v>
      </c>
    </row>
    <row r="11" spans="1:6" ht="12.75" customHeight="1" x14ac:dyDescent="0.2">
      <c r="A11" s="563"/>
      <c r="B11" s="563"/>
      <c r="C11" s="563"/>
      <c r="D11" s="563"/>
      <c r="E11" s="563"/>
      <c r="F11" s="563"/>
    </row>
    <row r="12" spans="1:6" ht="12.75" customHeight="1" x14ac:dyDescent="0.2">
      <c r="A12" s="92" t="s">
        <v>493</v>
      </c>
      <c r="B12" s="563"/>
      <c r="C12" s="563" t="s">
        <v>1505</v>
      </c>
      <c r="D12" s="563"/>
      <c r="E12" s="563"/>
      <c r="F12" s="570" t="s">
        <v>1248</v>
      </c>
    </row>
    <row r="13" spans="1:6" ht="12.75" customHeight="1" x14ac:dyDescent="0.2">
      <c r="A13" s="125" t="s">
        <v>496</v>
      </c>
      <c r="B13" s="568"/>
      <c r="C13" s="568"/>
      <c r="D13" s="568"/>
      <c r="E13" s="568"/>
      <c r="F13" s="568"/>
    </row>
    <row r="14" spans="1:6" ht="12.75" customHeight="1" x14ac:dyDescent="0.2">
      <c r="A14" s="563"/>
      <c r="B14" s="563"/>
      <c r="C14" s="563"/>
      <c r="D14" s="563"/>
      <c r="E14" s="563"/>
      <c r="F14" s="570" t="s">
        <v>500</v>
      </c>
    </row>
    <row r="15" spans="1:6" ht="12.75" customHeight="1" x14ac:dyDescent="0.2">
      <c r="A15" s="563"/>
      <c r="B15" s="563"/>
      <c r="C15" s="563"/>
      <c r="D15" s="563"/>
      <c r="E15" s="563"/>
      <c r="F15" s="563"/>
    </row>
    <row r="16" spans="1:6" ht="12.75" customHeight="1" x14ac:dyDescent="0.2">
      <c r="A16" s="563"/>
      <c r="B16" s="563"/>
      <c r="C16" s="563" t="s">
        <v>260</v>
      </c>
      <c r="D16" s="563"/>
      <c r="E16" s="563"/>
      <c r="F16" s="563"/>
    </row>
    <row r="17" spans="1:6" ht="12.75" customHeight="1" x14ac:dyDescent="0.2">
      <c r="A17" s="563"/>
      <c r="B17" s="563"/>
      <c r="C17" s="563" t="s">
        <v>1323</v>
      </c>
      <c r="D17" s="563"/>
      <c r="E17" s="563"/>
      <c r="F17" s="563"/>
    </row>
    <row r="18" spans="1:6" ht="12.75" customHeight="1" x14ac:dyDescent="0.2">
      <c r="A18" s="563"/>
      <c r="B18" s="563"/>
      <c r="C18" s="563" t="s">
        <v>790</v>
      </c>
      <c r="D18" s="563"/>
      <c r="E18" s="563"/>
      <c r="F18" s="563"/>
    </row>
    <row r="19" spans="1:6" ht="12.75" customHeight="1" x14ac:dyDescent="0.2">
      <c r="A19" s="563"/>
      <c r="B19" s="563"/>
      <c r="C19" s="563"/>
      <c r="D19" s="563"/>
      <c r="E19" s="563"/>
      <c r="F19" s="563"/>
    </row>
    <row r="20" spans="1:6" ht="12.75" customHeight="1" x14ac:dyDescent="0.2">
      <c r="A20" s="570">
        <v>1</v>
      </c>
      <c r="B20" s="563"/>
      <c r="C20" s="563" t="s">
        <v>272</v>
      </c>
      <c r="D20" s="563"/>
      <c r="E20" s="570" t="s">
        <v>263</v>
      </c>
      <c r="F20" s="747">
        <f>+'Dep Accur Rates &amp; Acc Bal B-3.2'!K78</f>
        <v>7924661.4100000011</v>
      </c>
    </row>
    <row r="21" spans="1:6" ht="12.75" customHeight="1" x14ac:dyDescent="0.2">
      <c r="A21" s="570"/>
      <c r="B21" s="563"/>
      <c r="C21" s="563"/>
      <c r="D21" s="563"/>
      <c r="E21" s="570"/>
      <c r="F21" s="747"/>
    </row>
    <row r="22" spans="1:6" ht="12.75" customHeight="1" x14ac:dyDescent="0.2">
      <c r="A22" s="570">
        <f>1+A20</f>
        <v>2</v>
      </c>
      <c r="B22" s="563"/>
      <c r="C22" s="563" t="s">
        <v>275</v>
      </c>
      <c r="D22" s="563"/>
      <c r="E22" s="570" t="s">
        <v>755</v>
      </c>
      <c r="F22" s="762">
        <f>+'Depr Exp Adj D-2.6 p2'!K62</f>
        <v>29477</v>
      </c>
    </row>
    <row r="23" spans="1:6" ht="12.75" customHeight="1" x14ac:dyDescent="0.2">
      <c r="A23" s="570"/>
      <c r="B23" s="563"/>
      <c r="C23" s="563"/>
      <c r="D23" s="563"/>
      <c r="E23" s="570"/>
      <c r="F23" s="747"/>
    </row>
    <row r="24" spans="1:6" ht="12.75" customHeight="1" x14ac:dyDescent="0.2">
      <c r="A24" s="570">
        <f>1+A22</f>
        <v>3</v>
      </c>
      <c r="B24" s="563"/>
      <c r="C24" s="563" t="s">
        <v>273</v>
      </c>
      <c r="D24" s="563"/>
      <c r="E24" s="570" t="s">
        <v>274</v>
      </c>
      <c r="F24" s="748">
        <f>+'Attachment CYL - 1'!F18</f>
        <v>11977458.99</v>
      </c>
    </row>
    <row r="25" spans="1:6" ht="12.75" customHeight="1" x14ac:dyDescent="0.2">
      <c r="A25" s="570"/>
      <c r="B25" s="563"/>
      <c r="C25" s="563"/>
      <c r="D25" s="563"/>
      <c r="E25" s="570"/>
      <c r="F25" s="762"/>
    </row>
    <row r="26" spans="1:6" ht="12.75" customHeight="1" x14ac:dyDescent="0.2">
      <c r="A26" s="570">
        <f>1+A24</f>
        <v>4</v>
      </c>
      <c r="B26" s="563"/>
      <c r="C26" s="563" t="s">
        <v>1728</v>
      </c>
      <c r="D26" s="563"/>
      <c r="E26" s="563"/>
      <c r="F26" s="747">
        <f>+F20+F22-F24</f>
        <v>-4023320.5799999991</v>
      </c>
    </row>
    <row r="27" spans="1:6" ht="12.75" customHeight="1" x14ac:dyDescent="0.2">
      <c r="A27" s="570"/>
      <c r="B27" s="563"/>
      <c r="C27" s="563"/>
      <c r="D27" s="563"/>
      <c r="E27" s="563"/>
      <c r="F27" s="747"/>
    </row>
    <row r="28" spans="1:6" ht="12.75" customHeight="1" x14ac:dyDescent="0.2">
      <c r="A28" s="570">
        <f>1+A26</f>
        <v>5</v>
      </c>
      <c r="B28" s="563"/>
      <c r="C28" s="563" t="s">
        <v>1574</v>
      </c>
      <c r="D28" s="563"/>
      <c r="E28" s="563"/>
      <c r="F28" s="571">
        <v>1</v>
      </c>
    </row>
    <row r="29" spans="1:6" ht="12.75" customHeight="1" x14ac:dyDescent="0.2">
      <c r="A29" s="570"/>
      <c r="B29" s="563"/>
      <c r="C29" s="563"/>
      <c r="D29" s="563"/>
      <c r="E29" s="563"/>
      <c r="F29" s="563"/>
    </row>
    <row r="30" spans="1:6" ht="12.75" customHeight="1" x14ac:dyDescent="0.2">
      <c r="A30" s="570">
        <f>1+A28</f>
        <v>6</v>
      </c>
      <c r="B30" s="563"/>
      <c r="C30" s="563" t="s">
        <v>1575</v>
      </c>
      <c r="D30" s="563"/>
      <c r="E30" s="526" t="s">
        <v>418</v>
      </c>
      <c r="F30" s="747">
        <f>ROUND(F26*F28,0)</f>
        <v>-4023321</v>
      </c>
    </row>
    <row r="31" spans="1:6" ht="12.75" customHeight="1" x14ac:dyDescent="0.2">
      <c r="A31" s="570"/>
      <c r="B31" s="563"/>
      <c r="C31" s="563"/>
      <c r="D31" s="563"/>
      <c r="E31" s="563"/>
      <c r="F31" s="563"/>
    </row>
    <row r="32" spans="1:6" ht="12.75" customHeight="1" x14ac:dyDescent="0.2">
      <c r="A32" s="789"/>
      <c r="C32" s="565"/>
      <c r="D32" s="565"/>
      <c r="E32" s="565"/>
      <c r="F32" s="565"/>
    </row>
    <row r="33" spans="1:6" ht="12.75" customHeight="1" x14ac:dyDescent="0.2">
      <c r="A33" s="789"/>
      <c r="C33" s="565"/>
      <c r="D33" s="565"/>
      <c r="E33" s="565"/>
      <c r="F33" s="565"/>
    </row>
    <row r="34" spans="1:6" ht="12.75" customHeight="1" x14ac:dyDescent="0.2">
      <c r="A34" s="789"/>
      <c r="C34" s="565"/>
      <c r="D34" s="565"/>
      <c r="E34" s="565"/>
      <c r="F34" s="565"/>
    </row>
    <row r="35" spans="1:6" ht="12.75" customHeight="1" x14ac:dyDescent="0.2">
      <c r="A35" s="789"/>
      <c r="C35" s="565"/>
      <c r="D35" s="565"/>
      <c r="E35" s="565"/>
      <c r="F35" s="565"/>
    </row>
    <row r="36" spans="1:6" ht="12.75" customHeight="1" x14ac:dyDescent="0.2">
      <c r="A36" s="789"/>
      <c r="C36" s="565"/>
      <c r="D36" s="565"/>
      <c r="E36" s="565"/>
      <c r="F36" s="565"/>
    </row>
    <row r="37" spans="1:6" ht="12.75" customHeight="1" x14ac:dyDescent="0.2">
      <c r="A37" s="789"/>
      <c r="C37" s="565"/>
      <c r="D37" s="565"/>
      <c r="E37" s="565"/>
      <c r="F37" s="565"/>
    </row>
    <row r="38" spans="1:6" ht="12.75" customHeight="1" x14ac:dyDescent="0.2">
      <c r="A38" s="789"/>
      <c r="C38" s="565"/>
      <c r="D38" s="565"/>
      <c r="E38" s="565"/>
      <c r="F38" s="565"/>
    </row>
    <row r="39" spans="1:6" ht="12.75" customHeight="1" x14ac:dyDescent="0.2">
      <c r="A39" s="789"/>
      <c r="C39" s="565"/>
      <c r="D39" s="565"/>
      <c r="E39" s="565"/>
      <c r="F39" s="565"/>
    </row>
    <row r="40" spans="1:6" ht="12.75" customHeight="1" x14ac:dyDescent="0.2">
      <c r="A40" s="789"/>
      <c r="C40" s="565"/>
      <c r="D40" s="565"/>
      <c r="E40" s="565"/>
      <c r="F40" s="565"/>
    </row>
    <row r="41" spans="1:6" ht="12.75" customHeight="1" x14ac:dyDescent="0.2">
      <c r="A41" s="789"/>
      <c r="C41" s="565"/>
      <c r="D41" s="565"/>
      <c r="E41" s="565"/>
      <c r="F41" s="565"/>
    </row>
    <row r="42" spans="1:6" ht="12.75" customHeight="1" x14ac:dyDescent="0.2">
      <c r="A42" s="789"/>
      <c r="C42" s="565"/>
      <c r="D42" s="565"/>
      <c r="E42" s="565"/>
      <c r="F42" s="565"/>
    </row>
    <row r="43" spans="1:6" ht="12.75" customHeight="1" x14ac:dyDescent="0.2">
      <c r="A43" s="789"/>
      <c r="C43" s="565"/>
      <c r="D43" s="565"/>
      <c r="E43" s="565"/>
      <c r="F43" s="565"/>
    </row>
    <row r="44" spans="1:6" ht="12.75" customHeight="1" x14ac:dyDescent="0.2">
      <c r="A44" s="789"/>
      <c r="C44" s="565"/>
      <c r="D44" s="565"/>
      <c r="E44" s="565"/>
      <c r="F44" s="565"/>
    </row>
    <row r="45" spans="1:6" ht="12.75" customHeight="1" x14ac:dyDescent="0.2">
      <c r="A45" s="789"/>
      <c r="C45" s="565"/>
      <c r="D45" s="565"/>
      <c r="E45" s="565"/>
      <c r="F45" s="565"/>
    </row>
    <row r="46" spans="1:6" ht="12.75" customHeight="1" x14ac:dyDescent="0.2">
      <c r="A46" s="789"/>
      <c r="C46" s="565"/>
      <c r="D46" s="565"/>
      <c r="E46" s="565"/>
      <c r="F46" s="565"/>
    </row>
    <row r="47" spans="1:6" ht="12.75" customHeight="1" x14ac:dyDescent="0.2">
      <c r="A47" s="789"/>
      <c r="C47" s="565"/>
      <c r="D47" s="565"/>
      <c r="E47" s="565"/>
      <c r="F47" s="565"/>
    </row>
    <row r="48" spans="1:6" ht="12.75" customHeight="1" x14ac:dyDescent="0.2">
      <c r="A48" s="789"/>
      <c r="C48" s="565"/>
      <c r="D48" s="565"/>
      <c r="E48" s="565"/>
      <c r="F48" s="565"/>
    </row>
    <row r="49" spans="1:6" ht="12.75" customHeight="1" x14ac:dyDescent="0.2">
      <c r="A49" s="789"/>
      <c r="C49" s="565"/>
      <c r="D49" s="565"/>
      <c r="E49" s="565"/>
      <c r="F49" s="565"/>
    </row>
    <row r="50" spans="1:6" ht="12.75" customHeight="1" x14ac:dyDescent="0.2">
      <c r="A50" s="789"/>
      <c r="C50" s="565"/>
      <c r="D50" s="565"/>
      <c r="E50" s="565"/>
      <c r="F50" s="565"/>
    </row>
    <row r="51" spans="1:6" ht="12.75" customHeight="1" x14ac:dyDescent="0.2">
      <c r="A51" s="789"/>
      <c r="C51" s="565"/>
      <c r="D51" s="565"/>
      <c r="E51" s="565"/>
      <c r="F51" s="565"/>
    </row>
    <row r="52" spans="1:6" ht="12.75" customHeight="1" x14ac:dyDescent="0.2">
      <c r="A52" s="789"/>
      <c r="C52" s="565"/>
      <c r="D52" s="565"/>
      <c r="E52" s="565"/>
      <c r="F52" s="565"/>
    </row>
    <row r="53" spans="1:6" ht="12.75" customHeight="1" x14ac:dyDescent="0.2">
      <c r="A53" s="789"/>
      <c r="C53" s="565"/>
      <c r="D53" s="565"/>
      <c r="E53" s="565"/>
      <c r="F53" s="565"/>
    </row>
    <row r="54" spans="1:6" ht="12.75" customHeight="1" x14ac:dyDescent="0.2">
      <c r="A54" s="789"/>
      <c r="C54" s="565"/>
      <c r="D54" s="565"/>
      <c r="E54" s="565"/>
      <c r="F54" s="565"/>
    </row>
    <row r="55" spans="1:6" ht="12.75" customHeight="1" x14ac:dyDescent="0.2">
      <c r="A55" s="789"/>
      <c r="C55" s="565"/>
      <c r="D55" s="565"/>
      <c r="E55" s="565"/>
      <c r="F55" s="565"/>
    </row>
    <row r="56" spans="1:6" ht="12.75" customHeight="1" x14ac:dyDescent="0.2">
      <c r="A56" s="789"/>
      <c r="C56" s="565"/>
      <c r="D56" s="565"/>
      <c r="E56" s="565"/>
      <c r="F56" s="565"/>
    </row>
    <row r="57" spans="1:6" ht="12.75" customHeight="1" x14ac:dyDescent="0.2">
      <c r="A57" s="789"/>
      <c r="C57" s="565"/>
      <c r="D57" s="565"/>
      <c r="E57" s="565"/>
      <c r="F57" s="565"/>
    </row>
    <row r="58" spans="1:6" ht="12.75" customHeight="1" x14ac:dyDescent="0.2">
      <c r="A58" s="789"/>
      <c r="C58" s="565"/>
      <c r="D58" s="565"/>
      <c r="E58" s="565"/>
      <c r="F58" s="565"/>
    </row>
    <row r="59" spans="1:6" ht="12.75" customHeight="1" x14ac:dyDescent="0.2">
      <c r="A59" s="789"/>
      <c r="C59" s="565"/>
      <c r="D59" s="565"/>
      <c r="E59" s="565"/>
      <c r="F59" s="565"/>
    </row>
    <row r="60" spans="1:6" ht="12.75" customHeight="1" x14ac:dyDescent="0.2">
      <c r="A60" s="789"/>
      <c r="C60" s="565"/>
      <c r="D60" s="565"/>
      <c r="E60" s="565"/>
      <c r="F60" s="565"/>
    </row>
    <row r="61" spans="1:6" ht="12.75" customHeight="1" x14ac:dyDescent="0.2">
      <c r="A61" s="789"/>
      <c r="C61" s="565"/>
      <c r="D61" s="565"/>
      <c r="E61" s="565"/>
      <c r="F61" s="565"/>
    </row>
    <row r="62" spans="1:6" ht="12.75" customHeight="1" x14ac:dyDescent="0.2">
      <c r="A62" s="789"/>
      <c r="C62" s="565"/>
      <c r="D62" s="565"/>
      <c r="E62" s="565"/>
      <c r="F62" s="565"/>
    </row>
    <row r="63" spans="1:6" ht="12.75" customHeight="1" x14ac:dyDescent="0.2">
      <c r="A63" s="789"/>
      <c r="C63" s="565"/>
      <c r="D63" s="565"/>
      <c r="E63" s="565"/>
      <c r="F63" s="565"/>
    </row>
    <row r="64" spans="1:6" ht="12.75" customHeight="1" x14ac:dyDescent="0.2">
      <c r="A64" s="789"/>
      <c r="C64" s="565"/>
      <c r="D64" s="565"/>
      <c r="E64" s="565"/>
      <c r="F64" s="565"/>
    </row>
    <row r="65" spans="1:6" ht="12.75" customHeight="1" x14ac:dyDescent="0.2">
      <c r="A65" s="789"/>
      <c r="C65" s="565"/>
      <c r="D65" s="565"/>
      <c r="E65" s="565"/>
      <c r="F65" s="565"/>
    </row>
    <row r="66" spans="1:6" ht="12.75" customHeight="1" x14ac:dyDescent="0.2">
      <c r="A66" s="789"/>
      <c r="C66" s="565"/>
      <c r="D66" s="565"/>
      <c r="E66" s="565"/>
      <c r="F66" s="565"/>
    </row>
    <row r="67" spans="1:6" ht="12.75" customHeight="1" x14ac:dyDescent="0.2">
      <c r="A67" s="789"/>
      <c r="C67" s="565"/>
      <c r="D67" s="565"/>
      <c r="E67" s="565"/>
      <c r="F67" s="565"/>
    </row>
    <row r="68" spans="1:6" ht="12.75" customHeight="1" x14ac:dyDescent="0.2">
      <c r="A68" s="789"/>
      <c r="C68" s="565"/>
      <c r="D68" s="565"/>
      <c r="E68" s="565"/>
      <c r="F68" s="565"/>
    </row>
    <row r="69" spans="1:6" ht="12.75" customHeight="1" x14ac:dyDescent="0.2">
      <c r="A69" s="789"/>
      <c r="C69" s="565"/>
      <c r="D69" s="565"/>
      <c r="E69" s="565"/>
      <c r="F69" s="565"/>
    </row>
    <row r="70" spans="1:6" ht="12.75" customHeight="1" x14ac:dyDescent="0.2">
      <c r="A70" s="789"/>
      <c r="C70" s="565"/>
      <c r="D70" s="565"/>
      <c r="E70" s="565"/>
      <c r="F70" s="565"/>
    </row>
    <row r="71" spans="1:6" ht="12.75" customHeight="1" x14ac:dyDescent="0.2">
      <c r="A71" s="789"/>
      <c r="C71" s="565"/>
      <c r="D71" s="565"/>
      <c r="E71" s="565"/>
      <c r="F71" s="565"/>
    </row>
    <row r="72" spans="1:6" ht="12.75" customHeight="1" x14ac:dyDescent="0.2">
      <c r="A72" s="789"/>
      <c r="C72" s="565"/>
      <c r="D72" s="565"/>
      <c r="E72" s="565"/>
      <c r="F72" s="565"/>
    </row>
    <row r="73" spans="1:6" ht="12.75" customHeight="1" x14ac:dyDescent="0.2">
      <c r="A73" s="789"/>
      <c r="C73" s="565"/>
      <c r="D73" s="565"/>
      <c r="E73" s="565"/>
      <c r="F73" s="565"/>
    </row>
    <row r="74" spans="1:6" ht="12.75" customHeight="1" x14ac:dyDescent="0.2">
      <c r="A74" s="789"/>
      <c r="C74" s="565"/>
      <c r="D74" s="565"/>
      <c r="E74" s="565"/>
      <c r="F74" s="565"/>
    </row>
    <row r="75" spans="1:6" ht="12.75" customHeight="1" x14ac:dyDescent="0.2">
      <c r="A75" s="789"/>
      <c r="C75" s="565"/>
      <c r="D75" s="565"/>
      <c r="E75" s="565"/>
      <c r="F75" s="565"/>
    </row>
    <row r="76" spans="1:6" ht="12.75" customHeight="1" x14ac:dyDescent="0.2">
      <c r="A76" s="789"/>
      <c r="C76" s="565"/>
      <c r="D76" s="565"/>
      <c r="E76" s="565"/>
      <c r="F76" s="565"/>
    </row>
    <row r="77" spans="1:6" ht="12.75" customHeight="1" x14ac:dyDescent="0.2">
      <c r="A77" s="789"/>
      <c r="C77" s="565"/>
      <c r="D77" s="565"/>
      <c r="E77" s="565"/>
      <c r="F77" s="565"/>
    </row>
    <row r="78" spans="1:6" ht="12.75" customHeight="1" x14ac:dyDescent="0.2">
      <c r="A78" s="789"/>
      <c r="C78" s="565"/>
      <c r="D78" s="565"/>
      <c r="E78" s="565"/>
      <c r="F78" s="565"/>
    </row>
    <row r="79" spans="1:6" ht="12.75" customHeight="1" x14ac:dyDescent="0.2">
      <c r="A79" s="789"/>
      <c r="C79" s="565"/>
      <c r="D79" s="565"/>
      <c r="E79" s="565"/>
      <c r="F79" s="565"/>
    </row>
    <row r="80" spans="1:6" ht="12.75" customHeight="1" x14ac:dyDescent="0.2">
      <c r="A80" s="789"/>
      <c r="C80" s="565"/>
      <c r="D80" s="565"/>
      <c r="E80" s="565"/>
      <c r="F80" s="565"/>
    </row>
    <row r="81" spans="1:6" ht="12.75" customHeight="1" x14ac:dyDescent="0.2">
      <c r="A81" s="789"/>
      <c r="C81" s="565"/>
      <c r="D81" s="565"/>
      <c r="E81" s="565"/>
      <c r="F81" s="565"/>
    </row>
    <row r="82" spans="1:6" ht="12.75" customHeight="1" x14ac:dyDescent="0.2">
      <c r="A82" s="789"/>
      <c r="C82" s="565"/>
      <c r="D82" s="565"/>
      <c r="E82" s="565"/>
      <c r="F82" s="565"/>
    </row>
    <row r="83" spans="1:6" ht="12.75" customHeight="1" x14ac:dyDescent="0.2">
      <c r="A83" s="789"/>
      <c r="C83" s="565"/>
      <c r="D83" s="565"/>
      <c r="E83" s="565"/>
      <c r="F83" s="565"/>
    </row>
    <row r="84" spans="1:6" ht="12.75" customHeight="1" x14ac:dyDescent="0.2">
      <c r="A84" s="789"/>
      <c r="C84" s="565"/>
      <c r="D84" s="565"/>
      <c r="E84" s="565"/>
      <c r="F84" s="565"/>
    </row>
    <row r="85" spans="1:6" ht="12.75" customHeight="1" x14ac:dyDescent="0.2">
      <c r="A85" s="789"/>
      <c r="C85" s="565"/>
      <c r="D85" s="565"/>
      <c r="E85" s="565"/>
      <c r="F85" s="565"/>
    </row>
    <row r="86" spans="1:6" ht="12.75" customHeight="1" x14ac:dyDescent="0.2">
      <c r="A86" s="789"/>
      <c r="C86" s="565"/>
      <c r="D86" s="565"/>
      <c r="E86" s="565"/>
      <c r="F86" s="565"/>
    </row>
    <row r="87" spans="1:6" ht="12.75" customHeight="1" x14ac:dyDescent="0.2">
      <c r="A87" s="789"/>
      <c r="C87" s="565"/>
      <c r="D87" s="565"/>
      <c r="E87" s="565"/>
      <c r="F87" s="565"/>
    </row>
    <row r="88" spans="1:6" ht="12.75" customHeight="1" x14ac:dyDescent="0.2">
      <c r="A88" s="789"/>
      <c r="C88" s="565"/>
      <c r="D88" s="565"/>
      <c r="E88" s="565"/>
      <c r="F88" s="565"/>
    </row>
    <row r="89" spans="1:6" ht="12.75" customHeight="1" x14ac:dyDescent="0.2">
      <c r="C89" s="565"/>
      <c r="D89" s="565"/>
      <c r="E89" s="565"/>
      <c r="F89" s="565"/>
    </row>
    <row r="90" spans="1:6" ht="12.75" customHeight="1" x14ac:dyDescent="0.2">
      <c r="C90" s="565"/>
      <c r="D90" s="565"/>
      <c r="E90" s="565"/>
      <c r="F90" s="565"/>
    </row>
    <row r="91" spans="1:6" ht="12.75" customHeight="1" x14ac:dyDescent="0.2">
      <c r="C91" s="565"/>
      <c r="D91" s="565"/>
      <c r="E91" s="565"/>
      <c r="F91" s="565"/>
    </row>
    <row r="92" spans="1:6" ht="12.75" customHeight="1" x14ac:dyDescent="0.2">
      <c r="C92" s="565"/>
      <c r="D92" s="565"/>
      <c r="E92" s="565"/>
      <c r="F92" s="565"/>
    </row>
    <row r="93" spans="1:6" ht="12.75" customHeight="1" x14ac:dyDescent="0.2">
      <c r="C93" s="565"/>
      <c r="D93" s="565"/>
      <c r="E93" s="565"/>
      <c r="F93" s="565"/>
    </row>
    <row r="94" spans="1:6" ht="12.75" customHeight="1" x14ac:dyDescent="0.2">
      <c r="C94" s="565"/>
      <c r="D94" s="565"/>
      <c r="E94" s="565"/>
      <c r="F94" s="565"/>
    </row>
    <row r="95" spans="1:6" ht="12.75" customHeight="1" x14ac:dyDescent="0.2">
      <c r="C95" s="565"/>
      <c r="D95" s="565"/>
      <c r="E95" s="565"/>
      <c r="F95" s="565"/>
    </row>
    <row r="96" spans="1:6" ht="12.75" customHeight="1" x14ac:dyDescent="0.2">
      <c r="C96" s="565"/>
      <c r="D96" s="565"/>
      <c r="E96" s="565"/>
      <c r="F96" s="565"/>
    </row>
    <row r="97" spans="3:6" ht="12.75" customHeight="1" x14ac:dyDescent="0.2">
      <c r="C97" s="565"/>
      <c r="D97" s="565"/>
      <c r="E97" s="565"/>
      <c r="F97" s="565"/>
    </row>
    <row r="98" spans="3:6" ht="12.75" customHeight="1" x14ac:dyDescent="0.2">
      <c r="C98" s="565"/>
      <c r="D98" s="565"/>
      <c r="E98" s="565"/>
      <c r="F98" s="565"/>
    </row>
    <row r="99" spans="3:6" ht="12.75" customHeight="1" x14ac:dyDescent="0.2">
      <c r="C99" s="565"/>
      <c r="D99" s="565"/>
      <c r="E99" s="565"/>
      <c r="F99" s="565"/>
    </row>
    <row r="100" spans="3:6" ht="12.75" customHeight="1" x14ac:dyDescent="0.2">
      <c r="C100" s="565"/>
      <c r="D100" s="565"/>
      <c r="E100" s="565"/>
      <c r="F100" s="565"/>
    </row>
    <row r="101" spans="3:6" ht="12.75" customHeight="1" x14ac:dyDescent="0.2">
      <c r="C101" s="565"/>
      <c r="D101" s="565"/>
      <c r="E101" s="565"/>
      <c r="F101" s="565"/>
    </row>
    <row r="102" spans="3:6" ht="12.75" customHeight="1" x14ac:dyDescent="0.2">
      <c r="C102" s="565"/>
      <c r="D102" s="565"/>
      <c r="E102" s="565"/>
      <c r="F102" s="565"/>
    </row>
    <row r="103" spans="3:6" ht="12.75" customHeight="1" x14ac:dyDescent="0.2">
      <c r="C103" s="565"/>
      <c r="D103" s="565"/>
      <c r="E103" s="565"/>
      <c r="F103" s="565"/>
    </row>
    <row r="104" spans="3:6" ht="12.75" customHeight="1" x14ac:dyDescent="0.2">
      <c r="C104" s="565"/>
      <c r="D104" s="565"/>
      <c r="E104" s="565"/>
      <c r="F104" s="565"/>
    </row>
    <row r="105" spans="3:6" ht="12.75" customHeight="1" x14ac:dyDescent="0.2">
      <c r="C105" s="565"/>
      <c r="D105" s="565"/>
      <c r="E105" s="565"/>
      <c r="F105" s="565"/>
    </row>
    <row r="106" spans="3:6" ht="12.75" customHeight="1" x14ac:dyDescent="0.2">
      <c r="C106" s="565"/>
      <c r="D106" s="565"/>
      <c r="E106" s="565"/>
      <c r="F106" s="565"/>
    </row>
    <row r="107" spans="3:6" ht="12.75" customHeight="1" x14ac:dyDescent="0.2">
      <c r="C107" s="565"/>
      <c r="D107" s="565"/>
      <c r="E107" s="565"/>
      <c r="F107" s="565"/>
    </row>
    <row r="108" spans="3:6" ht="12.75" customHeight="1" x14ac:dyDescent="0.2">
      <c r="C108" s="565"/>
      <c r="D108" s="565"/>
      <c r="E108" s="565"/>
      <c r="F108" s="565"/>
    </row>
    <row r="109" spans="3:6" ht="12.75" customHeight="1" x14ac:dyDescent="0.2">
      <c r="C109" s="565"/>
      <c r="D109" s="565"/>
      <c r="E109" s="565"/>
      <c r="F109" s="565"/>
    </row>
    <row r="110" spans="3:6" ht="12.75" customHeight="1" x14ac:dyDescent="0.2">
      <c r="C110" s="565"/>
      <c r="D110" s="565"/>
      <c r="E110" s="565"/>
      <c r="F110" s="565"/>
    </row>
    <row r="111" spans="3:6" ht="12.75" customHeight="1" x14ac:dyDescent="0.2">
      <c r="C111" s="565"/>
      <c r="D111" s="565"/>
      <c r="E111" s="565"/>
      <c r="F111" s="565"/>
    </row>
    <row r="112" spans="3:6" ht="12.75" customHeight="1" x14ac:dyDescent="0.2">
      <c r="C112" s="565"/>
      <c r="D112" s="565"/>
      <c r="E112" s="565"/>
      <c r="F112" s="565"/>
    </row>
    <row r="113" spans="3:6" ht="12.75" customHeight="1" x14ac:dyDescent="0.2">
      <c r="C113" s="565"/>
      <c r="D113" s="565"/>
      <c r="E113" s="565"/>
      <c r="F113" s="565"/>
    </row>
    <row r="114" spans="3:6" ht="12.75" customHeight="1" x14ac:dyDescent="0.2">
      <c r="C114" s="565"/>
      <c r="D114" s="565"/>
      <c r="E114" s="565"/>
      <c r="F114" s="565"/>
    </row>
    <row r="115" spans="3:6" ht="12.75" customHeight="1" x14ac:dyDescent="0.2">
      <c r="C115" s="565"/>
      <c r="D115" s="565"/>
      <c r="E115" s="565"/>
      <c r="F115" s="565"/>
    </row>
    <row r="116" spans="3:6" ht="12.75" customHeight="1" x14ac:dyDescent="0.2">
      <c r="C116" s="565"/>
      <c r="D116" s="565"/>
      <c r="E116" s="565"/>
      <c r="F116" s="565"/>
    </row>
    <row r="117" spans="3:6" ht="12.75" customHeight="1" x14ac:dyDescent="0.2">
      <c r="C117" s="565"/>
      <c r="D117" s="565"/>
      <c r="E117" s="565"/>
      <c r="F117" s="565"/>
    </row>
    <row r="118" spans="3:6" ht="12.75" customHeight="1" x14ac:dyDescent="0.2">
      <c r="C118" s="565"/>
      <c r="D118" s="565"/>
      <c r="E118" s="565"/>
      <c r="F118" s="565"/>
    </row>
    <row r="119" spans="3:6" ht="12.75" customHeight="1" x14ac:dyDescent="0.2">
      <c r="C119" s="565"/>
      <c r="D119" s="565"/>
      <c r="E119" s="565"/>
      <c r="F119" s="565"/>
    </row>
    <row r="120" spans="3:6" ht="12.75" customHeight="1" x14ac:dyDescent="0.2">
      <c r="C120" s="565"/>
      <c r="D120" s="565"/>
      <c r="E120" s="565"/>
      <c r="F120" s="565"/>
    </row>
    <row r="121" spans="3:6" ht="12.75" customHeight="1" x14ac:dyDescent="0.2">
      <c r="C121" s="565"/>
      <c r="D121" s="565"/>
      <c r="E121" s="565"/>
      <c r="F121" s="565"/>
    </row>
    <row r="122" spans="3:6" ht="12.75" customHeight="1" x14ac:dyDescent="0.2">
      <c r="C122" s="565"/>
      <c r="D122" s="565"/>
      <c r="E122" s="565"/>
      <c r="F122" s="565"/>
    </row>
    <row r="123" spans="3:6" ht="12.75" customHeight="1" x14ac:dyDescent="0.2">
      <c r="C123" s="565"/>
      <c r="D123" s="565"/>
      <c r="E123" s="565"/>
      <c r="F123" s="565"/>
    </row>
    <row r="124" spans="3:6" ht="12.75" customHeight="1" x14ac:dyDescent="0.2">
      <c r="C124" s="565"/>
      <c r="D124" s="565"/>
      <c r="E124" s="565"/>
      <c r="F124" s="565"/>
    </row>
    <row r="125" spans="3:6" ht="12.75" customHeight="1" x14ac:dyDescent="0.2">
      <c r="C125" s="565"/>
      <c r="D125" s="565"/>
      <c r="E125" s="565"/>
      <c r="F125" s="565"/>
    </row>
    <row r="126" spans="3:6" ht="12.75" customHeight="1" x14ac:dyDescent="0.2">
      <c r="C126" s="565"/>
      <c r="D126" s="565"/>
      <c r="E126" s="565"/>
      <c r="F126" s="565"/>
    </row>
    <row r="127" spans="3:6" ht="12.75" customHeight="1" x14ac:dyDescent="0.2">
      <c r="C127" s="565"/>
      <c r="D127" s="565"/>
      <c r="E127" s="565"/>
      <c r="F127" s="565"/>
    </row>
    <row r="128" spans="3:6" ht="12.75" customHeight="1" x14ac:dyDescent="0.2">
      <c r="C128" s="565"/>
      <c r="D128" s="565"/>
      <c r="E128" s="565"/>
      <c r="F128" s="565"/>
    </row>
    <row r="129" spans="3:6" ht="12.75" customHeight="1" x14ac:dyDescent="0.2">
      <c r="C129" s="565"/>
      <c r="D129" s="565"/>
      <c r="E129" s="565"/>
      <c r="F129" s="565"/>
    </row>
    <row r="130" spans="3:6" ht="12.75" customHeight="1" x14ac:dyDescent="0.2">
      <c r="C130" s="565"/>
      <c r="D130" s="565"/>
      <c r="E130" s="565"/>
      <c r="F130" s="565"/>
    </row>
    <row r="131" spans="3:6" ht="12.75" customHeight="1" x14ac:dyDescent="0.2">
      <c r="C131" s="565"/>
      <c r="D131" s="565"/>
      <c r="E131" s="565"/>
      <c r="F131" s="565"/>
    </row>
    <row r="132" spans="3:6" ht="12.75" customHeight="1" x14ac:dyDescent="0.2">
      <c r="C132" s="565"/>
      <c r="D132" s="565"/>
      <c r="E132" s="565"/>
      <c r="F132" s="565"/>
    </row>
    <row r="133" spans="3:6" ht="12.75" customHeight="1" x14ac:dyDescent="0.2">
      <c r="C133" s="565"/>
      <c r="D133" s="565"/>
      <c r="E133" s="565"/>
      <c r="F133" s="565"/>
    </row>
    <row r="134" spans="3:6" ht="12.75" customHeight="1" x14ac:dyDescent="0.2">
      <c r="C134" s="565"/>
      <c r="D134" s="565"/>
      <c r="E134" s="565"/>
      <c r="F134" s="565"/>
    </row>
    <row r="135" spans="3:6" ht="12.75" customHeight="1" x14ac:dyDescent="0.2">
      <c r="C135" s="565"/>
      <c r="D135" s="565"/>
      <c r="E135" s="565"/>
      <c r="F135" s="565"/>
    </row>
    <row r="136" spans="3:6" ht="12.75" customHeight="1" x14ac:dyDescent="0.2">
      <c r="C136" s="565"/>
      <c r="D136" s="565"/>
      <c r="E136" s="565"/>
      <c r="F136" s="565"/>
    </row>
    <row r="137" spans="3:6" ht="12.75" customHeight="1" x14ac:dyDescent="0.2">
      <c r="C137" s="565"/>
      <c r="D137" s="565"/>
      <c r="E137" s="565"/>
      <c r="F137" s="565"/>
    </row>
    <row r="138" spans="3:6" ht="12.75" customHeight="1" x14ac:dyDescent="0.2">
      <c r="C138" s="565"/>
      <c r="D138" s="565"/>
      <c r="E138" s="565"/>
      <c r="F138" s="565"/>
    </row>
    <row r="139" spans="3:6" ht="12.75" customHeight="1" x14ac:dyDescent="0.2">
      <c r="C139" s="565"/>
      <c r="D139" s="565"/>
      <c r="E139" s="565"/>
      <c r="F139" s="565"/>
    </row>
    <row r="140" spans="3:6" ht="12.75" customHeight="1" x14ac:dyDescent="0.2">
      <c r="C140" s="565"/>
      <c r="D140" s="565"/>
      <c r="E140" s="565"/>
      <c r="F140" s="565"/>
    </row>
    <row r="141" spans="3:6" ht="12.75" customHeight="1" x14ac:dyDescent="0.2">
      <c r="C141" s="565"/>
      <c r="D141" s="565"/>
      <c r="E141" s="565"/>
      <c r="F141" s="565"/>
    </row>
    <row r="142" spans="3:6" ht="12.75" customHeight="1" x14ac:dyDescent="0.2">
      <c r="C142" s="565"/>
      <c r="D142" s="565"/>
      <c r="E142" s="565"/>
      <c r="F142" s="565"/>
    </row>
    <row r="143" spans="3:6" ht="12.75" customHeight="1" x14ac:dyDescent="0.2">
      <c r="C143" s="565"/>
      <c r="D143" s="565"/>
      <c r="E143" s="565"/>
      <c r="F143" s="565"/>
    </row>
    <row r="144" spans="3:6" ht="12.75" customHeight="1" x14ac:dyDescent="0.2">
      <c r="C144" s="565"/>
      <c r="D144" s="565"/>
      <c r="E144" s="565"/>
      <c r="F144" s="565"/>
    </row>
    <row r="145" spans="3:6" ht="12.75" customHeight="1" x14ac:dyDescent="0.2">
      <c r="C145" s="565"/>
      <c r="D145" s="565"/>
      <c r="E145" s="565"/>
      <c r="F145" s="565"/>
    </row>
    <row r="146" spans="3:6" ht="12.75" customHeight="1" x14ac:dyDescent="0.2">
      <c r="C146" s="565"/>
      <c r="D146" s="565"/>
      <c r="E146" s="565"/>
      <c r="F146" s="565"/>
    </row>
    <row r="147" spans="3:6" ht="12.75" customHeight="1" x14ac:dyDescent="0.2">
      <c r="C147" s="565"/>
      <c r="D147" s="565"/>
      <c r="E147" s="565"/>
      <c r="F147" s="565"/>
    </row>
    <row r="148" spans="3:6" ht="12.75" customHeight="1" x14ac:dyDescent="0.2">
      <c r="C148" s="565"/>
      <c r="D148" s="565"/>
      <c r="E148" s="565"/>
      <c r="F148" s="565"/>
    </row>
    <row r="149" spans="3:6" ht="12.75" customHeight="1" x14ac:dyDescent="0.2">
      <c r="C149" s="565"/>
      <c r="D149" s="565"/>
      <c r="E149" s="565"/>
      <c r="F149" s="565"/>
    </row>
    <row r="150" spans="3:6" ht="12.75" customHeight="1" x14ac:dyDescent="0.2">
      <c r="C150" s="565"/>
      <c r="D150" s="565"/>
      <c r="E150" s="565"/>
      <c r="F150" s="565"/>
    </row>
    <row r="151" spans="3:6" ht="12.75" customHeight="1" x14ac:dyDescent="0.2">
      <c r="C151" s="565"/>
      <c r="D151" s="565"/>
      <c r="E151" s="565"/>
      <c r="F151" s="565"/>
    </row>
    <row r="152" spans="3:6" ht="12.75" customHeight="1" x14ac:dyDescent="0.2">
      <c r="C152" s="565"/>
      <c r="D152" s="565"/>
      <c r="E152" s="565"/>
      <c r="F152" s="565"/>
    </row>
    <row r="153" spans="3:6" ht="12.75" customHeight="1" x14ac:dyDescent="0.2">
      <c r="C153" s="565"/>
      <c r="D153" s="565"/>
      <c r="E153" s="565"/>
      <c r="F153" s="565"/>
    </row>
    <row r="154" spans="3:6" ht="12.75" customHeight="1" x14ac:dyDescent="0.2">
      <c r="C154" s="565"/>
      <c r="D154" s="565"/>
      <c r="E154" s="565"/>
      <c r="F154" s="565"/>
    </row>
    <row r="155" spans="3:6" ht="12.75" customHeight="1" x14ac:dyDescent="0.2">
      <c r="C155" s="565"/>
      <c r="D155" s="565"/>
      <c r="E155" s="565"/>
      <c r="F155" s="565"/>
    </row>
    <row r="156" spans="3:6" ht="12.75" customHeight="1" x14ac:dyDescent="0.2">
      <c r="C156" s="565"/>
      <c r="D156" s="565"/>
      <c r="E156" s="565"/>
      <c r="F156" s="565"/>
    </row>
    <row r="157" spans="3:6" ht="12.75" customHeight="1" x14ac:dyDescent="0.2">
      <c r="C157" s="565"/>
      <c r="D157" s="565"/>
      <c r="E157" s="565"/>
      <c r="F157" s="565"/>
    </row>
    <row r="158" spans="3:6" ht="12.75" customHeight="1" x14ac:dyDescent="0.2">
      <c r="C158" s="565"/>
      <c r="D158" s="565"/>
      <c r="E158" s="565"/>
      <c r="F158" s="565"/>
    </row>
    <row r="159" spans="3:6" ht="12.75" customHeight="1" x14ac:dyDescent="0.2">
      <c r="C159" s="565"/>
      <c r="D159" s="565"/>
      <c r="E159" s="565"/>
      <c r="F159" s="565"/>
    </row>
    <row r="160" spans="3:6" ht="12.75" customHeight="1" x14ac:dyDescent="0.2">
      <c r="C160" s="565"/>
      <c r="D160" s="565"/>
      <c r="E160" s="565"/>
      <c r="F160" s="565"/>
    </row>
    <row r="161" spans="3:6" ht="12.75" customHeight="1" x14ac:dyDescent="0.2">
      <c r="C161" s="565"/>
      <c r="D161" s="565"/>
      <c r="E161" s="565"/>
      <c r="F161" s="565"/>
    </row>
    <row r="162" spans="3:6" ht="12.75" customHeight="1" x14ac:dyDescent="0.2">
      <c r="C162" s="565"/>
      <c r="D162" s="565"/>
      <c r="E162" s="565"/>
      <c r="F162" s="565"/>
    </row>
    <row r="163" spans="3:6" ht="12.75" customHeight="1" x14ac:dyDescent="0.2">
      <c r="C163" s="565"/>
      <c r="D163" s="565"/>
      <c r="E163" s="565"/>
      <c r="F163" s="565"/>
    </row>
    <row r="164" spans="3:6" ht="12.75" customHeight="1" x14ac:dyDescent="0.2">
      <c r="C164" s="565"/>
      <c r="D164" s="565"/>
      <c r="E164" s="565"/>
      <c r="F164" s="565"/>
    </row>
    <row r="165" spans="3:6" ht="12.75" customHeight="1" x14ac:dyDescent="0.2">
      <c r="C165" s="565"/>
      <c r="D165" s="565"/>
      <c r="E165" s="565"/>
      <c r="F165" s="565"/>
    </row>
    <row r="166" spans="3:6" ht="12.75" customHeight="1" x14ac:dyDescent="0.2">
      <c r="C166" s="565"/>
      <c r="D166" s="565"/>
      <c r="E166" s="565"/>
      <c r="F166" s="565"/>
    </row>
    <row r="167" spans="3:6" ht="12.75" customHeight="1" x14ac:dyDescent="0.2">
      <c r="C167" s="565"/>
      <c r="D167" s="565"/>
      <c r="E167" s="565"/>
      <c r="F167" s="565"/>
    </row>
    <row r="168" spans="3:6" ht="12.75" customHeight="1" x14ac:dyDescent="0.2">
      <c r="C168" s="565"/>
      <c r="D168" s="565"/>
      <c r="E168" s="565"/>
      <c r="F168" s="565"/>
    </row>
    <row r="169" spans="3:6" ht="12.75" customHeight="1" x14ac:dyDescent="0.2">
      <c r="C169" s="565"/>
      <c r="D169" s="565"/>
      <c r="E169" s="565"/>
      <c r="F169" s="565"/>
    </row>
    <row r="170" spans="3:6" ht="12.75" customHeight="1" x14ac:dyDescent="0.2">
      <c r="C170" s="565"/>
      <c r="D170" s="565"/>
      <c r="E170" s="565"/>
      <c r="F170" s="565"/>
    </row>
    <row r="171" spans="3:6" ht="12.75" customHeight="1" x14ac:dyDescent="0.2">
      <c r="C171" s="565"/>
      <c r="D171" s="565"/>
      <c r="E171" s="565"/>
      <c r="F171" s="565"/>
    </row>
    <row r="172" spans="3:6" ht="12.75" customHeight="1" x14ac:dyDescent="0.2">
      <c r="C172" s="565"/>
      <c r="D172" s="565"/>
      <c r="E172" s="565"/>
      <c r="F172" s="565"/>
    </row>
    <row r="173" spans="3:6" ht="12.75" customHeight="1" x14ac:dyDescent="0.2">
      <c r="C173" s="565"/>
      <c r="D173" s="565"/>
      <c r="E173" s="565"/>
      <c r="F173" s="565"/>
    </row>
    <row r="174" spans="3:6" ht="12.75" customHeight="1" x14ac:dyDescent="0.2">
      <c r="C174" s="565"/>
      <c r="D174" s="565"/>
      <c r="E174" s="565"/>
      <c r="F174" s="565"/>
    </row>
    <row r="175" spans="3:6" ht="12.75" customHeight="1" x14ac:dyDescent="0.2">
      <c r="C175" s="565"/>
      <c r="D175" s="565"/>
      <c r="E175" s="565"/>
      <c r="F175" s="565"/>
    </row>
    <row r="176" spans="3:6" ht="12.75" customHeight="1" x14ac:dyDescent="0.2">
      <c r="C176" s="565"/>
      <c r="D176" s="565"/>
      <c r="E176" s="565"/>
      <c r="F176" s="565"/>
    </row>
    <row r="177" spans="3:6" ht="12.75" customHeight="1" x14ac:dyDescent="0.2">
      <c r="C177" s="565"/>
      <c r="D177" s="565"/>
      <c r="E177" s="565"/>
      <c r="F177" s="565"/>
    </row>
    <row r="178" spans="3:6" ht="12.75" customHeight="1" x14ac:dyDescent="0.2">
      <c r="C178" s="565"/>
      <c r="D178" s="565"/>
      <c r="E178" s="565"/>
      <c r="F178" s="565"/>
    </row>
    <row r="179" spans="3:6" ht="12.75" customHeight="1" x14ac:dyDescent="0.2">
      <c r="C179" s="565"/>
      <c r="D179" s="565"/>
      <c r="E179" s="565"/>
      <c r="F179" s="565"/>
    </row>
    <row r="180" spans="3:6" ht="12.75" customHeight="1" x14ac:dyDescent="0.2">
      <c r="C180" s="565"/>
      <c r="D180" s="565"/>
      <c r="E180" s="565"/>
      <c r="F180" s="565"/>
    </row>
    <row r="181" spans="3:6" ht="12.75" customHeight="1" x14ac:dyDescent="0.2">
      <c r="C181" s="565"/>
      <c r="D181" s="565"/>
      <c r="E181" s="565"/>
      <c r="F181" s="565"/>
    </row>
    <row r="182" spans="3:6" ht="12.75" customHeight="1" x14ac:dyDescent="0.2">
      <c r="C182" s="565"/>
      <c r="D182" s="565"/>
      <c r="E182" s="565"/>
      <c r="F182" s="565"/>
    </row>
    <row r="183" spans="3:6" ht="12.75" customHeight="1" x14ac:dyDescent="0.2">
      <c r="C183" s="565"/>
      <c r="D183" s="565"/>
      <c r="E183" s="565"/>
      <c r="F183" s="565"/>
    </row>
    <row r="184" spans="3:6" ht="12.75" customHeight="1" x14ac:dyDescent="0.2">
      <c r="C184" s="565"/>
      <c r="D184" s="565"/>
      <c r="E184" s="565"/>
      <c r="F184" s="565"/>
    </row>
    <row r="185" spans="3:6" ht="12.75" customHeight="1" x14ac:dyDescent="0.2">
      <c r="C185" s="565"/>
      <c r="D185" s="565"/>
      <c r="E185" s="565"/>
      <c r="F185" s="565"/>
    </row>
    <row r="186" spans="3:6" ht="12.75" customHeight="1" x14ac:dyDescent="0.2">
      <c r="C186" s="565"/>
      <c r="D186" s="565"/>
      <c r="E186" s="565"/>
      <c r="F186" s="565"/>
    </row>
    <row r="187" spans="3:6" ht="12.75" customHeight="1" x14ac:dyDescent="0.2">
      <c r="C187" s="565"/>
      <c r="D187" s="565"/>
      <c r="E187" s="565"/>
      <c r="F187" s="565"/>
    </row>
    <row r="188" spans="3:6" ht="12.75" customHeight="1" x14ac:dyDescent="0.2">
      <c r="C188" s="565"/>
      <c r="D188" s="565"/>
      <c r="E188" s="565"/>
      <c r="F188" s="565"/>
    </row>
    <row r="189" spans="3:6" ht="12.75" customHeight="1" x14ac:dyDescent="0.2">
      <c r="C189" s="565"/>
      <c r="D189" s="565"/>
      <c r="E189" s="565"/>
      <c r="F189" s="565"/>
    </row>
    <row r="190" spans="3:6" ht="12.75" customHeight="1" x14ac:dyDescent="0.2">
      <c r="C190" s="565"/>
      <c r="D190" s="565"/>
      <c r="E190" s="565"/>
      <c r="F190" s="565"/>
    </row>
    <row r="191" spans="3:6" ht="12.75" customHeight="1" x14ac:dyDescent="0.2">
      <c r="C191" s="565"/>
      <c r="D191" s="565"/>
      <c r="E191" s="565"/>
      <c r="F191" s="565"/>
    </row>
    <row r="192" spans="3:6" ht="12.75" customHeight="1" x14ac:dyDescent="0.2">
      <c r="C192" s="565"/>
      <c r="D192" s="565"/>
      <c r="E192" s="565"/>
      <c r="F192" s="565"/>
    </row>
    <row r="193" spans="3:6" ht="12.75" customHeight="1" x14ac:dyDescent="0.2">
      <c r="C193" s="565"/>
      <c r="D193" s="565"/>
      <c r="E193" s="565"/>
      <c r="F193" s="565"/>
    </row>
    <row r="194" spans="3:6" ht="12.75" customHeight="1" x14ac:dyDescent="0.2">
      <c r="C194" s="565"/>
      <c r="D194" s="565"/>
      <c r="E194" s="565"/>
      <c r="F194" s="565"/>
    </row>
    <row r="195" spans="3:6" ht="12.75" customHeight="1" x14ac:dyDescent="0.2">
      <c r="C195" s="565"/>
      <c r="D195" s="565"/>
      <c r="E195" s="565"/>
      <c r="F195" s="565"/>
    </row>
    <row r="196" spans="3:6" ht="12.75" customHeight="1" x14ac:dyDescent="0.2">
      <c r="C196" s="565"/>
      <c r="D196" s="565"/>
      <c r="E196" s="565"/>
      <c r="F196" s="565"/>
    </row>
    <row r="197" spans="3:6" ht="12.75" customHeight="1" x14ac:dyDescent="0.2">
      <c r="C197" s="565"/>
      <c r="D197" s="565"/>
      <c r="E197" s="565"/>
      <c r="F197" s="565"/>
    </row>
    <row r="198" spans="3:6" ht="12.75" customHeight="1" x14ac:dyDescent="0.2">
      <c r="C198" s="565"/>
      <c r="D198" s="565"/>
      <c r="E198" s="565"/>
      <c r="F198" s="565"/>
    </row>
    <row r="199" spans="3:6" ht="12.75" customHeight="1" x14ac:dyDescent="0.2">
      <c r="C199" s="565"/>
      <c r="D199" s="565"/>
      <c r="E199" s="565"/>
      <c r="F199" s="565"/>
    </row>
    <row r="200" spans="3:6" ht="12.75" customHeight="1" x14ac:dyDescent="0.2">
      <c r="C200" s="565"/>
      <c r="D200" s="565"/>
      <c r="E200" s="565"/>
      <c r="F200" s="565"/>
    </row>
    <row r="201" spans="3:6" ht="12.75" customHeight="1" x14ac:dyDescent="0.2">
      <c r="C201" s="565"/>
      <c r="D201" s="565"/>
      <c r="E201" s="565"/>
      <c r="F201" s="565"/>
    </row>
    <row r="202" spans="3:6" ht="12.75" customHeight="1" x14ac:dyDescent="0.2">
      <c r="C202" s="565"/>
      <c r="D202" s="565"/>
      <c r="E202" s="565"/>
      <c r="F202" s="565"/>
    </row>
  </sheetData>
  <mergeCells count="5">
    <mergeCell ref="A5:F5"/>
    <mergeCell ref="A1:F1"/>
    <mergeCell ref="A2:F2"/>
    <mergeCell ref="A3:F3"/>
    <mergeCell ref="A4:F4"/>
  </mergeCells>
  <phoneticPr fontId="3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zoomScale="85" zoomScaleNormal="85" workbookViewId="0">
      <selection activeCell="G19" sqref="G19"/>
    </sheetView>
  </sheetViews>
  <sheetFormatPr defaultRowHeight="10.5" x14ac:dyDescent="0.15"/>
  <cols>
    <col min="1" max="1" width="5.6640625" customWidth="1"/>
    <col min="2" max="2" width="2.83203125" customWidth="1"/>
    <col min="3" max="3" width="50.5" bestFit="1" customWidth="1"/>
    <col min="4" max="4" width="2.83203125" customWidth="1"/>
    <col min="5" max="5" width="11.5" bestFit="1" customWidth="1"/>
    <col min="6" max="6" width="2.83203125" customWidth="1"/>
    <col min="7" max="7" width="14.83203125" customWidth="1"/>
    <col min="8" max="8" width="2.83203125" customWidth="1"/>
    <col min="9" max="9" width="10.33203125" bestFit="1" customWidth="1"/>
    <col min="10" max="10" width="2.83203125" customWidth="1"/>
    <col min="11" max="11" width="17.1640625" customWidth="1"/>
  </cols>
  <sheetData>
    <row r="1" spans="1:11" ht="12.75" x14ac:dyDescent="0.2">
      <c r="A1" s="1449" t="s">
        <v>477</v>
      </c>
      <c r="B1" s="1449"/>
      <c r="C1" s="1449"/>
      <c r="D1" s="1449"/>
      <c r="E1" s="1449"/>
      <c r="F1" s="1449"/>
      <c r="G1" s="1449"/>
      <c r="H1" s="1449"/>
      <c r="I1" s="1449"/>
      <c r="J1" s="1449"/>
      <c r="K1" s="1449"/>
    </row>
    <row r="2" spans="1:11" ht="12.75" x14ac:dyDescent="0.2">
      <c r="A2" s="1448" t="str">
        <f>+Input!C4</f>
        <v>CASE NO. 2017-xxxxx</v>
      </c>
      <c r="B2" s="1448"/>
      <c r="C2" s="1448"/>
      <c r="D2" s="1448"/>
      <c r="E2" s="1448"/>
      <c r="F2" s="1448"/>
      <c r="G2" s="1448"/>
      <c r="H2" s="1448"/>
      <c r="I2" s="1448"/>
      <c r="J2" s="1448"/>
      <c r="K2" s="1448"/>
    </row>
    <row r="3" spans="1:11" ht="12.75" x14ac:dyDescent="0.2">
      <c r="A3" s="1449" t="s">
        <v>1500</v>
      </c>
      <c r="B3" s="1449"/>
      <c r="C3" s="1449"/>
      <c r="D3" s="1449"/>
      <c r="E3" s="1449"/>
      <c r="F3" s="1449"/>
      <c r="G3" s="1449"/>
      <c r="H3" s="1449"/>
      <c r="I3" s="1449"/>
      <c r="J3" s="1449"/>
      <c r="K3" s="1449"/>
    </row>
    <row r="4" spans="1:11" ht="12.75" x14ac:dyDescent="0.2">
      <c r="A4" s="1450" t="s">
        <v>1714</v>
      </c>
      <c r="B4" s="1450"/>
      <c r="C4" s="1450"/>
      <c r="D4" s="1450"/>
      <c r="E4" s="1450"/>
      <c r="F4" s="1450"/>
      <c r="G4" s="1450"/>
      <c r="H4" s="1450"/>
      <c r="I4" s="1450"/>
      <c r="J4" s="1450"/>
      <c r="K4" s="1450"/>
    </row>
    <row r="5" spans="1:11" ht="12.75" x14ac:dyDescent="0.2">
      <c r="A5" s="1448" t="str">
        <f>+Input!C6</f>
        <v>TWELVE MONTHS ENDED DECEMBER 31, 2017</v>
      </c>
      <c r="B5" s="1448"/>
      <c r="C5" s="1448"/>
      <c r="D5" s="1448"/>
      <c r="E5" s="1448"/>
      <c r="F5" s="1448"/>
      <c r="G5" s="1448"/>
      <c r="H5" s="1448"/>
      <c r="I5" s="1448"/>
      <c r="J5" s="1448"/>
      <c r="K5" s="1448"/>
    </row>
    <row r="7" spans="1:11" ht="12.75" x14ac:dyDescent="0.2">
      <c r="A7" s="269" t="s">
        <v>839</v>
      </c>
      <c r="B7" s="270"/>
      <c r="C7" s="270"/>
      <c r="D7" s="270"/>
      <c r="E7" s="270"/>
      <c r="F7" s="670"/>
      <c r="G7" s="670"/>
      <c r="H7" s="670"/>
      <c r="I7" s="90"/>
      <c r="J7" s="270"/>
      <c r="K7" s="566" t="s">
        <v>1590</v>
      </c>
    </row>
    <row r="8" spans="1:11" ht="12.75" x14ac:dyDescent="0.2">
      <c r="A8" s="269" t="s">
        <v>490</v>
      </c>
      <c r="B8" s="270"/>
      <c r="C8" s="270"/>
      <c r="D8" s="270"/>
      <c r="E8" s="270"/>
      <c r="F8" s="670"/>
      <c r="G8" s="670"/>
      <c r="H8" s="670"/>
      <c r="I8" s="90"/>
      <c r="J8" s="270"/>
      <c r="K8" s="566" t="s">
        <v>1182</v>
      </c>
    </row>
    <row r="9" spans="1:11" ht="12.75" x14ac:dyDescent="0.2">
      <c r="A9" s="298" t="s">
        <v>840</v>
      </c>
      <c r="B9" s="291"/>
      <c r="C9" s="291"/>
      <c r="D9" s="291"/>
      <c r="E9" s="291"/>
      <c r="F9" s="681"/>
      <c r="G9" s="681"/>
      <c r="H9" s="681"/>
      <c r="I9" s="122"/>
      <c r="J9" s="291"/>
      <c r="K9" s="569" t="str">
        <f>+Input!E27</f>
        <v>WITNESS:  C. Y. LAI</v>
      </c>
    </row>
    <row r="10" spans="1:11" ht="12.75" x14ac:dyDescent="0.2">
      <c r="A10" s="675"/>
      <c r="B10" s="288"/>
      <c r="C10" s="288"/>
      <c r="D10" s="288"/>
      <c r="E10" s="288"/>
      <c r="F10" s="711"/>
      <c r="G10" s="711"/>
      <c r="H10" s="711"/>
      <c r="I10" s="359"/>
      <c r="J10" s="288"/>
      <c r="K10" s="799"/>
    </row>
    <row r="11" spans="1:11" ht="12.75" x14ac:dyDescent="0.2">
      <c r="A11" s="92" t="s">
        <v>493</v>
      </c>
      <c r="B11" s="563"/>
      <c r="C11" s="563" t="s">
        <v>1505</v>
      </c>
      <c r="D11" s="288"/>
      <c r="E11" s="288"/>
      <c r="F11" s="711"/>
      <c r="G11" s="711"/>
      <c r="H11" s="711"/>
      <c r="I11" s="359"/>
      <c r="J11" s="288"/>
      <c r="K11" s="799"/>
    </row>
    <row r="12" spans="1:11" ht="12.75" x14ac:dyDescent="0.2">
      <c r="A12" s="125" t="s">
        <v>496</v>
      </c>
      <c r="B12" s="568"/>
      <c r="C12" s="568"/>
      <c r="D12" s="291"/>
      <c r="E12" s="291"/>
      <c r="F12" s="681"/>
      <c r="G12" s="681"/>
      <c r="H12" s="681"/>
      <c r="I12" s="122"/>
      <c r="J12" s="291"/>
      <c r="K12" s="800"/>
    </row>
    <row r="13" spans="1:11" ht="12.75" x14ac:dyDescent="0.2">
      <c r="A13" s="563"/>
      <c r="B13" s="563"/>
      <c r="C13" s="563"/>
      <c r="D13" s="288"/>
      <c r="E13" s="288"/>
      <c r="F13" s="711"/>
      <c r="G13" s="711"/>
      <c r="H13" s="711"/>
      <c r="I13" s="359"/>
      <c r="J13" s="288"/>
      <c r="K13" s="799"/>
    </row>
    <row r="14" spans="1:11" ht="12.75" x14ac:dyDescent="0.2">
      <c r="A14" s="563"/>
      <c r="B14" s="563"/>
      <c r="C14" s="563" t="s">
        <v>1211</v>
      </c>
      <c r="D14" s="288"/>
      <c r="E14" s="288"/>
      <c r="F14" s="711"/>
      <c r="G14" s="711"/>
      <c r="H14" s="711"/>
      <c r="I14" s="359"/>
      <c r="J14" s="288"/>
      <c r="K14" s="799"/>
    </row>
    <row r="15" spans="1:11" ht="12.75" x14ac:dyDescent="0.2">
      <c r="A15" s="563"/>
      <c r="B15" s="563"/>
      <c r="C15" s="563" t="s">
        <v>1212</v>
      </c>
      <c r="D15" s="288"/>
      <c r="E15" s="288"/>
      <c r="F15" s="711"/>
      <c r="G15" s="711"/>
      <c r="H15" s="711"/>
      <c r="I15" s="359"/>
      <c r="J15" s="288"/>
      <c r="K15" s="799"/>
    </row>
    <row r="16" spans="1:11" ht="12.75" x14ac:dyDescent="0.2">
      <c r="A16" s="563"/>
      <c r="B16" s="563"/>
      <c r="C16" s="563" t="s">
        <v>1173</v>
      </c>
      <c r="D16" s="288"/>
      <c r="E16" s="288"/>
      <c r="F16" s="711"/>
      <c r="G16" s="711"/>
      <c r="H16" s="711"/>
      <c r="I16" s="359"/>
      <c r="J16" s="288"/>
      <c r="K16" s="799"/>
    </row>
    <row r="17" spans="1:11" ht="12.75" x14ac:dyDescent="0.2">
      <c r="A17" s="675"/>
      <c r="B17" s="288"/>
      <c r="C17" s="288"/>
      <c r="D17" s="288"/>
      <c r="E17" s="288"/>
      <c r="F17" s="711"/>
      <c r="G17" s="711"/>
      <c r="H17" s="711"/>
      <c r="I17" s="359"/>
      <c r="J17" s="288"/>
      <c r="K17" s="676"/>
    </row>
    <row r="18" spans="1:11" ht="12.75" x14ac:dyDescent="0.2">
      <c r="A18" s="545"/>
      <c r="B18" s="545"/>
      <c r="C18" s="545"/>
      <c r="D18" s="545"/>
      <c r="E18" s="545"/>
      <c r="F18" s="545"/>
      <c r="G18" s="545" t="s">
        <v>262</v>
      </c>
      <c r="H18" s="545"/>
      <c r="I18" s="711" t="s">
        <v>261</v>
      </c>
      <c r="J18" s="545"/>
      <c r="K18" s="670" t="s">
        <v>17</v>
      </c>
    </row>
    <row r="19" spans="1:11" ht="12.75" x14ac:dyDescent="0.2">
      <c r="A19" s="545"/>
      <c r="B19" s="682"/>
      <c r="C19" s="545"/>
      <c r="D19" s="682"/>
      <c r="E19" s="683" t="s">
        <v>12</v>
      </c>
      <c r="F19" s="684"/>
      <c r="G19" s="684" t="s">
        <v>296</v>
      </c>
      <c r="H19" s="684"/>
      <c r="I19" s="685" t="s">
        <v>13</v>
      </c>
      <c r="J19" s="545"/>
      <c r="K19" s="684" t="s">
        <v>22</v>
      </c>
    </row>
    <row r="20" spans="1:11" ht="12.75" x14ac:dyDescent="0.2">
      <c r="A20" s="686"/>
      <c r="B20" s="545"/>
      <c r="C20" s="687"/>
      <c r="D20" s="687"/>
      <c r="E20" s="688" t="s">
        <v>14</v>
      </c>
      <c r="F20" s="688"/>
      <c r="G20" s="688" t="s">
        <v>21</v>
      </c>
      <c r="H20" s="688"/>
      <c r="I20" s="689" t="s">
        <v>114</v>
      </c>
      <c r="J20" s="545"/>
      <c r="K20" s="688" t="s">
        <v>15</v>
      </c>
    </row>
    <row r="21" spans="1:11" ht="12.75" x14ac:dyDescent="0.2">
      <c r="A21" s="686"/>
      <c r="B21" s="545"/>
      <c r="C21" s="687"/>
      <c r="D21" s="687"/>
      <c r="E21" s="690" t="s">
        <v>532</v>
      </c>
      <c r="F21" s="690"/>
      <c r="G21" s="691" t="s">
        <v>533</v>
      </c>
      <c r="H21" s="691"/>
      <c r="I21" s="690" t="s">
        <v>534</v>
      </c>
      <c r="J21" s="545"/>
      <c r="K21" s="690" t="s">
        <v>271</v>
      </c>
    </row>
    <row r="22" spans="1:11" ht="12.75" x14ac:dyDescent="0.2">
      <c r="A22" s="545"/>
      <c r="B22" s="545"/>
      <c r="C22" s="90"/>
      <c r="D22" s="682"/>
      <c r="E22" s="692"/>
      <c r="F22" s="684"/>
      <c r="G22" s="684"/>
      <c r="H22" s="684"/>
      <c r="I22" s="685" t="s">
        <v>536</v>
      </c>
      <c r="J22" s="545"/>
      <c r="K22" s="684" t="s">
        <v>500</v>
      </c>
    </row>
    <row r="23" spans="1:11" ht="12.75" x14ac:dyDescent="0.2">
      <c r="A23" s="92">
        <v>1</v>
      </c>
      <c r="B23" s="545"/>
      <c r="C23" s="545" t="s">
        <v>1149</v>
      </c>
      <c r="D23" s="682"/>
      <c r="E23" s="692"/>
      <c r="F23" s="684"/>
      <c r="G23" s="684"/>
      <c r="H23" s="684"/>
      <c r="I23" s="685"/>
      <c r="J23" s="545"/>
      <c r="K23" s="684"/>
    </row>
    <row r="24" spans="1:11" ht="12.75" x14ac:dyDescent="0.2">
      <c r="A24" s="92">
        <f>1+A23</f>
        <v>2</v>
      </c>
      <c r="B24" s="545"/>
      <c r="C24" s="323" t="s">
        <v>306</v>
      </c>
      <c r="D24" s="682"/>
      <c r="E24" s="767">
        <v>303.3</v>
      </c>
      <c r="F24" s="320"/>
      <c r="G24" s="1009">
        <v>0</v>
      </c>
      <c r="H24" s="684"/>
      <c r="I24" s="705" t="s">
        <v>264</v>
      </c>
      <c r="J24" s="545"/>
      <c r="K24" s="695">
        <v>0</v>
      </c>
    </row>
    <row r="25" spans="1:11" ht="12.75" x14ac:dyDescent="0.2">
      <c r="A25" s="545"/>
      <c r="B25" s="545"/>
      <c r="C25" s="90"/>
      <c r="D25" s="682"/>
      <c r="E25" s="692"/>
      <c r="F25" s="684"/>
      <c r="G25" s="684"/>
      <c r="H25" s="684"/>
      <c r="I25" s="685"/>
      <c r="J25" s="545"/>
      <c r="K25" s="684"/>
    </row>
    <row r="26" spans="1:11" ht="12.75" x14ac:dyDescent="0.2">
      <c r="A26" s="92">
        <f>1+A24</f>
        <v>3</v>
      </c>
      <c r="B26" s="90"/>
      <c r="C26" s="687" t="s">
        <v>1159</v>
      </c>
      <c r="D26" s="698"/>
      <c r="E26" s="693"/>
      <c r="F26" s="695"/>
      <c r="G26" s="695"/>
      <c r="H26" s="695"/>
      <c r="I26" s="697"/>
      <c r="J26" s="694"/>
      <c r="K26" s="695"/>
    </row>
    <row r="27" spans="1:11" ht="12.75" x14ac:dyDescent="0.2">
      <c r="A27" s="92">
        <f t="shared" ref="A27:A51" si="0">1+A26</f>
        <v>4</v>
      </c>
      <c r="B27" s="90"/>
      <c r="C27" s="280" t="s">
        <v>1162</v>
      </c>
      <c r="D27" s="696"/>
      <c r="E27" s="712">
        <v>374.4</v>
      </c>
      <c r="F27" s="281"/>
      <c r="G27" s="310">
        <v>0</v>
      </c>
      <c r="H27" s="281"/>
      <c r="I27" s="1008">
        <v>1.7</v>
      </c>
      <c r="J27" s="694"/>
      <c r="K27" s="699">
        <f>ROUND(G27*(I27/100),0)</f>
        <v>0</v>
      </c>
    </row>
    <row r="28" spans="1:11" ht="12.75" x14ac:dyDescent="0.2">
      <c r="A28" s="92">
        <f t="shared" si="0"/>
        <v>5</v>
      </c>
      <c r="B28" s="90"/>
      <c r="C28" s="280" t="s">
        <v>1163</v>
      </c>
      <c r="D28" s="696"/>
      <c r="E28" s="712">
        <v>374.5</v>
      </c>
      <c r="F28" s="281"/>
      <c r="G28" s="310">
        <v>0</v>
      </c>
      <c r="H28" s="281"/>
      <c r="I28" s="1008">
        <v>1.28</v>
      </c>
      <c r="J28" s="694"/>
      <c r="K28" s="699">
        <f t="shared" ref="K28:K51" si="1">ROUND(G28*(I28/100),0)</f>
        <v>0</v>
      </c>
    </row>
    <row r="29" spans="1:11" ht="12.75" x14ac:dyDescent="0.2">
      <c r="A29" s="92">
        <f t="shared" si="0"/>
        <v>6</v>
      </c>
      <c r="B29" s="90"/>
      <c r="C29" s="280" t="s">
        <v>1164</v>
      </c>
      <c r="D29" s="696"/>
      <c r="E29" s="712">
        <v>375.2</v>
      </c>
      <c r="F29" s="281"/>
      <c r="G29" s="310">
        <v>0</v>
      </c>
      <c r="H29" s="281"/>
      <c r="I29" s="1008">
        <v>2.4300000000000002</v>
      </c>
      <c r="J29" s="694"/>
      <c r="K29" s="699">
        <f t="shared" si="1"/>
        <v>0</v>
      </c>
    </row>
    <row r="30" spans="1:11" ht="12.75" x14ac:dyDescent="0.2">
      <c r="A30" s="92">
        <f t="shared" si="0"/>
        <v>7</v>
      </c>
      <c r="B30" s="90"/>
      <c r="C30" s="280" t="s">
        <v>1165</v>
      </c>
      <c r="D30" s="696"/>
      <c r="E30" s="712">
        <v>375.3</v>
      </c>
      <c r="F30" s="281"/>
      <c r="G30" s="310">
        <v>0</v>
      </c>
      <c r="H30" s="281"/>
      <c r="I30" s="1008">
        <v>2.4300000000000002</v>
      </c>
      <c r="J30" s="694"/>
      <c r="K30" s="699">
        <f t="shared" si="1"/>
        <v>0</v>
      </c>
    </row>
    <row r="31" spans="1:11" ht="12.75" x14ac:dyDescent="0.2">
      <c r="A31" s="92">
        <f t="shared" si="0"/>
        <v>8</v>
      </c>
      <c r="B31" s="90"/>
      <c r="C31" s="280" t="s">
        <v>1166</v>
      </c>
      <c r="D31" s="700"/>
      <c r="E31" s="712">
        <v>375.4</v>
      </c>
      <c r="F31" s="281"/>
      <c r="G31" s="310">
        <v>0</v>
      </c>
      <c r="H31" s="281"/>
      <c r="I31" s="1008">
        <v>2.4300000000000002</v>
      </c>
      <c r="J31" s="694"/>
      <c r="K31" s="699">
        <f t="shared" si="1"/>
        <v>0</v>
      </c>
    </row>
    <row r="32" spans="1:11" ht="12.75" x14ac:dyDescent="0.2">
      <c r="A32" s="92">
        <f t="shared" si="0"/>
        <v>9</v>
      </c>
      <c r="B32" s="90"/>
      <c r="C32" s="280" t="s">
        <v>1167</v>
      </c>
      <c r="D32" s="700"/>
      <c r="E32" s="712">
        <v>375.6</v>
      </c>
      <c r="F32" s="281"/>
      <c r="G32" s="310">
        <v>0</v>
      </c>
      <c r="H32" s="281"/>
      <c r="I32" s="1008">
        <v>2.4300000000000002</v>
      </c>
      <c r="J32" s="694"/>
      <c r="K32" s="699">
        <f t="shared" si="1"/>
        <v>0</v>
      </c>
    </row>
    <row r="33" spans="1:11" ht="12.75" x14ac:dyDescent="0.2">
      <c r="A33" s="92">
        <f t="shared" si="0"/>
        <v>10</v>
      </c>
      <c r="B33" s="90"/>
      <c r="C33" s="280" t="s">
        <v>1168</v>
      </c>
      <c r="D33" s="700"/>
      <c r="E33" s="712">
        <v>375.7</v>
      </c>
      <c r="F33" s="281"/>
      <c r="G33" s="310">
        <v>0</v>
      </c>
      <c r="H33" s="281"/>
      <c r="I33" s="1008">
        <v>2.0299999999999998</v>
      </c>
      <c r="J33" s="694"/>
      <c r="K33" s="699">
        <f t="shared" si="1"/>
        <v>0</v>
      </c>
    </row>
    <row r="34" spans="1:11" ht="12.75" x14ac:dyDescent="0.2">
      <c r="A34" s="92">
        <f t="shared" si="0"/>
        <v>11</v>
      </c>
      <c r="B34" s="90"/>
      <c r="C34" s="280" t="s">
        <v>1170</v>
      </c>
      <c r="D34" s="700"/>
      <c r="E34" s="712">
        <v>375.8</v>
      </c>
      <c r="F34" s="281"/>
      <c r="G34" s="310">
        <v>0</v>
      </c>
      <c r="H34" s="281"/>
      <c r="I34" s="1008">
        <v>2.41</v>
      </c>
      <c r="J34" s="694"/>
      <c r="K34" s="699">
        <f t="shared" si="1"/>
        <v>0</v>
      </c>
    </row>
    <row r="35" spans="1:11" ht="12.75" x14ac:dyDescent="0.2">
      <c r="A35" s="92">
        <f t="shared" si="0"/>
        <v>12</v>
      </c>
      <c r="B35" s="90"/>
      <c r="C35" s="280" t="s">
        <v>1171</v>
      </c>
      <c r="D35" s="700"/>
      <c r="E35" s="712">
        <v>376</v>
      </c>
      <c r="F35" s="281"/>
      <c r="G35" s="310">
        <v>822720</v>
      </c>
      <c r="H35" s="281"/>
      <c r="I35" s="1008">
        <v>2.08</v>
      </c>
      <c r="J35" s="701"/>
      <c r="K35" s="699">
        <f t="shared" si="1"/>
        <v>17113</v>
      </c>
    </row>
    <row r="36" spans="1:11" ht="12.75" x14ac:dyDescent="0.2">
      <c r="A36" s="92">
        <f t="shared" si="0"/>
        <v>13</v>
      </c>
      <c r="B36" s="90"/>
      <c r="C36" s="280" t="s">
        <v>1174</v>
      </c>
      <c r="D36" s="90"/>
      <c r="E36" s="712">
        <v>378.1</v>
      </c>
      <c r="F36" s="281"/>
      <c r="G36" s="310">
        <v>0</v>
      </c>
      <c r="H36" s="281"/>
      <c r="I36" s="1008">
        <v>2.86</v>
      </c>
      <c r="J36" s="701"/>
      <c r="K36" s="699">
        <f t="shared" si="1"/>
        <v>0</v>
      </c>
    </row>
    <row r="37" spans="1:11" ht="12.75" x14ac:dyDescent="0.2">
      <c r="A37" s="92">
        <f t="shared" si="0"/>
        <v>14</v>
      </c>
      <c r="B37" s="90"/>
      <c r="C37" s="280" t="s">
        <v>1178</v>
      </c>
      <c r="D37" s="696"/>
      <c r="E37" s="712">
        <v>378.2</v>
      </c>
      <c r="F37" s="281"/>
      <c r="G37" s="310">
        <v>94389</v>
      </c>
      <c r="H37" s="281"/>
      <c r="I37" s="1008">
        <v>2.86</v>
      </c>
      <c r="J37" s="694"/>
      <c r="K37" s="699">
        <f t="shared" si="1"/>
        <v>2700</v>
      </c>
    </row>
    <row r="38" spans="1:11" ht="12.75" x14ac:dyDescent="0.2">
      <c r="A38" s="92">
        <f t="shared" si="0"/>
        <v>15</v>
      </c>
      <c r="B38" s="90"/>
      <c r="C38" s="280" t="s">
        <v>1179</v>
      </c>
      <c r="D38" s="696"/>
      <c r="E38" s="712">
        <v>378.3</v>
      </c>
      <c r="F38" s="281"/>
      <c r="G38" s="310">
        <v>0</v>
      </c>
      <c r="H38" s="281"/>
      <c r="I38" s="1008">
        <v>2.86</v>
      </c>
      <c r="J38" s="694"/>
      <c r="K38" s="699">
        <f t="shared" si="1"/>
        <v>0</v>
      </c>
    </row>
    <row r="39" spans="1:11" ht="12.75" x14ac:dyDescent="0.2">
      <c r="A39" s="92">
        <f t="shared" si="0"/>
        <v>16</v>
      </c>
      <c r="B39" s="90"/>
      <c r="C39" s="280" t="s">
        <v>1180</v>
      </c>
      <c r="D39" s="696"/>
      <c r="E39" s="712">
        <v>379.1</v>
      </c>
      <c r="F39" s="281"/>
      <c r="G39" s="310">
        <v>0</v>
      </c>
      <c r="H39" s="281"/>
      <c r="I39" s="1008">
        <v>0.88</v>
      </c>
      <c r="J39" s="694"/>
      <c r="K39" s="699">
        <f t="shared" si="1"/>
        <v>0</v>
      </c>
    </row>
    <row r="40" spans="1:11" ht="12.75" x14ac:dyDescent="0.2">
      <c r="A40" s="92">
        <f t="shared" si="0"/>
        <v>17</v>
      </c>
      <c r="B40" s="90"/>
      <c r="C40" s="280" t="s">
        <v>1181</v>
      </c>
      <c r="D40" s="696"/>
      <c r="E40" s="712">
        <v>380</v>
      </c>
      <c r="F40" s="281"/>
      <c r="G40" s="310">
        <v>51343</v>
      </c>
      <c r="H40" s="281"/>
      <c r="I40" s="1008">
        <v>4.18</v>
      </c>
      <c r="J40" s="694"/>
      <c r="K40" s="699">
        <f t="shared" si="1"/>
        <v>2146</v>
      </c>
    </row>
    <row r="41" spans="1:11" ht="12.75" x14ac:dyDescent="0.2">
      <c r="A41" s="92">
        <f t="shared" si="0"/>
        <v>18</v>
      </c>
      <c r="B41" s="90"/>
      <c r="C41" s="280" t="s">
        <v>1183</v>
      </c>
      <c r="D41" s="696"/>
      <c r="E41" s="712">
        <v>381</v>
      </c>
      <c r="F41" s="281"/>
      <c r="G41" s="310">
        <v>501</v>
      </c>
      <c r="H41" s="281"/>
      <c r="I41" s="1008">
        <v>3.46</v>
      </c>
      <c r="J41" s="694"/>
      <c r="K41" s="699">
        <f t="shared" si="1"/>
        <v>17</v>
      </c>
    </row>
    <row r="42" spans="1:11" ht="12.75" x14ac:dyDescent="0.2">
      <c r="A42" s="92">
        <f t="shared" si="0"/>
        <v>19</v>
      </c>
      <c r="B42" s="90"/>
      <c r="C42" s="280" t="s">
        <v>1186</v>
      </c>
      <c r="D42" s="696"/>
      <c r="E42" s="712">
        <v>382</v>
      </c>
      <c r="F42" s="281"/>
      <c r="G42" s="310">
        <v>24136</v>
      </c>
      <c r="H42" s="281"/>
      <c r="I42" s="1008">
        <v>3.33</v>
      </c>
      <c r="J42" s="694"/>
      <c r="K42" s="699">
        <f t="shared" si="1"/>
        <v>804</v>
      </c>
    </row>
    <row r="43" spans="1:11" ht="12.75" x14ac:dyDescent="0.2">
      <c r="A43" s="92">
        <f t="shared" si="0"/>
        <v>20</v>
      </c>
      <c r="B43" s="90"/>
      <c r="C43" s="280" t="s">
        <v>1190</v>
      </c>
      <c r="D43" s="696"/>
      <c r="E43" s="712">
        <v>383</v>
      </c>
      <c r="F43" s="281"/>
      <c r="G43" s="310">
        <v>217281</v>
      </c>
      <c r="H43" s="281"/>
      <c r="I43" s="1008">
        <v>3.08</v>
      </c>
      <c r="J43" s="694"/>
      <c r="K43" s="699">
        <f t="shared" si="1"/>
        <v>6692</v>
      </c>
    </row>
    <row r="44" spans="1:11" ht="12.75" x14ac:dyDescent="0.2">
      <c r="A44" s="92">
        <f t="shared" si="0"/>
        <v>21</v>
      </c>
      <c r="B44" s="90"/>
      <c r="C44" s="280" t="s">
        <v>1191</v>
      </c>
      <c r="D44" s="696"/>
      <c r="E44" s="712">
        <v>384</v>
      </c>
      <c r="F44" s="281"/>
      <c r="G44" s="310">
        <v>0</v>
      </c>
      <c r="H44" s="281"/>
      <c r="I44" s="1008">
        <v>1.65</v>
      </c>
      <c r="J44" s="694"/>
      <c r="K44" s="699">
        <f t="shared" si="1"/>
        <v>0</v>
      </c>
    </row>
    <row r="45" spans="1:11" ht="12.75" x14ac:dyDescent="0.2">
      <c r="A45" s="92">
        <f t="shared" si="0"/>
        <v>22</v>
      </c>
      <c r="B45" s="90"/>
      <c r="C45" s="280" t="s">
        <v>1192</v>
      </c>
      <c r="D45" s="696"/>
      <c r="E45" s="712">
        <v>385</v>
      </c>
      <c r="F45" s="281"/>
      <c r="G45" s="310">
        <v>105</v>
      </c>
      <c r="H45" s="281"/>
      <c r="I45" s="1008">
        <v>4.16</v>
      </c>
      <c r="J45" s="694"/>
      <c r="K45" s="699">
        <f t="shared" si="1"/>
        <v>4</v>
      </c>
    </row>
    <row r="46" spans="1:11" ht="12.75" x14ac:dyDescent="0.2">
      <c r="A46" s="92">
        <f t="shared" si="0"/>
        <v>23</v>
      </c>
      <c r="B46" s="90"/>
      <c r="C46" s="280" t="s">
        <v>1193</v>
      </c>
      <c r="D46" s="696"/>
      <c r="E46" s="693">
        <v>387.2</v>
      </c>
      <c r="F46" s="695"/>
      <c r="G46" s="310">
        <v>0</v>
      </c>
      <c r="H46" s="281"/>
      <c r="I46" s="1008">
        <v>87.8</v>
      </c>
      <c r="J46" s="694"/>
      <c r="K46" s="699">
        <f t="shared" si="1"/>
        <v>0</v>
      </c>
    </row>
    <row r="47" spans="1:11" ht="12.75" x14ac:dyDescent="0.2">
      <c r="A47" s="92">
        <f t="shared" si="0"/>
        <v>24</v>
      </c>
      <c r="B47" s="90"/>
      <c r="C47" s="280" t="s">
        <v>1194</v>
      </c>
      <c r="D47" s="696"/>
      <c r="E47" s="693">
        <v>387.41</v>
      </c>
      <c r="F47" s="695"/>
      <c r="G47" s="310">
        <v>0</v>
      </c>
      <c r="H47" s="281"/>
      <c r="I47" s="1008">
        <v>3.68</v>
      </c>
      <c r="J47" s="694"/>
      <c r="K47" s="699">
        <f t="shared" si="1"/>
        <v>0</v>
      </c>
    </row>
    <row r="48" spans="1:11" ht="12.75" x14ac:dyDescent="0.2">
      <c r="A48" s="92">
        <f t="shared" si="0"/>
        <v>25</v>
      </c>
      <c r="B48" s="90"/>
      <c r="C48" s="280" t="s">
        <v>1195</v>
      </c>
      <c r="D48" s="696"/>
      <c r="E48" s="693">
        <v>387.42</v>
      </c>
      <c r="F48" s="702"/>
      <c r="G48" s="310">
        <v>0</v>
      </c>
      <c r="H48" s="281"/>
      <c r="I48" s="1008">
        <v>3.68</v>
      </c>
      <c r="J48" s="701"/>
      <c r="K48" s="699">
        <f t="shared" si="1"/>
        <v>0</v>
      </c>
    </row>
    <row r="49" spans="1:11" ht="12.75" x14ac:dyDescent="0.2">
      <c r="A49" s="92">
        <f t="shared" si="0"/>
        <v>26</v>
      </c>
      <c r="B49" s="90"/>
      <c r="C49" s="280" t="s">
        <v>1196</v>
      </c>
      <c r="D49" s="90"/>
      <c r="E49" s="693">
        <v>387.44</v>
      </c>
      <c r="F49" s="702"/>
      <c r="G49" s="310">
        <v>0</v>
      </c>
      <c r="H49" s="281"/>
      <c r="I49" s="1008">
        <v>3.68</v>
      </c>
      <c r="J49" s="701"/>
      <c r="K49" s="699">
        <f t="shared" si="1"/>
        <v>0</v>
      </c>
    </row>
    <row r="50" spans="1:11" ht="12.75" x14ac:dyDescent="0.2">
      <c r="A50" s="92">
        <f t="shared" si="0"/>
        <v>27</v>
      </c>
      <c r="B50" s="90"/>
      <c r="C50" s="280" t="s">
        <v>1197</v>
      </c>
      <c r="D50" s="696"/>
      <c r="E50" s="693">
        <v>387.45</v>
      </c>
      <c r="F50" s="695"/>
      <c r="G50" s="310">
        <v>24</v>
      </c>
      <c r="H50" s="281"/>
      <c r="I50" s="1008">
        <v>3.68</v>
      </c>
      <c r="J50" s="694"/>
      <c r="K50" s="699">
        <f t="shared" si="1"/>
        <v>1</v>
      </c>
    </row>
    <row r="51" spans="1:11" ht="12.75" x14ac:dyDescent="0.2">
      <c r="A51" s="92">
        <f t="shared" si="0"/>
        <v>28</v>
      </c>
      <c r="B51" s="90"/>
      <c r="C51" s="280" t="s">
        <v>1198</v>
      </c>
      <c r="D51" s="696"/>
      <c r="E51" s="693">
        <v>387.46</v>
      </c>
      <c r="F51" s="695"/>
      <c r="G51" s="310">
        <v>0</v>
      </c>
      <c r="H51" s="281"/>
      <c r="I51" s="1008">
        <v>3.68</v>
      </c>
      <c r="J51" s="694"/>
      <c r="K51" s="699">
        <f t="shared" si="1"/>
        <v>0</v>
      </c>
    </row>
    <row r="52" spans="1:11" ht="12.75" x14ac:dyDescent="0.2">
      <c r="A52" s="92"/>
      <c r="B52" s="90"/>
      <c r="C52" s="280"/>
      <c r="D52" s="696"/>
      <c r="E52" s="693"/>
      <c r="F52" s="695"/>
      <c r="G52" s="695"/>
      <c r="H52" s="695"/>
      <c r="I52" s="713"/>
      <c r="J52" s="694"/>
      <c r="K52" s="699"/>
    </row>
    <row r="53" spans="1:11" ht="12.75" x14ac:dyDescent="0.2">
      <c r="A53" s="92">
        <f>1+A51</f>
        <v>29</v>
      </c>
      <c r="B53" s="90"/>
      <c r="C53" s="687" t="s">
        <v>1200</v>
      </c>
      <c r="D53" s="703"/>
      <c r="E53" s="693"/>
      <c r="F53" s="695"/>
      <c r="G53" s="695"/>
      <c r="H53" s="695"/>
      <c r="I53" s="713"/>
      <c r="J53" s="694"/>
      <c r="K53" s="699"/>
    </row>
    <row r="54" spans="1:11" ht="12.75" x14ac:dyDescent="0.2">
      <c r="A54" s="92">
        <f t="shared" ref="A54:A60" si="2">1+A53</f>
        <v>30</v>
      </c>
      <c r="B54" s="90"/>
      <c r="C54" s="280" t="s">
        <v>1204</v>
      </c>
      <c r="D54" s="270"/>
      <c r="E54" s="766">
        <v>391.12</v>
      </c>
      <c r="F54" s="695"/>
      <c r="G54" s="310">
        <v>300</v>
      </c>
      <c r="H54" s="695"/>
      <c r="I54" s="1010" t="s">
        <v>264</v>
      </c>
      <c r="J54" s="694"/>
      <c r="K54" s="695">
        <v>0</v>
      </c>
    </row>
    <row r="55" spans="1:11" ht="12.75" x14ac:dyDescent="0.2">
      <c r="A55" s="92">
        <f t="shared" si="2"/>
        <v>31</v>
      </c>
      <c r="B55" s="90"/>
      <c r="C55" s="280" t="s">
        <v>1228</v>
      </c>
      <c r="D55" s="696"/>
      <c r="E55" s="693">
        <v>392.2</v>
      </c>
      <c r="F55" s="695"/>
      <c r="G55" s="310">
        <v>0</v>
      </c>
      <c r="H55" s="281"/>
      <c r="I55" s="1008">
        <v>4.29</v>
      </c>
      <c r="J55" s="694"/>
      <c r="K55" s="699">
        <f>ROUND(G55*(I55/100),0)</f>
        <v>0</v>
      </c>
    </row>
    <row r="56" spans="1:11" ht="12.75" x14ac:dyDescent="0.2">
      <c r="A56" s="92">
        <f t="shared" si="2"/>
        <v>32</v>
      </c>
      <c r="B56" s="90"/>
      <c r="C56" s="280" t="s">
        <v>1205</v>
      </c>
      <c r="D56" s="696"/>
      <c r="E56" s="693">
        <v>392.21</v>
      </c>
      <c r="F56" s="695"/>
      <c r="G56" s="310">
        <v>0</v>
      </c>
      <c r="H56" s="281"/>
      <c r="I56" s="1008">
        <v>4.29</v>
      </c>
      <c r="J56" s="694"/>
      <c r="K56" s="699">
        <f>ROUND(G56*(I56/100),0)</f>
        <v>0</v>
      </c>
    </row>
    <row r="57" spans="1:11" ht="12.75" x14ac:dyDescent="0.2">
      <c r="A57" s="92">
        <f t="shared" si="2"/>
        <v>33</v>
      </c>
      <c r="B57" s="90"/>
      <c r="C57" s="280" t="s">
        <v>1214</v>
      </c>
      <c r="D57" s="696"/>
      <c r="E57" s="693">
        <v>394.11</v>
      </c>
      <c r="F57" s="695"/>
      <c r="G57" s="310">
        <v>0</v>
      </c>
      <c r="H57" s="281"/>
      <c r="I57" s="1011">
        <v>19.989999999999998</v>
      </c>
      <c r="J57" s="694"/>
      <c r="K57" s="699">
        <f>ROUND(G57*(I57/100),0)</f>
        <v>0</v>
      </c>
    </row>
    <row r="58" spans="1:11" ht="12.75" x14ac:dyDescent="0.2">
      <c r="A58" s="92">
        <f t="shared" si="2"/>
        <v>34</v>
      </c>
      <c r="B58" s="90"/>
      <c r="C58" s="280" t="s">
        <v>1216</v>
      </c>
      <c r="D58" s="696"/>
      <c r="E58" s="766">
        <v>394.3</v>
      </c>
      <c r="F58" s="270"/>
      <c r="G58" s="310">
        <v>0</v>
      </c>
      <c r="H58" s="281"/>
      <c r="I58" s="1010" t="s">
        <v>264</v>
      </c>
      <c r="J58" s="694"/>
      <c r="K58" s="695">
        <v>0</v>
      </c>
    </row>
    <row r="59" spans="1:11" ht="12.75" x14ac:dyDescent="0.2">
      <c r="A59" s="92">
        <f t="shared" si="2"/>
        <v>35</v>
      </c>
      <c r="B59" s="90"/>
      <c r="C59" s="280" t="s">
        <v>1218</v>
      </c>
      <c r="D59" s="696"/>
      <c r="E59" s="693">
        <v>396</v>
      </c>
      <c r="F59" s="270"/>
      <c r="G59" s="310">
        <v>0</v>
      </c>
      <c r="H59" s="281"/>
      <c r="I59" s="1008">
        <v>0</v>
      </c>
      <c r="J59" s="694"/>
      <c r="K59" s="699">
        <f>ROUND(G59*(I59/100),0)</f>
        <v>0</v>
      </c>
    </row>
    <row r="60" spans="1:11" ht="12.75" x14ac:dyDescent="0.2">
      <c r="A60" s="92">
        <f t="shared" si="2"/>
        <v>36</v>
      </c>
      <c r="B60" s="90"/>
      <c r="C60" s="280" t="s">
        <v>319</v>
      </c>
      <c r="D60" s="696"/>
      <c r="E60" s="693">
        <v>398</v>
      </c>
      <c r="F60" s="702"/>
      <c r="G60" s="1012">
        <v>4750</v>
      </c>
      <c r="H60" s="281"/>
      <c r="I60" s="1008">
        <v>0</v>
      </c>
      <c r="J60" s="694"/>
      <c r="K60" s="709">
        <f>ROUND(G60*(I60/100),0)</f>
        <v>0</v>
      </c>
    </row>
    <row r="61" spans="1:11" ht="12.75" x14ac:dyDescent="0.2">
      <c r="A61" s="92"/>
      <c r="B61" s="90"/>
      <c r="C61" s="687"/>
      <c r="D61" s="696"/>
      <c r="E61" s="693"/>
      <c r="F61" s="695"/>
      <c r="G61" s="695"/>
      <c r="H61" s="695"/>
      <c r="I61" s="697"/>
      <c r="J61" s="694"/>
      <c r="K61" s="695"/>
    </row>
    <row r="62" spans="1:11" ht="13.5" thickBot="1" x14ac:dyDescent="0.25">
      <c r="A62" s="92">
        <f>A60+1</f>
        <v>37</v>
      </c>
      <c r="B62" s="90"/>
      <c r="C62" s="696" t="s">
        <v>1580</v>
      </c>
      <c r="D62" s="696"/>
      <c r="E62" s="704"/>
      <c r="F62" s="710"/>
      <c r="G62" s="706">
        <f>SUM(G24:G60)</f>
        <v>1215549</v>
      </c>
      <c r="H62" s="710"/>
      <c r="I62" s="707"/>
      <c r="J62" s="359"/>
      <c r="K62" s="706">
        <f>SUM(K26:K60)</f>
        <v>29477</v>
      </c>
    </row>
    <row r="63" spans="1:11" ht="13.5" thickTop="1" x14ac:dyDescent="0.2">
      <c r="A63" s="92"/>
      <c r="B63" s="90"/>
      <c r="C63" s="696"/>
      <c r="D63" s="696"/>
      <c r="E63" s="704"/>
      <c r="F63" s="710"/>
      <c r="G63" s="710"/>
      <c r="H63" s="710"/>
      <c r="I63" s="707"/>
      <c r="J63" s="359"/>
      <c r="K63" s="710"/>
    </row>
    <row r="64" spans="1:11" ht="12.75" x14ac:dyDescent="0.2">
      <c r="A64" s="1028" t="s">
        <v>471</v>
      </c>
      <c r="B64" s="131"/>
      <c r="C64" s="131" t="s">
        <v>1068</v>
      </c>
      <c r="D64" s="131"/>
      <c r="E64" s="131"/>
      <c r="F64" s="131"/>
      <c r="G64" s="131"/>
      <c r="H64" s="131"/>
      <c r="I64" s="131"/>
      <c r="J64" s="131"/>
      <c r="K64" s="131"/>
    </row>
    <row r="65" spans="1:11" ht="12.75" x14ac:dyDescent="0.2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1:11" ht="12.75" x14ac:dyDescent="0.2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</row>
    <row r="67" spans="1:11" ht="12.75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</row>
    <row r="68" spans="1:11" ht="12.75" x14ac:dyDescent="0.2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1:11" ht="12.75" x14ac:dyDescent="0.2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1:11" ht="12.75" x14ac:dyDescent="0.2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1:11" ht="12.75" x14ac:dyDescent="0.2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1:11" ht="12.75" x14ac:dyDescent="0.2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1:11" ht="12.75" x14ac:dyDescent="0.2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1:11" ht="12.75" x14ac:dyDescent="0.2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1:11" ht="12.75" x14ac:dyDescent="0.2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1:11" ht="12.75" x14ac:dyDescent="0.2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1:11" ht="12.75" x14ac:dyDescent="0.2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</row>
    <row r="78" spans="1:11" ht="12.75" x14ac:dyDescent="0.2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</row>
    <row r="79" spans="1:11" ht="12.75" x14ac:dyDescent="0.2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</row>
    <row r="80" spans="1:11" ht="12.75" x14ac:dyDescent="0.2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</row>
    <row r="81" spans="1:11" ht="12.75" x14ac:dyDescent="0.2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</row>
    <row r="82" spans="1:11" ht="12.75" x14ac:dyDescent="0.2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</row>
    <row r="83" spans="1:11" ht="12.75" x14ac:dyDescent="0.2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</row>
    <row r="84" spans="1:11" ht="12.75" x14ac:dyDescent="0.2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1:11" ht="12.75" x14ac:dyDescent="0.2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1:11" ht="12.75" x14ac:dyDescent="0.2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1:11" ht="12.75" x14ac:dyDescent="0.2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1:11" ht="12.75" x14ac:dyDescent="0.2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1:11" ht="12.75" x14ac:dyDescent="0.2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1:11" ht="12.75" x14ac:dyDescent="0.2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1:11" ht="12.75" x14ac:dyDescent="0.2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1:11" ht="12.75" x14ac:dyDescent="0.2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</row>
    <row r="93" spans="1:11" ht="12.75" x14ac:dyDescent="0.2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</row>
    <row r="94" spans="1:11" ht="12.75" x14ac:dyDescent="0.2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</row>
    <row r="95" spans="1:11" ht="12.75" x14ac:dyDescent="0.2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1:11" ht="12.75" x14ac:dyDescent="0.2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</row>
    <row r="97" spans="1:11" ht="12.75" x14ac:dyDescent="0.2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</row>
    <row r="98" spans="1:11" ht="12.75" x14ac:dyDescent="0.2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</row>
    <row r="99" spans="1:11" ht="12.75" x14ac:dyDescent="0.2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</row>
    <row r="100" spans="1:11" ht="12.75" x14ac:dyDescent="0.2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</row>
    <row r="101" spans="1:11" ht="12.75" x14ac:dyDescent="0.2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</row>
    <row r="102" spans="1:11" ht="12.75" x14ac:dyDescent="0.2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</row>
    <row r="103" spans="1:11" ht="12.75" x14ac:dyDescent="0.2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</row>
    <row r="104" spans="1:11" ht="12.75" x14ac:dyDescent="0.2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</row>
    <row r="105" spans="1:11" ht="12.75" x14ac:dyDescent="0.2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</row>
    <row r="106" spans="1:11" ht="12.75" x14ac:dyDescent="0.2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</row>
    <row r="107" spans="1:11" ht="12.75" x14ac:dyDescent="0.2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</row>
    <row r="108" spans="1:11" ht="12.75" x14ac:dyDescent="0.2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1:11" ht="12.75" x14ac:dyDescent="0.2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1:11" ht="12.75" x14ac:dyDescent="0.2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1:11" ht="12.75" x14ac:dyDescent="0.2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1:11" ht="12.75" x14ac:dyDescent="0.2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3" spans="1:11" ht="12.75" x14ac:dyDescent="0.2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</row>
    <row r="114" spans="1:11" ht="12.75" x14ac:dyDescent="0.2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</row>
    <row r="115" spans="1:11" ht="12.75" x14ac:dyDescent="0.2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</row>
    <row r="116" spans="1:11" ht="12.75" x14ac:dyDescent="0.2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</row>
    <row r="117" spans="1:11" ht="12.75" x14ac:dyDescent="0.2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1:11" ht="12.75" x14ac:dyDescent="0.2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1:11" ht="12.75" x14ac:dyDescent="0.2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</row>
    <row r="120" spans="1:11" ht="12.75" x14ac:dyDescent="0.2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1:11" ht="12.75" x14ac:dyDescent="0.2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</row>
    <row r="122" spans="1:11" ht="12.75" x14ac:dyDescent="0.2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</row>
    <row r="123" spans="1:11" ht="12.75" x14ac:dyDescent="0.2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</row>
    <row r="124" spans="1:11" ht="12.75" x14ac:dyDescent="0.2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</row>
    <row r="125" spans="1:11" ht="12.75" x14ac:dyDescent="0.2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</row>
    <row r="126" spans="1:11" ht="12.75" x14ac:dyDescent="0.2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</row>
    <row r="127" spans="1:11" ht="12.75" x14ac:dyDescent="0.2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</row>
    <row r="128" spans="1:11" ht="12.75" x14ac:dyDescent="0.2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</row>
    <row r="129" spans="1:11" ht="12.75" x14ac:dyDescent="0.2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</row>
    <row r="130" spans="1:11" ht="12.75" x14ac:dyDescent="0.2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</row>
    <row r="131" spans="1:11" ht="12.75" x14ac:dyDescent="0.2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</row>
    <row r="132" spans="1:11" ht="12.75" x14ac:dyDescent="0.2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</row>
    <row r="133" spans="1:11" ht="12.75" x14ac:dyDescent="0.2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</row>
    <row r="134" spans="1:11" ht="12.75" x14ac:dyDescent="0.2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</row>
    <row r="135" spans="1:11" ht="12.75" x14ac:dyDescent="0.2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</row>
    <row r="136" spans="1:11" ht="12.75" x14ac:dyDescent="0.2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</row>
    <row r="137" spans="1:11" ht="12.75" x14ac:dyDescent="0.2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</row>
    <row r="138" spans="1:11" ht="12.75" x14ac:dyDescent="0.2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1:11" ht="12.75" x14ac:dyDescent="0.2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</row>
    <row r="140" spans="1:11" ht="12.75" x14ac:dyDescent="0.2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</row>
    <row r="141" spans="1:11" ht="12.75" x14ac:dyDescent="0.2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</row>
    <row r="142" spans="1:11" ht="12.75" x14ac:dyDescent="0.2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</row>
    <row r="143" spans="1:11" ht="12.75" x14ac:dyDescent="0.2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</row>
    <row r="144" spans="1:11" ht="12.75" x14ac:dyDescent="0.2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1:11" ht="12.75" x14ac:dyDescent="0.2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1:11" ht="12.75" x14ac:dyDescent="0.2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1:11" ht="12.75" x14ac:dyDescent="0.2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1:11" ht="12.75" x14ac:dyDescent="0.2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1:11" ht="12.75" x14ac:dyDescent="0.2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1:11" ht="12.75" x14ac:dyDescent="0.2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1:11" ht="12.75" x14ac:dyDescent="0.2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1:11" ht="12.75" x14ac:dyDescent="0.2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</row>
  </sheetData>
  <mergeCells count="5">
    <mergeCell ref="A5:K5"/>
    <mergeCell ref="A1:K1"/>
    <mergeCell ref="A2:K2"/>
    <mergeCell ref="A3:K3"/>
    <mergeCell ref="A4:K4"/>
  </mergeCells>
  <phoneticPr fontId="14" type="noConversion"/>
  <printOptions horizontalCentered="1"/>
  <pageMargins left="0" right="0" top="0.75" bottom="0" header="0.5" footer="0.5"/>
  <pageSetup scale="88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11" sqref="A11"/>
    </sheetView>
  </sheetViews>
  <sheetFormatPr defaultColWidth="10.6640625" defaultRowHeight="10.5" x14ac:dyDescent="0.15"/>
  <cols>
    <col min="1" max="1" width="5.83203125" style="41" bestFit="1" customWidth="1"/>
    <col min="2" max="2" width="2.83203125" style="41" customWidth="1"/>
    <col min="3" max="3" width="67" style="41" bestFit="1" customWidth="1"/>
    <col min="4" max="4" width="26.6640625" style="41" bestFit="1" customWidth="1"/>
    <col min="5" max="5" width="10.6640625" style="41" hidden="1" customWidth="1"/>
    <col min="6" max="6" width="16.5" style="41" customWidth="1"/>
    <col min="7" max="7" width="26" style="41" bestFit="1" customWidth="1"/>
    <col min="8" max="8" width="10.6640625" style="41" customWidth="1"/>
    <col min="9" max="9" width="2.83203125" style="41" customWidth="1"/>
    <col min="10" max="16384" width="10.6640625" style="41"/>
  </cols>
  <sheetData>
    <row r="1" spans="1:7" ht="12.75" x14ac:dyDescent="0.2">
      <c r="A1" s="1452" t="s">
        <v>477</v>
      </c>
      <c r="B1" s="1452"/>
      <c r="C1" s="1452"/>
      <c r="D1" s="1452"/>
      <c r="E1" s="1452"/>
      <c r="F1" s="1452"/>
      <c r="G1" s="515"/>
    </row>
    <row r="2" spans="1:7" ht="12.75" x14ac:dyDescent="0.2">
      <c r="A2" s="1451" t="str">
        <f>+Input!C4</f>
        <v>CASE NO. 2017-xxxxx</v>
      </c>
      <c r="B2" s="1451"/>
      <c r="C2" s="1451"/>
      <c r="D2" s="1451"/>
      <c r="E2" s="1451"/>
      <c r="F2" s="1451"/>
      <c r="G2" s="515"/>
    </row>
    <row r="3" spans="1:7" ht="12.75" x14ac:dyDescent="0.2">
      <c r="A3" s="1452" t="s">
        <v>1500</v>
      </c>
      <c r="B3" s="1452"/>
      <c r="C3" s="1452"/>
      <c r="D3" s="1452"/>
      <c r="E3" s="1452"/>
      <c r="F3" s="1452"/>
      <c r="G3" s="515"/>
    </row>
    <row r="4" spans="1:7" ht="12.75" x14ac:dyDescent="0.2">
      <c r="A4" s="1453" t="s">
        <v>1581</v>
      </c>
      <c r="B4" s="1453"/>
      <c r="C4" s="1453"/>
      <c r="D4" s="1453"/>
      <c r="E4" s="1453"/>
      <c r="F4" s="1453"/>
      <c r="G4" s="515"/>
    </row>
    <row r="5" spans="1:7" ht="12.75" x14ac:dyDescent="0.2">
      <c r="A5" s="1451" t="str">
        <f>+Input!C6</f>
        <v>TWELVE MONTHS ENDED DECEMBER 31, 2017</v>
      </c>
      <c r="B5" s="1451"/>
      <c r="C5" s="1451"/>
      <c r="D5" s="1451"/>
      <c r="E5" s="1451"/>
      <c r="F5" s="1451"/>
      <c r="G5" s="515"/>
    </row>
    <row r="6" spans="1:7" ht="12.75" x14ac:dyDescent="0.2">
      <c r="A6" s="516"/>
      <c r="B6" s="516"/>
      <c r="C6" s="516"/>
      <c r="D6" s="516"/>
      <c r="E6" s="516"/>
      <c r="F6" s="516"/>
      <c r="G6" s="515"/>
    </row>
    <row r="7" spans="1:7" ht="12.75" x14ac:dyDescent="0.2">
      <c r="A7" s="516"/>
      <c r="B7" s="516"/>
      <c r="C7" s="516"/>
      <c r="D7" s="516"/>
      <c r="E7" s="516"/>
      <c r="F7" s="516"/>
      <c r="G7" s="515"/>
    </row>
    <row r="8" spans="1:7" ht="12.75" x14ac:dyDescent="0.2">
      <c r="A8" s="516" t="s">
        <v>1502</v>
      </c>
      <c r="B8" s="516"/>
      <c r="C8" s="516"/>
      <c r="D8" s="516"/>
      <c r="E8" s="516"/>
      <c r="F8" s="517" t="s">
        <v>1710</v>
      </c>
      <c r="G8" s="515"/>
    </row>
    <row r="9" spans="1:7" ht="12.75" x14ac:dyDescent="0.2">
      <c r="A9" s="516" t="s">
        <v>847</v>
      </c>
      <c r="B9" s="516"/>
      <c r="C9" s="516"/>
      <c r="D9" s="516"/>
      <c r="E9" s="516"/>
      <c r="F9" s="517" t="s">
        <v>491</v>
      </c>
      <c r="G9" s="515"/>
    </row>
    <row r="10" spans="1:7" ht="12.75" x14ac:dyDescent="0.2">
      <c r="A10" s="518" t="s">
        <v>1203</v>
      </c>
      <c r="B10" s="518"/>
      <c r="C10" s="518"/>
      <c r="D10" s="518"/>
      <c r="E10" s="518"/>
      <c r="F10" s="519" t="str">
        <f>+Input!E27</f>
        <v>WITNESS:  C. Y. LAI</v>
      </c>
      <c r="G10" s="515"/>
    </row>
    <row r="11" spans="1:7" ht="12.75" x14ac:dyDescent="0.2">
      <c r="A11" s="520"/>
      <c r="B11" s="520"/>
      <c r="C11" s="520"/>
      <c r="D11" s="520"/>
      <c r="E11" s="520"/>
      <c r="F11" s="790"/>
      <c r="G11" s="515"/>
    </row>
    <row r="12" spans="1:7" ht="12.75" x14ac:dyDescent="0.2">
      <c r="A12" s="667" t="s">
        <v>493</v>
      </c>
      <c r="B12" s="520"/>
      <c r="C12" s="520"/>
      <c r="D12" s="520"/>
      <c r="E12" s="520"/>
      <c r="F12" s="520"/>
      <c r="G12" s="515"/>
    </row>
    <row r="13" spans="1:7" ht="12.75" x14ac:dyDescent="0.2">
      <c r="A13" s="125" t="s">
        <v>496</v>
      </c>
      <c r="B13" s="518"/>
      <c r="C13" s="518" t="s">
        <v>1505</v>
      </c>
      <c r="D13" s="518"/>
      <c r="E13" s="518"/>
      <c r="F13" s="522" t="s">
        <v>1248</v>
      </c>
      <c r="G13" s="515"/>
    </row>
    <row r="14" spans="1:7" ht="12.75" x14ac:dyDescent="0.2">
      <c r="A14" s="520"/>
      <c r="B14" s="520"/>
      <c r="C14" s="520"/>
      <c r="D14" s="520"/>
      <c r="E14" s="520"/>
      <c r="F14" s="521"/>
      <c r="G14" s="515"/>
    </row>
    <row r="15" spans="1:7" ht="12.75" x14ac:dyDescent="0.2">
      <c r="A15" s="516"/>
      <c r="B15" s="516"/>
      <c r="C15" s="516"/>
      <c r="D15" s="516"/>
      <c r="E15" s="516"/>
      <c r="F15" s="749" t="s">
        <v>500</v>
      </c>
      <c r="G15" s="515"/>
    </row>
    <row r="16" spans="1:7" ht="12.75" x14ac:dyDescent="0.2">
      <c r="A16" s="516"/>
      <c r="B16" s="516"/>
      <c r="C16" s="516"/>
      <c r="D16" s="516"/>
      <c r="E16" s="516"/>
      <c r="F16" s="516"/>
      <c r="G16" s="515"/>
    </row>
    <row r="17" spans="1:10" ht="12.75" x14ac:dyDescent="0.2">
      <c r="A17" s="516"/>
      <c r="B17" s="516"/>
      <c r="C17" s="516" t="s">
        <v>1583</v>
      </c>
      <c r="D17" s="516"/>
      <c r="E17" s="516"/>
      <c r="F17" s="516"/>
      <c r="G17" s="515"/>
    </row>
    <row r="18" spans="1:10" ht="12.75" x14ac:dyDescent="0.2">
      <c r="A18" s="516"/>
      <c r="B18" s="516"/>
      <c r="C18" s="516" t="s">
        <v>791</v>
      </c>
      <c r="D18" s="516"/>
      <c r="E18" s="516"/>
      <c r="F18" s="516"/>
      <c r="G18" s="515"/>
    </row>
    <row r="19" spans="1:10" ht="12.75" x14ac:dyDescent="0.2">
      <c r="A19" s="516"/>
      <c r="B19" s="516"/>
      <c r="C19" s="516"/>
      <c r="D19" s="516"/>
      <c r="E19" s="516"/>
      <c r="F19" s="516"/>
      <c r="G19" s="515"/>
    </row>
    <row r="20" spans="1:10" ht="12.75" x14ac:dyDescent="0.2">
      <c r="A20" s="516"/>
      <c r="B20" s="516"/>
      <c r="C20" s="90"/>
      <c r="D20" s="90"/>
      <c r="E20" s="90"/>
      <c r="F20" s="92"/>
      <c r="G20" s="515"/>
    </row>
    <row r="21" spans="1:10" ht="12.75" x14ac:dyDescent="0.2">
      <c r="A21" s="749">
        <v>1</v>
      </c>
      <c r="B21" s="516"/>
      <c r="C21" s="90" t="s">
        <v>902</v>
      </c>
      <c r="D21" s="90"/>
      <c r="E21" s="523"/>
      <c r="F21" s="976">
        <v>20000</v>
      </c>
      <c r="G21" s="515"/>
      <c r="H21" s="516"/>
      <c r="I21" s="516"/>
      <c r="J21" s="516"/>
    </row>
    <row r="22" spans="1:10" ht="12.75" x14ac:dyDescent="0.2">
      <c r="A22" s="749">
        <f>1+A21</f>
        <v>2</v>
      </c>
      <c r="B22" s="516"/>
      <c r="C22" s="90" t="s">
        <v>901</v>
      </c>
      <c r="D22" s="90"/>
      <c r="E22" s="413"/>
      <c r="F22" s="951">
        <f>138000+30000</f>
        <v>168000</v>
      </c>
      <c r="G22" s="515"/>
      <c r="H22" s="516"/>
      <c r="I22" s="516"/>
      <c r="J22" s="516"/>
    </row>
    <row r="23" spans="1:10" ht="12.75" x14ac:dyDescent="0.2">
      <c r="A23" s="749">
        <f>1+A22</f>
        <v>3</v>
      </c>
      <c r="B23" s="516"/>
      <c r="C23" s="90" t="s">
        <v>1006</v>
      </c>
      <c r="D23" s="90"/>
      <c r="E23" s="413"/>
      <c r="F23" s="951">
        <v>5000</v>
      </c>
      <c r="G23" s="515"/>
      <c r="H23" s="516"/>
      <c r="I23" s="516"/>
      <c r="J23" s="516"/>
    </row>
    <row r="24" spans="1:10" ht="12.75" x14ac:dyDescent="0.2">
      <c r="A24" s="749">
        <f>1+A23</f>
        <v>4</v>
      </c>
      <c r="B24" s="516"/>
      <c r="C24" s="90" t="s">
        <v>1117</v>
      </c>
      <c r="D24" s="90"/>
      <c r="E24" s="524"/>
      <c r="F24" s="952">
        <v>36000</v>
      </c>
      <c r="G24" s="515"/>
      <c r="H24" s="524"/>
      <c r="I24" s="516"/>
      <c r="J24" s="516"/>
    </row>
    <row r="25" spans="1:10" ht="12.75" x14ac:dyDescent="0.2">
      <c r="A25" s="749">
        <f>1+A24</f>
        <v>5</v>
      </c>
      <c r="B25" s="516"/>
      <c r="C25" s="90" t="s">
        <v>903</v>
      </c>
      <c r="D25" s="90"/>
      <c r="E25" s="524"/>
      <c r="F25" s="952">
        <v>1000</v>
      </c>
      <c r="G25" s="515"/>
      <c r="H25" s="524"/>
      <c r="I25" s="516"/>
      <c r="J25" s="516"/>
    </row>
    <row r="26" spans="1:10" ht="12.75" x14ac:dyDescent="0.2">
      <c r="A26" s="749">
        <f>1+A25</f>
        <v>6</v>
      </c>
      <c r="B26" s="516"/>
      <c r="C26" s="516" t="s">
        <v>622</v>
      </c>
      <c r="D26" s="90"/>
      <c r="E26" s="524"/>
      <c r="F26" s="953">
        <v>50904</v>
      </c>
      <c r="G26" s="515"/>
      <c r="H26" s="524"/>
      <c r="I26" s="516"/>
      <c r="J26" s="516"/>
    </row>
    <row r="27" spans="1:10" ht="12.75" x14ac:dyDescent="0.2">
      <c r="A27" s="749"/>
      <c r="B27" s="516"/>
      <c r="C27" s="90"/>
      <c r="D27" s="90"/>
      <c r="E27" s="413"/>
      <c r="F27" s="516"/>
      <c r="G27" s="516"/>
      <c r="H27" s="516"/>
      <c r="I27" s="516"/>
      <c r="J27" s="516"/>
    </row>
    <row r="28" spans="1:10" ht="12.75" x14ac:dyDescent="0.2">
      <c r="A28" s="749">
        <f>1+A26</f>
        <v>7</v>
      </c>
      <c r="B28" s="516"/>
      <c r="C28" s="90" t="s">
        <v>1118</v>
      </c>
      <c r="D28" s="90"/>
      <c r="E28" s="413"/>
      <c r="F28" s="413">
        <f>SUM(F21:F26)</f>
        <v>280904</v>
      </c>
      <c r="G28" s="516"/>
      <c r="H28" s="520"/>
      <c r="I28" s="516"/>
      <c r="J28" s="516"/>
    </row>
    <row r="29" spans="1:10" ht="12.75" x14ac:dyDescent="0.2">
      <c r="A29" s="749"/>
      <c r="B29" s="516"/>
      <c r="C29" s="90"/>
      <c r="D29" s="90"/>
      <c r="E29" s="413"/>
      <c r="F29" s="413"/>
      <c r="G29" s="515"/>
      <c r="H29" s="520"/>
      <c r="I29" s="516"/>
      <c r="J29" s="516"/>
    </row>
    <row r="30" spans="1:10" ht="12.75" x14ac:dyDescent="0.2">
      <c r="A30" s="749">
        <f>1+A28</f>
        <v>8</v>
      </c>
      <c r="B30" s="516"/>
      <c r="C30" s="90" t="s">
        <v>904</v>
      </c>
      <c r="E30" s="413"/>
      <c r="F30" s="524">
        <f>ROUND(F28/2,0)</f>
        <v>140452</v>
      </c>
      <c r="G30" s="515"/>
      <c r="H30" s="516"/>
      <c r="I30" s="516"/>
      <c r="J30" s="516"/>
    </row>
    <row r="31" spans="1:10" ht="12.75" x14ac:dyDescent="0.2">
      <c r="A31" s="749"/>
      <c r="B31" s="516"/>
      <c r="C31" s="90"/>
      <c r="E31" s="413"/>
      <c r="F31" s="524"/>
      <c r="G31" s="515"/>
      <c r="H31" s="516"/>
      <c r="I31" s="516"/>
      <c r="J31" s="516"/>
    </row>
    <row r="32" spans="1:10" ht="12.75" x14ac:dyDescent="0.2">
      <c r="A32" s="749">
        <f>1+A30</f>
        <v>9</v>
      </c>
      <c r="B32" s="516"/>
      <c r="C32" s="90" t="s">
        <v>1471</v>
      </c>
      <c r="E32" s="413"/>
      <c r="F32" s="416">
        <f>ROUND(4381.72*12,0)</f>
        <v>52581</v>
      </c>
      <c r="G32" s="515"/>
      <c r="H32" s="516"/>
      <c r="I32" s="516"/>
      <c r="J32" s="516"/>
    </row>
    <row r="33" spans="1:10" ht="12.75" x14ac:dyDescent="0.2">
      <c r="A33" s="749"/>
      <c r="B33" s="516"/>
      <c r="C33" s="90"/>
      <c r="D33" s="90"/>
      <c r="E33" s="90"/>
      <c r="F33" s="516"/>
      <c r="G33" s="515"/>
      <c r="H33" s="516"/>
      <c r="I33" s="516"/>
      <c r="J33" s="516"/>
    </row>
    <row r="34" spans="1:10" ht="12.75" x14ac:dyDescent="0.2">
      <c r="A34" s="749">
        <f>1+A32</f>
        <v>10</v>
      </c>
      <c r="B34" s="516"/>
      <c r="C34" s="90" t="s">
        <v>1573</v>
      </c>
      <c r="D34" s="90"/>
      <c r="E34" s="90"/>
      <c r="F34" s="516">
        <f>F30-F32</f>
        <v>87871</v>
      </c>
      <c r="G34" s="515"/>
      <c r="H34" s="516"/>
      <c r="I34" s="516"/>
      <c r="J34" s="516"/>
    </row>
    <row r="35" spans="1:10" ht="12.75" x14ac:dyDescent="0.2">
      <c r="A35" s="749"/>
      <c r="B35" s="516"/>
      <c r="C35" s="90"/>
      <c r="D35" s="90"/>
      <c r="E35" s="90"/>
      <c r="F35" s="516"/>
      <c r="G35" s="515"/>
      <c r="H35" s="516"/>
      <c r="I35" s="516"/>
      <c r="J35" s="516"/>
    </row>
    <row r="36" spans="1:10" ht="12.75" x14ac:dyDescent="0.2">
      <c r="A36" s="749">
        <f>1+A34</f>
        <v>11</v>
      </c>
      <c r="C36" s="563" t="s">
        <v>1574</v>
      </c>
      <c r="D36" s="563"/>
      <c r="E36" s="563"/>
      <c r="F36" s="571">
        <v>1</v>
      </c>
      <c r="G36" s="515"/>
      <c r="H36" s="516"/>
      <c r="I36" s="516"/>
      <c r="J36" s="516"/>
    </row>
    <row r="37" spans="1:10" ht="12.75" x14ac:dyDescent="0.2">
      <c r="A37" s="749"/>
      <c r="C37" s="563"/>
      <c r="D37" s="563"/>
      <c r="E37" s="563"/>
      <c r="F37" s="563"/>
      <c r="G37" s="515"/>
      <c r="H37" s="516"/>
      <c r="I37" s="516"/>
      <c r="J37" s="516"/>
    </row>
    <row r="38" spans="1:10" ht="12.75" x14ac:dyDescent="0.2">
      <c r="A38" s="749">
        <f>1+A36</f>
        <v>12</v>
      </c>
      <c r="C38" s="563" t="s">
        <v>1575</v>
      </c>
      <c r="D38" s="514" t="s">
        <v>419</v>
      </c>
      <c r="E38" s="526" t="s">
        <v>418</v>
      </c>
      <c r="F38" s="747">
        <f>ROUND(F34*F36,0)</f>
        <v>87871</v>
      </c>
      <c r="G38" s="515"/>
    </row>
  </sheetData>
  <mergeCells count="5">
    <mergeCell ref="A5:F5"/>
    <mergeCell ref="A1:F1"/>
    <mergeCell ref="A2:F2"/>
    <mergeCell ref="A3:F3"/>
    <mergeCell ref="A4:F4"/>
  </mergeCells>
  <phoneticPr fontId="3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0"/>
  <sheetViews>
    <sheetView workbookViewId="0">
      <selection activeCell="A11" sqref="A11"/>
    </sheetView>
  </sheetViews>
  <sheetFormatPr defaultColWidth="10.6640625" defaultRowHeight="12.75" x14ac:dyDescent="0.2"/>
  <cols>
    <col min="1" max="1" width="5.83203125" style="572" bestFit="1" customWidth="1"/>
    <col min="2" max="2" width="23.6640625" style="572" customWidth="1"/>
    <col min="3" max="3" width="13.33203125" style="572" customWidth="1"/>
    <col min="4" max="4" width="13.33203125" style="572" bestFit="1" customWidth="1"/>
    <col min="5" max="5" width="21.6640625" style="572" bestFit="1" customWidth="1"/>
    <col min="6" max="6" width="13.33203125" style="572" customWidth="1"/>
    <col min="7" max="7" width="14.6640625" style="572" bestFit="1" customWidth="1"/>
    <col min="8" max="8" width="17" style="572" bestFit="1" customWidth="1"/>
    <col min="9" max="9" width="17.5" style="572" bestFit="1" customWidth="1"/>
    <col min="10" max="10" width="15" style="572" bestFit="1" customWidth="1"/>
    <col min="11" max="11" width="16.5" style="572" customWidth="1"/>
    <col min="12" max="12" width="3.6640625" style="572" bestFit="1" customWidth="1"/>
    <col min="13" max="13" width="12" style="572" bestFit="1" customWidth="1"/>
    <col min="14" max="14" width="67.5" style="572" bestFit="1" customWidth="1"/>
    <col min="15" max="15" width="11.33203125" style="572" bestFit="1" customWidth="1"/>
    <col min="16" max="16384" width="10.6640625" style="572"/>
  </cols>
  <sheetData>
    <row r="1" spans="1:11" ht="12.75" customHeight="1" x14ac:dyDescent="0.2">
      <c r="A1" s="1455" t="s">
        <v>477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</row>
    <row r="2" spans="1:11" ht="12.75" customHeight="1" x14ac:dyDescent="0.2">
      <c r="A2" s="1455" t="str">
        <f>+Input!C4</f>
        <v>CASE NO. 2017-xxxxx</v>
      </c>
      <c r="B2" s="1455"/>
      <c r="C2" s="1455"/>
      <c r="D2" s="1455"/>
      <c r="E2" s="1455"/>
      <c r="F2" s="1455"/>
      <c r="G2" s="1455"/>
      <c r="H2" s="1455"/>
      <c r="I2" s="1455"/>
      <c r="J2" s="1455"/>
      <c r="K2" s="1455"/>
    </row>
    <row r="3" spans="1:11" ht="12.75" customHeight="1" x14ac:dyDescent="0.2">
      <c r="A3" s="1455" t="s">
        <v>1500</v>
      </c>
      <c r="B3" s="1455"/>
      <c r="C3" s="1455"/>
      <c r="D3" s="1455"/>
      <c r="E3" s="1455"/>
      <c r="F3" s="1455"/>
      <c r="G3" s="1455"/>
      <c r="H3" s="1455"/>
      <c r="I3" s="1455"/>
      <c r="J3" s="1455"/>
      <c r="K3" s="1455"/>
    </row>
    <row r="4" spans="1:11" ht="12.75" customHeight="1" x14ac:dyDescent="0.2">
      <c r="A4" s="1454" t="s">
        <v>1597</v>
      </c>
      <c r="B4" s="1454"/>
      <c r="C4" s="1454"/>
      <c r="D4" s="1454"/>
      <c r="E4" s="1454"/>
      <c r="F4" s="1454"/>
      <c r="G4" s="1454"/>
      <c r="H4" s="1454"/>
      <c r="I4" s="1454"/>
      <c r="J4" s="1454"/>
      <c r="K4" s="1454"/>
    </row>
    <row r="5" spans="1:11" ht="12.75" customHeight="1" x14ac:dyDescent="0.2">
      <c r="A5" s="1454" t="str">
        <f>+Input!C6</f>
        <v>TWELVE MONTHS ENDED DECEMBER 31, 2017</v>
      </c>
      <c r="B5" s="1454"/>
      <c r="C5" s="1454"/>
      <c r="D5" s="1454"/>
      <c r="E5" s="1454"/>
      <c r="F5" s="1454"/>
      <c r="G5" s="1454"/>
      <c r="H5" s="1454"/>
      <c r="I5" s="1454"/>
      <c r="J5" s="1454"/>
      <c r="K5" s="1454"/>
    </row>
    <row r="6" spans="1:11" ht="12.75" customHeight="1" x14ac:dyDescent="0.2"/>
    <row r="7" spans="1:11" ht="12.75" customHeight="1" x14ac:dyDescent="0.2"/>
    <row r="8" spans="1:11" ht="12.75" customHeight="1" x14ac:dyDescent="0.2">
      <c r="A8" s="573" t="s">
        <v>839</v>
      </c>
      <c r="K8" s="575" t="s">
        <v>1712</v>
      </c>
    </row>
    <row r="9" spans="1:11" ht="12.75" customHeight="1" x14ac:dyDescent="0.2">
      <c r="A9" s="573" t="s">
        <v>490</v>
      </c>
      <c r="K9" s="575" t="s">
        <v>284</v>
      </c>
    </row>
    <row r="10" spans="1:11" ht="12.75" customHeight="1" x14ac:dyDescent="0.2">
      <c r="A10" s="738" t="s">
        <v>1727</v>
      </c>
      <c r="B10" s="576"/>
      <c r="C10" s="576"/>
      <c r="D10" s="576"/>
      <c r="E10" s="576"/>
      <c r="F10" s="576"/>
      <c r="G10" s="576"/>
      <c r="H10" s="576"/>
      <c r="I10" s="576"/>
      <c r="J10" s="576"/>
      <c r="K10" s="577" t="str">
        <f>+Input!E27</f>
        <v>WITNESS:  C. Y. LAI</v>
      </c>
    </row>
    <row r="11" spans="1:11" ht="12.75" customHeight="1" x14ac:dyDescent="0.2">
      <c r="A11" s="744"/>
      <c r="B11" s="739"/>
      <c r="C11" s="739"/>
      <c r="D11" s="739"/>
      <c r="E11" s="1101" t="s">
        <v>1613</v>
      </c>
      <c r="F11" s="1088" t="s">
        <v>1083</v>
      </c>
      <c r="G11" s="1088"/>
      <c r="H11" s="739" t="s">
        <v>1086</v>
      </c>
      <c r="I11" s="739"/>
      <c r="J11" s="739"/>
      <c r="K11" s="745"/>
    </row>
    <row r="12" spans="1:11" ht="12.75" customHeight="1" x14ac:dyDescent="0.2">
      <c r="C12" s="1002" t="s">
        <v>525</v>
      </c>
      <c r="D12" s="1095" t="s">
        <v>1081</v>
      </c>
      <c r="E12" s="1100" t="s">
        <v>1091</v>
      </c>
      <c r="F12" s="1002" t="s">
        <v>1447</v>
      </c>
      <c r="G12" s="1002" t="s">
        <v>1085</v>
      </c>
      <c r="H12" s="1002" t="s">
        <v>1087</v>
      </c>
      <c r="I12" s="1002" t="s">
        <v>999</v>
      </c>
      <c r="K12" s="1006" t="s">
        <v>523</v>
      </c>
    </row>
    <row r="13" spans="1:11" ht="12.75" customHeight="1" x14ac:dyDescent="0.2">
      <c r="A13" s="667" t="s">
        <v>493</v>
      </c>
      <c r="B13" s="578" t="s">
        <v>1143</v>
      </c>
      <c r="C13" s="578" t="s">
        <v>1121</v>
      </c>
      <c r="D13" s="578" t="s">
        <v>1082</v>
      </c>
      <c r="E13" s="1100" t="s">
        <v>1092</v>
      </c>
      <c r="F13" s="578" t="s">
        <v>1084</v>
      </c>
      <c r="G13" s="578" t="s">
        <v>1449</v>
      </c>
      <c r="H13" s="578" t="s">
        <v>1088</v>
      </c>
      <c r="I13" s="578" t="s">
        <v>1000</v>
      </c>
      <c r="J13" s="578" t="s">
        <v>525</v>
      </c>
      <c r="K13" s="1007" t="s">
        <v>1623</v>
      </c>
    </row>
    <row r="14" spans="1:11" ht="12.75" customHeight="1" x14ac:dyDescent="0.2">
      <c r="A14" s="998" t="s">
        <v>496</v>
      </c>
      <c r="B14" s="999" t="s">
        <v>496</v>
      </c>
      <c r="C14" s="999" t="s">
        <v>1617</v>
      </c>
      <c r="D14" s="999" t="s">
        <v>1617</v>
      </c>
      <c r="E14" s="1003" t="s">
        <v>1626</v>
      </c>
      <c r="F14" s="1003" t="s">
        <v>1619</v>
      </c>
      <c r="G14" s="999" t="s">
        <v>1084</v>
      </c>
      <c r="H14" s="999" t="s">
        <v>1089</v>
      </c>
      <c r="I14" s="1099" t="s">
        <v>1084</v>
      </c>
      <c r="J14" s="999" t="s">
        <v>1248</v>
      </c>
      <c r="K14" s="999" t="s">
        <v>1235</v>
      </c>
    </row>
    <row r="15" spans="1:11" ht="12.75" customHeight="1" x14ac:dyDescent="0.2">
      <c r="A15" s="750" t="s">
        <v>532</v>
      </c>
      <c r="B15" s="1005" t="s">
        <v>533</v>
      </c>
      <c r="C15" s="1005" t="s">
        <v>534</v>
      </c>
      <c r="D15" s="1005" t="s">
        <v>535</v>
      </c>
      <c r="E15" s="1005" t="s">
        <v>1620</v>
      </c>
      <c r="F15" s="1005" t="s">
        <v>1090</v>
      </c>
      <c r="G15" s="1005" t="s">
        <v>1558</v>
      </c>
      <c r="H15" s="1005" t="s">
        <v>1621</v>
      </c>
      <c r="I15" s="1005" t="s">
        <v>1622</v>
      </c>
      <c r="J15" s="1102" t="s">
        <v>1093</v>
      </c>
      <c r="K15" s="1005" t="s">
        <v>1094</v>
      </c>
    </row>
    <row r="16" spans="1:11" ht="12.75" customHeight="1" x14ac:dyDescent="0.2">
      <c r="K16" s="578" t="s">
        <v>500</v>
      </c>
    </row>
    <row r="17" spans="1:15" ht="12.75" customHeight="1" x14ac:dyDescent="0.2">
      <c r="C17" s="572" t="s">
        <v>866</v>
      </c>
    </row>
    <row r="18" spans="1:15" ht="12.75" customHeight="1" x14ac:dyDescent="0.2">
      <c r="C18" s="572" t="s">
        <v>1616</v>
      </c>
    </row>
    <row r="19" spans="1:15" ht="12.75" customHeight="1" x14ac:dyDescent="0.2">
      <c r="C19" s="572" t="s">
        <v>1615</v>
      </c>
      <c r="K19" s="914"/>
    </row>
    <row r="20" spans="1:15" ht="12.75" customHeight="1" x14ac:dyDescent="0.2">
      <c r="K20" s="914"/>
      <c r="O20" s="739"/>
    </row>
    <row r="21" spans="1:15" ht="12.75" customHeight="1" x14ac:dyDescent="0.2">
      <c r="A21" s="578">
        <v>1</v>
      </c>
      <c r="B21" s="578">
        <v>107</v>
      </c>
      <c r="C21" s="817">
        <v>574398</v>
      </c>
      <c r="D21" s="1096">
        <f>ROUND(C21/$C$43,7)</f>
        <v>5.9708900000000002E-2</v>
      </c>
      <c r="E21" s="572">
        <f>ROUND(D21*$E$43,0)</f>
        <v>-18658</v>
      </c>
      <c r="F21" s="572">
        <f>ROUND(D21*$F$43,0)</f>
        <v>5557</v>
      </c>
      <c r="G21" s="572">
        <f>ROUND(D21*$G$43,0)</f>
        <v>21286</v>
      </c>
      <c r="H21" s="572">
        <f>ROUND(D21*$H$43,0)</f>
        <v>6161</v>
      </c>
      <c r="I21" s="572">
        <f>ROUND(D21*$I$43,0)</f>
        <v>-7736</v>
      </c>
      <c r="J21" s="739">
        <f>SUM(E21:I21)+C21</f>
        <v>581008</v>
      </c>
      <c r="K21" s="915"/>
      <c r="L21" s="756"/>
      <c r="O21" s="739"/>
    </row>
    <row r="22" spans="1:15" ht="12.75" customHeight="1" x14ac:dyDescent="0.2">
      <c r="A22" s="578">
        <f>A21+1</f>
        <v>2</v>
      </c>
      <c r="B22" s="578">
        <v>182</v>
      </c>
      <c r="C22" s="1000">
        <v>1260</v>
      </c>
      <c r="D22" s="1097">
        <f>ROUND(C22/$C$43,7)</f>
        <v>1.3100000000000001E-4</v>
      </c>
      <c r="E22" s="1001">
        <f>ROUND(D22*$E$43,0)</f>
        <v>-41</v>
      </c>
      <c r="F22" s="1001">
        <f>ROUND(D22*$F$43,0)</f>
        <v>12</v>
      </c>
      <c r="G22" s="1001">
        <f>ROUND(D22*$G$43,0)</f>
        <v>47</v>
      </c>
      <c r="H22" s="1001">
        <f>ROUND(D22*$H$43,0)</f>
        <v>14</v>
      </c>
      <c r="I22" s="1001">
        <f>ROUND(D22*$I$43,0)</f>
        <v>-17</v>
      </c>
      <c r="J22" s="761">
        <f>SUM(E22:I22)+C22</f>
        <v>1275</v>
      </c>
      <c r="K22" s="915"/>
      <c r="L22" s="756"/>
      <c r="O22" s="739"/>
    </row>
    <row r="23" spans="1:15" ht="12.75" customHeight="1" x14ac:dyDescent="0.2">
      <c r="A23" s="578">
        <f>A22+1</f>
        <v>3</v>
      </c>
      <c r="B23" s="572" t="s">
        <v>1618</v>
      </c>
      <c r="C23" s="572">
        <f t="shared" ref="C23:J23" si="0">SUM(C21:C22)</f>
        <v>575658</v>
      </c>
      <c r="D23" s="1096">
        <f t="shared" si="0"/>
        <v>5.9839900000000001E-2</v>
      </c>
      <c r="E23" s="572">
        <f t="shared" si="0"/>
        <v>-18699</v>
      </c>
      <c r="F23" s="572">
        <f t="shared" si="0"/>
        <v>5569</v>
      </c>
      <c r="G23" s="572">
        <f t="shared" si="0"/>
        <v>21333</v>
      </c>
      <c r="H23" s="572">
        <f t="shared" si="0"/>
        <v>6175</v>
      </c>
      <c r="I23" s="572">
        <f t="shared" si="0"/>
        <v>-7753</v>
      </c>
      <c r="J23" s="572">
        <f t="shared" si="0"/>
        <v>582283</v>
      </c>
      <c r="L23" s="756"/>
      <c r="O23" s="739"/>
    </row>
    <row r="24" spans="1:15" ht="12.75" customHeight="1" x14ac:dyDescent="0.2">
      <c r="A24" s="578"/>
      <c r="D24" s="1096"/>
      <c r="L24" s="756"/>
      <c r="O24" s="739"/>
    </row>
    <row r="25" spans="1:15" ht="12.75" customHeight="1" x14ac:dyDescent="0.2">
      <c r="A25" s="578">
        <f>A23+1</f>
        <v>4</v>
      </c>
      <c r="B25" s="578" t="s">
        <v>1627</v>
      </c>
      <c r="C25" s="817">
        <v>375578</v>
      </c>
      <c r="D25" s="1096">
        <f t="shared" ref="D25:D37" si="1">ROUND(C25/$C$43,7)</f>
        <v>3.90415E-2</v>
      </c>
      <c r="E25" s="572">
        <f t="shared" ref="E25:E37" si="2">ROUND(D25*$E$43,0)</f>
        <v>-12200</v>
      </c>
      <c r="F25" s="572">
        <f t="shared" ref="F25:F37" si="3">ROUND(D25*$F$43,0)</f>
        <v>3634</v>
      </c>
      <c r="G25" s="572">
        <f t="shared" ref="G25:G37" si="4">ROUND(D25*$G$43,0)</f>
        <v>13918</v>
      </c>
      <c r="H25" s="572">
        <f t="shared" ref="H25:H37" si="5">ROUND(D25*$H$43,0)</f>
        <v>4028</v>
      </c>
      <c r="I25" s="572">
        <f t="shared" ref="I25:I37" si="6">ROUND(D25*$I$43,0)</f>
        <v>-5059</v>
      </c>
      <c r="J25" s="739">
        <f t="shared" ref="J25:J37" si="7">SUM(E25:I25)+C25</f>
        <v>379899</v>
      </c>
      <c r="K25" s="914">
        <f t="shared" ref="K25:K37" si="8">J25-C25</f>
        <v>4321</v>
      </c>
      <c r="L25" s="756"/>
      <c r="O25" s="739"/>
    </row>
    <row r="26" spans="1:15" ht="12.75" customHeight="1" x14ac:dyDescent="0.2">
      <c r="A26" s="578">
        <f t="shared" ref="A26:A41" si="9">A25+1</f>
        <v>5</v>
      </c>
      <c r="B26" s="578" t="s">
        <v>1628</v>
      </c>
      <c r="C26" s="817">
        <v>576304</v>
      </c>
      <c r="D26" s="1096">
        <f t="shared" si="1"/>
        <v>5.9907000000000002E-2</v>
      </c>
      <c r="E26" s="572">
        <f t="shared" si="2"/>
        <v>-18720</v>
      </c>
      <c r="F26" s="572">
        <f t="shared" si="3"/>
        <v>5576</v>
      </c>
      <c r="G26" s="572">
        <f t="shared" si="4"/>
        <v>21356</v>
      </c>
      <c r="H26" s="572">
        <f t="shared" si="5"/>
        <v>6181</v>
      </c>
      <c r="I26" s="572">
        <f t="shared" si="6"/>
        <v>-7762</v>
      </c>
      <c r="J26" s="739">
        <f t="shared" si="7"/>
        <v>582935</v>
      </c>
      <c r="K26" s="914">
        <f t="shared" si="8"/>
        <v>6631</v>
      </c>
      <c r="L26" s="756"/>
      <c r="O26" s="739"/>
    </row>
    <row r="27" spans="1:15" ht="12.75" customHeight="1" x14ac:dyDescent="0.2">
      <c r="A27" s="578">
        <f t="shared" si="9"/>
        <v>6</v>
      </c>
      <c r="B27" s="578" t="s">
        <v>1629</v>
      </c>
      <c r="C27" s="817">
        <v>2058</v>
      </c>
      <c r="D27" s="1096">
        <f t="shared" si="1"/>
        <v>2.139E-4</v>
      </c>
      <c r="E27" s="572">
        <f t="shared" si="2"/>
        <v>-67</v>
      </c>
      <c r="F27" s="572">
        <f t="shared" si="3"/>
        <v>20</v>
      </c>
      <c r="G27" s="572">
        <f t="shared" si="4"/>
        <v>76</v>
      </c>
      <c r="H27" s="572">
        <f t="shared" si="5"/>
        <v>22</v>
      </c>
      <c r="I27" s="572">
        <f t="shared" si="6"/>
        <v>-28</v>
      </c>
      <c r="J27" s="739">
        <f t="shared" si="7"/>
        <v>2081</v>
      </c>
      <c r="K27" s="914">
        <f t="shared" si="8"/>
        <v>23</v>
      </c>
      <c r="L27" s="756"/>
      <c r="O27" s="739"/>
    </row>
    <row r="28" spans="1:15" ht="12.75" customHeight="1" x14ac:dyDescent="0.2">
      <c r="A28" s="578">
        <f t="shared" si="9"/>
        <v>7</v>
      </c>
      <c r="B28" s="578" t="s">
        <v>1630</v>
      </c>
      <c r="C28" s="817">
        <v>157</v>
      </c>
      <c r="D28" s="1096">
        <f t="shared" si="1"/>
        <v>1.63E-5</v>
      </c>
      <c r="E28" s="572">
        <f t="shared" si="2"/>
        <v>-5</v>
      </c>
      <c r="F28" s="572">
        <f t="shared" si="3"/>
        <v>2</v>
      </c>
      <c r="G28" s="572">
        <f t="shared" si="4"/>
        <v>6</v>
      </c>
      <c r="H28" s="572">
        <f t="shared" si="5"/>
        <v>2</v>
      </c>
      <c r="I28" s="572">
        <f t="shared" si="6"/>
        <v>-2</v>
      </c>
      <c r="J28" s="739">
        <f t="shared" si="7"/>
        <v>160</v>
      </c>
      <c r="K28" s="914">
        <f t="shared" si="8"/>
        <v>3</v>
      </c>
      <c r="L28" s="756"/>
      <c r="O28" s="739"/>
    </row>
    <row r="29" spans="1:15" ht="12.75" customHeight="1" x14ac:dyDescent="0.2">
      <c r="A29" s="578">
        <f t="shared" si="9"/>
        <v>8</v>
      </c>
      <c r="B29" s="578" t="s">
        <v>1631</v>
      </c>
      <c r="C29" s="817">
        <v>2439</v>
      </c>
      <c r="D29" s="1096">
        <f t="shared" si="1"/>
        <v>2.5349999999999998E-4</v>
      </c>
      <c r="E29" s="572">
        <f t="shared" si="2"/>
        <v>-79</v>
      </c>
      <c r="F29" s="572">
        <f t="shared" si="3"/>
        <v>24</v>
      </c>
      <c r="G29" s="572">
        <f t="shared" si="4"/>
        <v>90</v>
      </c>
      <c r="H29" s="572">
        <f t="shared" si="5"/>
        <v>26</v>
      </c>
      <c r="I29" s="572">
        <f t="shared" si="6"/>
        <v>-33</v>
      </c>
      <c r="J29" s="739">
        <f t="shared" si="7"/>
        <v>2467</v>
      </c>
      <c r="K29" s="914">
        <f t="shared" si="8"/>
        <v>28</v>
      </c>
      <c r="L29" s="756"/>
      <c r="O29" s="739"/>
    </row>
    <row r="30" spans="1:15" ht="12.75" customHeight="1" x14ac:dyDescent="0.2">
      <c r="A30" s="578">
        <f t="shared" si="9"/>
        <v>9</v>
      </c>
      <c r="B30" s="578" t="s">
        <v>1632</v>
      </c>
      <c r="C30" s="817">
        <v>1495</v>
      </c>
      <c r="D30" s="1096">
        <f t="shared" si="1"/>
        <v>1.5540000000000001E-4</v>
      </c>
      <c r="E30" s="572">
        <f t="shared" si="2"/>
        <v>-49</v>
      </c>
      <c r="F30" s="572">
        <f t="shared" si="3"/>
        <v>14</v>
      </c>
      <c r="G30" s="572">
        <f t="shared" si="4"/>
        <v>55</v>
      </c>
      <c r="H30" s="572">
        <f t="shared" si="5"/>
        <v>16</v>
      </c>
      <c r="I30" s="572">
        <f t="shared" si="6"/>
        <v>-20</v>
      </c>
      <c r="J30" s="739">
        <f t="shared" si="7"/>
        <v>1511</v>
      </c>
      <c r="K30" s="914">
        <f t="shared" si="8"/>
        <v>16</v>
      </c>
      <c r="L30" s="756"/>
      <c r="O30" s="739"/>
    </row>
    <row r="31" spans="1:15" ht="12.75" customHeight="1" x14ac:dyDescent="0.2">
      <c r="A31" s="578">
        <f t="shared" si="9"/>
        <v>10</v>
      </c>
      <c r="B31" s="578" t="s">
        <v>1633</v>
      </c>
      <c r="C31" s="817">
        <v>1083377</v>
      </c>
      <c r="D31" s="1096">
        <f t="shared" si="1"/>
        <v>0.11261740000000001</v>
      </c>
      <c r="E31" s="572">
        <f t="shared" si="2"/>
        <v>-35190</v>
      </c>
      <c r="F31" s="572">
        <f t="shared" si="3"/>
        <v>10481</v>
      </c>
      <c r="G31" s="572">
        <f t="shared" si="4"/>
        <v>40147</v>
      </c>
      <c r="H31" s="572">
        <f t="shared" si="5"/>
        <v>11620</v>
      </c>
      <c r="I31" s="572">
        <f t="shared" si="6"/>
        <v>-14592</v>
      </c>
      <c r="J31" s="739">
        <f t="shared" si="7"/>
        <v>1095843</v>
      </c>
      <c r="K31" s="914">
        <f t="shared" si="8"/>
        <v>12466</v>
      </c>
      <c r="L31" s="756"/>
      <c r="O31" s="739"/>
    </row>
    <row r="32" spans="1:15" ht="12.75" customHeight="1" x14ac:dyDescent="0.2">
      <c r="A32" s="578">
        <f t="shared" si="9"/>
        <v>11</v>
      </c>
      <c r="B32" s="578" t="s">
        <v>1634</v>
      </c>
      <c r="C32" s="817">
        <v>69557</v>
      </c>
      <c r="D32" s="1096">
        <f t="shared" si="1"/>
        <v>7.2304999999999999E-3</v>
      </c>
      <c r="E32" s="572">
        <f t="shared" si="2"/>
        <v>-2259</v>
      </c>
      <c r="F32" s="572">
        <f t="shared" si="3"/>
        <v>673</v>
      </c>
      <c r="G32" s="572">
        <f t="shared" si="4"/>
        <v>2578</v>
      </c>
      <c r="H32" s="572">
        <f t="shared" si="5"/>
        <v>746</v>
      </c>
      <c r="I32" s="572">
        <f t="shared" si="6"/>
        <v>-937</v>
      </c>
      <c r="J32" s="739">
        <f t="shared" si="7"/>
        <v>70358</v>
      </c>
      <c r="K32" s="914">
        <f t="shared" si="8"/>
        <v>801</v>
      </c>
      <c r="L32" s="756"/>
      <c r="O32" s="739"/>
    </row>
    <row r="33" spans="1:15" ht="12.75" customHeight="1" x14ac:dyDescent="0.2">
      <c r="A33" s="578">
        <f t="shared" si="9"/>
        <v>12</v>
      </c>
      <c r="B33" s="578" t="s">
        <v>1635</v>
      </c>
      <c r="C33" s="817">
        <v>55710</v>
      </c>
      <c r="D33" s="1096">
        <f t="shared" si="1"/>
        <v>5.7911000000000004E-3</v>
      </c>
      <c r="E33" s="572">
        <f t="shared" si="2"/>
        <v>-1810</v>
      </c>
      <c r="F33" s="572">
        <f t="shared" si="3"/>
        <v>539</v>
      </c>
      <c r="G33" s="572">
        <f t="shared" si="4"/>
        <v>2064</v>
      </c>
      <c r="H33" s="572">
        <f t="shared" si="5"/>
        <v>598</v>
      </c>
      <c r="I33" s="572">
        <f t="shared" si="6"/>
        <v>-750</v>
      </c>
      <c r="J33" s="739">
        <f t="shared" si="7"/>
        <v>56351</v>
      </c>
      <c r="K33" s="914">
        <f t="shared" si="8"/>
        <v>641</v>
      </c>
      <c r="L33" s="756"/>
      <c r="O33" s="739"/>
    </row>
    <row r="34" spans="1:15" ht="12.75" customHeight="1" x14ac:dyDescent="0.2">
      <c r="A34" s="578">
        <f t="shared" si="9"/>
        <v>13</v>
      </c>
      <c r="B34" s="578" t="s">
        <v>1636</v>
      </c>
      <c r="C34" s="817">
        <v>337304</v>
      </c>
      <c r="D34" s="1096">
        <f t="shared" si="1"/>
        <v>3.5062900000000001E-2</v>
      </c>
      <c r="E34" s="572">
        <f t="shared" si="2"/>
        <v>-10956</v>
      </c>
      <c r="F34" s="572">
        <f t="shared" si="3"/>
        <v>3263</v>
      </c>
      <c r="G34" s="572">
        <f t="shared" si="4"/>
        <v>12500</v>
      </c>
      <c r="H34" s="572">
        <f t="shared" si="5"/>
        <v>3618</v>
      </c>
      <c r="I34" s="572">
        <f t="shared" si="6"/>
        <v>-4543</v>
      </c>
      <c r="J34" s="739">
        <f t="shared" si="7"/>
        <v>341186</v>
      </c>
      <c r="K34" s="914">
        <f t="shared" si="8"/>
        <v>3882</v>
      </c>
      <c r="L34" s="756"/>
      <c r="O34" s="739"/>
    </row>
    <row r="35" spans="1:15" ht="12.75" customHeight="1" x14ac:dyDescent="0.2">
      <c r="A35" s="578">
        <f t="shared" si="9"/>
        <v>14</v>
      </c>
      <c r="B35" s="578" t="s">
        <v>1704</v>
      </c>
      <c r="C35" s="817">
        <v>2634</v>
      </c>
      <c r="D35" s="1096">
        <f t="shared" si="1"/>
        <v>2.7379999999999999E-4</v>
      </c>
      <c r="E35" s="572">
        <f t="shared" si="2"/>
        <v>-86</v>
      </c>
      <c r="F35" s="572">
        <f t="shared" si="3"/>
        <v>25</v>
      </c>
      <c r="G35" s="572">
        <f t="shared" si="4"/>
        <v>98</v>
      </c>
      <c r="H35" s="572">
        <f t="shared" si="5"/>
        <v>28</v>
      </c>
      <c r="I35" s="572">
        <f t="shared" si="6"/>
        <v>-35</v>
      </c>
      <c r="J35" s="739">
        <f t="shared" si="7"/>
        <v>2664</v>
      </c>
      <c r="K35" s="914">
        <f t="shared" si="8"/>
        <v>30</v>
      </c>
      <c r="L35" s="756"/>
      <c r="O35" s="739"/>
    </row>
    <row r="36" spans="1:15" ht="12.75" customHeight="1" x14ac:dyDescent="0.2">
      <c r="A36" s="578">
        <f t="shared" si="9"/>
        <v>15</v>
      </c>
      <c r="B36" s="578" t="s">
        <v>1705</v>
      </c>
      <c r="C36" s="817">
        <v>27787</v>
      </c>
      <c r="D36" s="1096">
        <f t="shared" si="1"/>
        <v>2.8885E-3</v>
      </c>
      <c r="E36" s="572">
        <f t="shared" si="2"/>
        <v>-903</v>
      </c>
      <c r="F36" s="572">
        <f t="shared" si="3"/>
        <v>269</v>
      </c>
      <c r="G36" s="572">
        <f t="shared" si="4"/>
        <v>1030</v>
      </c>
      <c r="H36" s="572">
        <f t="shared" si="5"/>
        <v>298</v>
      </c>
      <c r="I36" s="572">
        <f t="shared" si="6"/>
        <v>-374</v>
      </c>
      <c r="J36" s="739">
        <f t="shared" si="7"/>
        <v>28107</v>
      </c>
      <c r="K36" s="914">
        <f t="shared" si="8"/>
        <v>320</v>
      </c>
      <c r="L36" s="756"/>
      <c r="O36" s="739"/>
    </row>
    <row r="37" spans="1:15" ht="12.75" customHeight="1" x14ac:dyDescent="0.2">
      <c r="A37" s="578">
        <f t="shared" si="9"/>
        <v>16</v>
      </c>
      <c r="B37" s="578" t="s">
        <v>1706</v>
      </c>
      <c r="C37" s="1000">
        <v>5274</v>
      </c>
      <c r="D37" s="1097">
        <f t="shared" si="1"/>
        <v>5.4819999999999999E-4</v>
      </c>
      <c r="E37" s="1001">
        <f t="shared" si="2"/>
        <v>-171</v>
      </c>
      <c r="F37" s="1001">
        <f t="shared" si="3"/>
        <v>51</v>
      </c>
      <c r="G37" s="1001">
        <f t="shared" si="4"/>
        <v>195</v>
      </c>
      <c r="H37" s="1001">
        <f t="shared" si="5"/>
        <v>57</v>
      </c>
      <c r="I37" s="1001">
        <f t="shared" si="6"/>
        <v>-71</v>
      </c>
      <c r="J37" s="761">
        <f t="shared" si="7"/>
        <v>5335</v>
      </c>
      <c r="K37" s="1004">
        <f t="shared" si="8"/>
        <v>61</v>
      </c>
      <c r="L37" s="756"/>
      <c r="O37" s="739"/>
    </row>
    <row r="38" spans="1:15" ht="12.75" customHeight="1" x14ac:dyDescent="0.2">
      <c r="A38" s="578">
        <f t="shared" si="9"/>
        <v>17</v>
      </c>
      <c r="B38" s="572" t="s">
        <v>1624</v>
      </c>
      <c r="C38" s="572">
        <f>SUM(C25:C37)</f>
        <v>2539674</v>
      </c>
      <c r="D38" s="1096">
        <f t="shared" ref="D38:K38" si="10">SUM(D25:D37)</f>
        <v>0.26400000000000001</v>
      </c>
      <c r="E38" s="572">
        <f t="shared" si="10"/>
        <v>-82495</v>
      </c>
      <c r="F38" s="572">
        <f t="shared" si="10"/>
        <v>24571</v>
      </c>
      <c r="G38" s="572">
        <f t="shared" si="10"/>
        <v>94113</v>
      </c>
      <c r="H38" s="572">
        <f t="shared" si="10"/>
        <v>27240</v>
      </c>
      <c r="I38" s="572">
        <f t="shared" si="10"/>
        <v>-34206</v>
      </c>
      <c r="J38" s="572">
        <f t="shared" si="10"/>
        <v>2568897</v>
      </c>
      <c r="K38" s="572">
        <f t="shared" si="10"/>
        <v>29223</v>
      </c>
      <c r="L38" s="756"/>
      <c r="O38" s="739"/>
    </row>
    <row r="39" spans="1:15" ht="12.75" customHeight="1" x14ac:dyDescent="0.2">
      <c r="A39" s="578"/>
      <c r="B39" s="578"/>
      <c r="C39" s="817"/>
      <c r="D39" s="1098"/>
      <c r="K39" s="914"/>
      <c r="L39" s="756"/>
      <c r="O39" s="739"/>
    </row>
    <row r="40" spans="1:15" ht="12.75" customHeight="1" x14ac:dyDescent="0.2">
      <c r="A40" s="578">
        <f>A38+1</f>
        <v>18</v>
      </c>
      <c r="B40" s="578" t="s">
        <v>1707</v>
      </c>
      <c r="C40" s="1000">
        <v>6504647</v>
      </c>
      <c r="D40" s="1097">
        <f>1-D38-D23</f>
        <v>0.67616009999999993</v>
      </c>
      <c r="E40" s="1001">
        <f>E43-E38-E23</f>
        <v>-211284</v>
      </c>
      <c r="F40" s="1001">
        <f>F43-F38-F23</f>
        <v>62931</v>
      </c>
      <c r="G40" s="1001">
        <f>G43-G38-G23</f>
        <v>241044</v>
      </c>
      <c r="H40" s="1001">
        <f>H43-H38-H23</f>
        <v>69763.857005042024</v>
      </c>
      <c r="I40" s="1001">
        <f>I43-I38-I23</f>
        <v>-87609</v>
      </c>
      <c r="J40" s="761">
        <f>SUM(E40:I40)+C40</f>
        <v>6579492.857005042</v>
      </c>
      <c r="K40" s="1004">
        <f>J40-C40</f>
        <v>74845.857005042024</v>
      </c>
      <c r="L40" s="756"/>
      <c r="O40" s="739"/>
    </row>
    <row r="41" spans="1:15" ht="12.75" customHeight="1" x14ac:dyDescent="0.2">
      <c r="A41" s="578">
        <f t="shared" si="9"/>
        <v>19</v>
      </c>
      <c r="B41" s="572" t="s">
        <v>1625</v>
      </c>
      <c r="C41" s="572">
        <f>C40</f>
        <v>6504647</v>
      </c>
      <c r="D41" s="1096">
        <f t="shared" ref="D41:K41" si="11">D40</f>
        <v>0.67616009999999993</v>
      </c>
      <c r="E41" s="572">
        <f t="shared" si="11"/>
        <v>-211284</v>
      </c>
      <c r="F41" s="572">
        <f t="shared" si="11"/>
        <v>62931</v>
      </c>
      <c r="G41" s="572">
        <f t="shared" si="11"/>
        <v>241044</v>
      </c>
      <c r="H41" s="572">
        <f t="shared" si="11"/>
        <v>69763.857005042024</v>
      </c>
      <c r="I41" s="572">
        <f t="shared" si="11"/>
        <v>-87609</v>
      </c>
      <c r="J41" s="572">
        <f t="shared" si="11"/>
        <v>6579492.857005042</v>
      </c>
      <c r="K41" s="572">
        <f t="shared" si="11"/>
        <v>74845.857005042024</v>
      </c>
      <c r="L41" s="756"/>
      <c r="O41" s="739"/>
    </row>
    <row r="42" spans="1:15" ht="12.75" customHeight="1" x14ac:dyDescent="0.2">
      <c r="A42" s="578"/>
      <c r="D42" s="1096"/>
    </row>
    <row r="43" spans="1:15" ht="12.75" customHeight="1" x14ac:dyDescent="0.2">
      <c r="A43" s="578">
        <f>A41+1</f>
        <v>20</v>
      </c>
      <c r="B43" s="572" t="s">
        <v>221</v>
      </c>
      <c r="C43" s="572">
        <f>C41+C38+C23</f>
        <v>9619979</v>
      </c>
      <c r="D43" s="1096">
        <f>D41+D38+D23</f>
        <v>1</v>
      </c>
      <c r="E43" s="572">
        <f>'NCSC D-2.8 p2 '!E25</f>
        <v>-312478</v>
      </c>
      <c r="F43" s="572">
        <f>'NCSC D-2.8 p3'!G35</f>
        <v>93071</v>
      </c>
      <c r="G43" s="572">
        <f>'NCSC D-2.8 p4'!H21</f>
        <v>356490</v>
      </c>
      <c r="H43" s="572">
        <f>'NCSC D-2.8 p5'!G15</f>
        <v>103178.85700504202</v>
      </c>
      <c r="I43" s="572">
        <f>'NCSC D-2.8 p6'!G25</f>
        <v>-129568</v>
      </c>
      <c r="J43" s="572">
        <f>J41+J38+J23</f>
        <v>9730672.8570050411</v>
      </c>
      <c r="K43" s="572">
        <f>K41+K38</f>
        <v>104068.85700504202</v>
      </c>
    </row>
    <row r="44" spans="1:15" ht="12.75" customHeight="1" x14ac:dyDescent="0.2">
      <c r="A44" s="578"/>
    </row>
    <row r="45" spans="1:15" ht="12.75" customHeight="1" x14ac:dyDescent="0.2">
      <c r="A45" s="578"/>
    </row>
    <row r="46" spans="1:15" ht="12.75" customHeight="1" x14ac:dyDescent="0.2">
      <c r="A46" s="578"/>
    </row>
    <row r="47" spans="1:15" ht="12.75" customHeight="1" x14ac:dyDescent="0.2">
      <c r="A47" s="578"/>
    </row>
    <row r="48" spans="1:15" ht="12.75" customHeight="1" x14ac:dyDescent="0.2">
      <c r="A48" s="578"/>
    </row>
    <row r="49" spans="1:1" ht="12.75" customHeight="1" x14ac:dyDescent="0.2">
      <c r="A49" s="578"/>
    </row>
    <row r="50" spans="1:1" ht="12.75" customHeight="1" x14ac:dyDescent="0.2">
      <c r="A50" s="578"/>
    </row>
    <row r="51" spans="1:1" ht="12.75" customHeight="1" x14ac:dyDescent="0.2">
      <c r="A51" s="578"/>
    </row>
    <row r="52" spans="1:1" ht="12.75" customHeight="1" x14ac:dyDescent="0.2">
      <c r="A52" s="578"/>
    </row>
    <row r="53" spans="1:1" ht="12.75" customHeight="1" x14ac:dyDescent="0.2">
      <c r="A53" s="578"/>
    </row>
    <row r="54" spans="1:1" ht="12.75" customHeight="1" x14ac:dyDescent="0.2">
      <c r="A54" s="578"/>
    </row>
    <row r="55" spans="1:1" ht="12.75" customHeight="1" x14ac:dyDescent="0.2">
      <c r="A55" s="578"/>
    </row>
    <row r="56" spans="1:1" ht="12.75" customHeight="1" x14ac:dyDescent="0.2">
      <c r="A56" s="578"/>
    </row>
    <row r="57" spans="1:1" ht="12.75" customHeight="1" x14ac:dyDescent="0.2">
      <c r="A57" s="578"/>
    </row>
    <row r="58" spans="1:1" ht="12.75" customHeight="1" x14ac:dyDescent="0.2">
      <c r="A58" s="578"/>
    </row>
    <row r="59" spans="1:1" ht="12.75" customHeight="1" x14ac:dyDescent="0.2">
      <c r="A59" s="578"/>
    </row>
    <row r="60" spans="1:1" ht="12.75" customHeight="1" x14ac:dyDescent="0.2">
      <c r="A60" s="578"/>
    </row>
    <row r="61" spans="1:1" ht="12.75" customHeight="1" x14ac:dyDescent="0.2">
      <c r="A61" s="578"/>
    </row>
    <row r="62" spans="1:1" ht="12.75" customHeight="1" x14ac:dyDescent="0.2">
      <c r="A62" s="578"/>
    </row>
    <row r="63" spans="1:1" ht="12.75" customHeight="1" x14ac:dyDescent="0.2">
      <c r="A63" s="578"/>
    </row>
    <row r="64" spans="1:1" ht="12.75" customHeight="1" x14ac:dyDescent="0.2">
      <c r="A64" s="578"/>
    </row>
    <row r="65" spans="1:1" ht="12.75" customHeight="1" x14ac:dyDescent="0.2">
      <c r="A65" s="578"/>
    </row>
    <row r="66" spans="1:1" ht="12.75" customHeight="1" x14ac:dyDescent="0.2">
      <c r="A66" s="578"/>
    </row>
    <row r="67" spans="1:1" ht="12.75" customHeight="1" x14ac:dyDescent="0.2">
      <c r="A67" s="578"/>
    </row>
    <row r="68" spans="1:1" ht="12.75" customHeight="1" x14ac:dyDescent="0.2">
      <c r="A68" s="578"/>
    </row>
    <row r="69" spans="1:1" ht="12.75" customHeight="1" x14ac:dyDescent="0.2">
      <c r="A69" s="578"/>
    </row>
    <row r="70" spans="1:1" ht="12.75" customHeight="1" x14ac:dyDescent="0.2">
      <c r="A70" s="578"/>
    </row>
    <row r="71" spans="1:1" ht="12.75" customHeight="1" x14ac:dyDescent="0.2">
      <c r="A71" s="578"/>
    </row>
    <row r="72" spans="1:1" ht="12.75" customHeight="1" x14ac:dyDescent="0.2">
      <c r="A72" s="578"/>
    </row>
    <row r="73" spans="1:1" ht="12.75" customHeight="1" x14ac:dyDescent="0.2">
      <c r="A73" s="578"/>
    </row>
    <row r="74" spans="1:1" ht="12.75" customHeight="1" x14ac:dyDescent="0.2">
      <c r="A74" s="578"/>
    </row>
    <row r="75" spans="1:1" ht="12.75" customHeight="1" x14ac:dyDescent="0.2">
      <c r="A75" s="578"/>
    </row>
    <row r="76" spans="1:1" ht="12.75" customHeight="1" x14ac:dyDescent="0.2">
      <c r="A76" s="578"/>
    </row>
    <row r="77" spans="1:1" ht="12.75" customHeight="1" x14ac:dyDescent="0.2">
      <c r="A77" s="578"/>
    </row>
    <row r="78" spans="1:1" ht="12.75" customHeight="1" x14ac:dyDescent="0.2">
      <c r="A78" s="578"/>
    </row>
    <row r="79" spans="1:1" ht="12.75" customHeight="1" x14ac:dyDescent="0.2">
      <c r="A79" s="578"/>
    </row>
    <row r="80" spans="1:1" ht="12.75" customHeight="1" x14ac:dyDescent="0.2">
      <c r="A80" s="578"/>
    </row>
    <row r="81" spans="1:1" ht="12.75" customHeight="1" x14ac:dyDescent="0.2">
      <c r="A81" s="578"/>
    </row>
    <row r="82" spans="1:1" ht="12.75" customHeight="1" x14ac:dyDescent="0.2">
      <c r="A82" s="578"/>
    </row>
    <row r="83" spans="1:1" ht="12.75" customHeight="1" x14ac:dyDescent="0.2">
      <c r="A83" s="578"/>
    </row>
    <row r="84" spans="1:1" ht="12.75" customHeight="1" x14ac:dyDescent="0.2">
      <c r="A84" s="578"/>
    </row>
    <row r="85" spans="1:1" ht="12.75" customHeight="1" x14ac:dyDescent="0.2">
      <c r="A85" s="578"/>
    </row>
    <row r="86" spans="1:1" ht="12.75" customHeight="1" x14ac:dyDescent="0.2">
      <c r="A86" s="578"/>
    </row>
    <row r="87" spans="1:1" ht="12.75" customHeight="1" x14ac:dyDescent="0.2">
      <c r="A87" s="578"/>
    </row>
    <row r="88" spans="1:1" ht="12.75" customHeight="1" x14ac:dyDescent="0.2">
      <c r="A88" s="578"/>
    </row>
    <row r="89" spans="1:1" ht="12.75" customHeight="1" x14ac:dyDescent="0.2">
      <c r="A89" s="578"/>
    </row>
    <row r="90" spans="1:1" ht="12.75" customHeight="1" x14ac:dyDescent="0.2"/>
    <row r="91" spans="1:1" ht="12.75" customHeight="1" x14ac:dyDescent="0.2"/>
    <row r="92" spans="1:1" ht="12.75" customHeight="1" x14ac:dyDescent="0.2"/>
    <row r="93" spans="1:1" ht="12.75" customHeight="1" x14ac:dyDescent="0.2"/>
    <row r="94" spans="1:1" ht="12.75" customHeight="1" x14ac:dyDescent="0.2"/>
    <row r="95" spans="1:1" ht="12.75" customHeight="1" x14ac:dyDescent="0.2"/>
    <row r="96" spans="1:1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</sheetData>
  <mergeCells count="5">
    <mergeCell ref="A5:K5"/>
    <mergeCell ref="A1:K1"/>
    <mergeCell ref="A2:K2"/>
    <mergeCell ref="A3:K3"/>
    <mergeCell ref="A4:K4"/>
  </mergeCells>
  <phoneticPr fontId="0" type="noConversion"/>
  <hyperlinks>
    <hyperlink ref="K12" r:id="rId1" display="JURIS@100%"/>
    <hyperlink ref="K13" r:id="rId2" display="JURIS@100%"/>
  </hyperlinks>
  <printOptions horizontalCentered="1"/>
  <pageMargins left="0.25" right="0" top="0.75" bottom="0.25" header="0.5" footer="0.5"/>
  <pageSetup scale="95" orientation="landscape" r:id="rId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workbookViewId="0">
      <selection activeCell="A11" sqref="A11"/>
    </sheetView>
  </sheetViews>
  <sheetFormatPr defaultColWidth="10.6640625" defaultRowHeight="10.5" x14ac:dyDescent="0.15"/>
  <cols>
    <col min="1" max="1" width="5.83203125" style="46" bestFit="1" customWidth="1"/>
    <col min="2" max="2" width="71" style="46" customWidth="1"/>
    <col min="3" max="3" width="11.6640625" style="46" customWidth="1"/>
    <col min="4" max="4" width="4.83203125" style="46" customWidth="1"/>
    <col min="5" max="5" width="16.5" style="46" customWidth="1"/>
    <col min="6" max="16384" width="10.6640625" style="46"/>
  </cols>
  <sheetData>
    <row r="1" spans="1:5" ht="12.75" customHeight="1" x14ac:dyDescent="0.2">
      <c r="A1" s="1455" t="s">
        <v>477</v>
      </c>
      <c r="B1" s="1455"/>
      <c r="C1" s="1455"/>
      <c r="D1" s="1455"/>
      <c r="E1" s="1455"/>
    </row>
    <row r="2" spans="1:5" ht="12.75" customHeight="1" x14ac:dyDescent="0.2">
      <c r="A2" s="1454" t="str">
        <f>+Input!C4</f>
        <v>CASE NO. 2017-xxxxx</v>
      </c>
      <c r="B2" s="1454"/>
      <c r="C2" s="1454"/>
      <c r="D2" s="1454"/>
      <c r="E2" s="1454"/>
    </row>
    <row r="3" spans="1:5" ht="12.75" customHeight="1" x14ac:dyDescent="0.2">
      <c r="A3" s="1455" t="s">
        <v>1500</v>
      </c>
      <c r="B3" s="1455"/>
      <c r="C3" s="1455"/>
      <c r="D3" s="1455"/>
      <c r="E3" s="1455"/>
    </row>
    <row r="4" spans="1:5" ht="12.75" customHeight="1" x14ac:dyDescent="0.2">
      <c r="A4" s="1454" t="str">
        <f>+Input!C6</f>
        <v>TWELVE MONTHS ENDED DECEMBER 31, 2017</v>
      </c>
      <c r="B4" s="1454"/>
      <c r="C4" s="1454"/>
      <c r="D4" s="1454"/>
      <c r="E4" s="1454"/>
    </row>
    <row r="5" spans="1:5" ht="12.75" customHeight="1" x14ac:dyDescent="0.2">
      <c r="A5" s="572"/>
      <c r="B5" s="572"/>
      <c r="C5" s="572"/>
      <c r="D5" s="572"/>
      <c r="E5" s="572"/>
    </row>
    <row r="6" spans="1:5" ht="12.75" customHeight="1" x14ac:dyDescent="0.2">
      <c r="A6" s="572"/>
      <c r="B6" s="572"/>
      <c r="C6" s="572"/>
      <c r="D6" s="572"/>
      <c r="E6" s="572"/>
    </row>
    <row r="7" spans="1:5" ht="12.75" customHeight="1" x14ac:dyDescent="0.2">
      <c r="A7" s="573" t="s">
        <v>839</v>
      </c>
      <c r="B7" s="572"/>
      <c r="C7" s="572"/>
      <c r="D7" s="572"/>
      <c r="E7" s="575" t="s">
        <v>1712</v>
      </c>
    </row>
    <row r="8" spans="1:5" ht="12.75" customHeight="1" x14ac:dyDescent="0.2">
      <c r="A8" s="573" t="s">
        <v>490</v>
      </c>
      <c r="B8" s="572"/>
      <c r="C8" s="572"/>
      <c r="D8" s="572"/>
      <c r="E8" s="575" t="s">
        <v>285</v>
      </c>
    </row>
    <row r="9" spans="1:5" ht="12.75" customHeight="1" x14ac:dyDescent="0.2">
      <c r="A9" s="738" t="s">
        <v>1727</v>
      </c>
      <c r="B9" s="576"/>
      <c r="C9" s="576"/>
      <c r="D9" s="576"/>
      <c r="E9" s="577" t="str">
        <f>+Input!E27</f>
        <v>WITNESS:  C. Y. LAI</v>
      </c>
    </row>
    <row r="10" spans="1:5" ht="12.75" customHeight="1" x14ac:dyDescent="0.2">
      <c r="A10" s="572"/>
      <c r="B10" s="744"/>
      <c r="C10" s="739"/>
      <c r="D10" s="739"/>
      <c r="E10" s="745"/>
    </row>
    <row r="11" spans="1:5" ht="12.75" customHeight="1" x14ac:dyDescent="0.2">
      <c r="A11" s="667" t="s">
        <v>493</v>
      </c>
      <c r="B11" s="572"/>
      <c r="C11" s="572"/>
      <c r="D11" s="572"/>
      <c r="E11" s="572"/>
    </row>
    <row r="12" spans="1:5" ht="12.75" customHeight="1" x14ac:dyDescent="0.2">
      <c r="A12" s="125" t="s">
        <v>496</v>
      </c>
      <c r="B12" s="576" t="s">
        <v>1505</v>
      </c>
      <c r="C12" s="576"/>
      <c r="D12" s="576"/>
      <c r="E12" s="791" t="s">
        <v>1248</v>
      </c>
    </row>
    <row r="13" spans="1:5" ht="12.75" customHeight="1" x14ac:dyDescent="0.2">
      <c r="A13" s="572"/>
      <c r="B13" s="572"/>
      <c r="C13" s="572"/>
      <c r="D13" s="572"/>
      <c r="E13" s="578" t="s">
        <v>500</v>
      </c>
    </row>
    <row r="14" spans="1:5" ht="12.75" customHeight="1" x14ac:dyDescent="0.2">
      <c r="A14" s="572"/>
      <c r="B14" s="572" t="s">
        <v>866</v>
      </c>
      <c r="C14" s="572"/>
      <c r="D14" s="572"/>
      <c r="E14" s="572"/>
    </row>
    <row r="15" spans="1:5" ht="12.75" customHeight="1" x14ac:dyDescent="0.2">
      <c r="A15" s="572"/>
      <c r="B15" s="572" t="s">
        <v>1616</v>
      </c>
      <c r="C15" s="572"/>
      <c r="D15" s="572"/>
      <c r="E15" s="572"/>
    </row>
    <row r="16" spans="1:5" ht="12.75" customHeight="1" x14ac:dyDescent="0.2">
      <c r="A16" s="572"/>
      <c r="B16" s="572" t="s">
        <v>1615</v>
      </c>
      <c r="C16" s="572"/>
      <c r="D16" s="572"/>
      <c r="E16" s="572"/>
    </row>
    <row r="17" spans="1:5" ht="12.75" customHeight="1" x14ac:dyDescent="0.2">
      <c r="A17" s="572"/>
      <c r="B17" s="572"/>
      <c r="C17" s="572"/>
      <c r="D17" s="572"/>
      <c r="E17" s="579"/>
    </row>
    <row r="18" spans="1:5" ht="12.75" customHeight="1" x14ac:dyDescent="0.2">
      <c r="A18" s="1105"/>
      <c r="B18" s="914"/>
      <c r="C18" s="1107"/>
      <c r="D18" s="1107"/>
      <c r="E18" s="1108"/>
    </row>
    <row r="19" spans="1:5" ht="12" customHeight="1" x14ac:dyDescent="0.2">
      <c r="A19" s="1105">
        <f>A18+1</f>
        <v>1</v>
      </c>
      <c r="B19" s="914" t="s">
        <v>1733</v>
      </c>
      <c r="C19" s="1106">
        <v>-15466</v>
      </c>
      <c r="D19" s="1107"/>
      <c r="E19" s="1108"/>
    </row>
    <row r="20" spans="1:5" ht="12" customHeight="1" x14ac:dyDescent="0.2">
      <c r="A20" s="1105">
        <f>A19+1</f>
        <v>2</v>
      </c>
      <c r="B20" s="914" t="s">
        <v>944</v>
      </c>
      <c r="C20" s="1106">
        <v>-217445</v>
      </c>
      <c r="D20" s="1107"/>
      <c r="E20" s="1108"/>
    </row>
    <row r="21" spans="1:5" ht="12" customHeight="1" x14ac:dyDescent="0.2">
      <c r="A21" s="1105">
        <f>1+A20</f>
        <v>3</v>
      </c>
      <c r="B21" s="914" t="s">
        <v>1732</v>
      </c>
      <c r="C21" s="1106">
        <v>83392</v>
      </c>
      <c r="D21" s="1107"/>
      <c r="E21" s="1108"/>
    </row>
    <row r="22" spans="1:5" ht="12.75" customHeight="1" x14ac:dyDescent="0.2">
      <c r="A22" s="1105">
        <f>1+A21</f>
        <v>4</v>
      </c>
      <c r="B22" s="914" t="s">
        <v>774</v>
      </c>
      <c r="C22" s="1106">
        <v>-126880</v>
      </c>
      <c r="D22" s="1107"/>
      <c r="E22" s="1108"/>
    </row>
    <row r="23" spans="1:5" ht="12.75" customHeight="1" x14ac:dyDescent="0.2">
      <c r="A23" s="1105">
        <f>1+A22</f>
        <v>5</v>
      </c>
      <c r="B23" s="914" t="s">
        <v>945</v>
      </c>
      <c r="C23" s="1113">
        <v>-19159</v>
      </c>
      <c r="D23" s="1111"/>
      <c r="E23" s="1108"/>
    </row>
    <row r="24" spans="1:5" ht="12.75" customHeight="1" x14ac:dyDescent="0.2">
      <c r="A24" s="1105">
        <f>1+A23</f>
        <v>6</v>
      </c>
      <c r="B24" s="914" t="s">
        <v>946</v>
      </c>
      <c r="C24" s="1110">
        <v>-16920</v>
      </c>
      <c r="D24" s="1111"/>
      <c r="E24" s="1108"/>
    </row>
    <row r="25" spans="1:5" ht="12.75" customHeight="1" x14ac:dyDescent="0.2">
      <c r="A25" s="1105">
        <f>1+A24</f>
        <v>7</v>
      </c>
      <c r="B25" s="914" t="s">
        <v>867</v>
      </c>
      <c r="C25" s="1107"/>
      <c r="D25" s="1107"/>
      <c r="E25" s="1109">
        <f>SUM(C19:C24)</f>
        <v>-312478</v>
      </c>
    </row>
    <row r="26" spans="1:5" ht="12.75" customHeight="1" x14ac:dyDescent="0.2">
      <c r="A26" s="1105"/>
      <c r="B26" s="914"/>
      <c r="C26" s="1107"/>
      <c r="D26" s="1107"/>
      <c r="E26" s="1108"/>
    </row>
    <row r="27" spans="1:5" ht="12.75" customHeight="1" x14ac:dyDescent="0.2">
      <c r="A27" s="1105"/>
      <c r="B27" s="914"/>
      <c r="C27" s="1112"/>
      <c r="D27" s="1112"/>
      <c r="E27" s="1108"/>
    </row>
    <row r="28" spans="1:5" ht="12.75" customHeight="1" x14ac:dyDescent="0.2">
      <c r="A28" s="578"/>
      <c r="B28" s="572"/>
      <c r="C28" s="572"/>
      <c r="D28" s="572"/>
      <c r="E28" s="572"/>
    </row>
    <row r="29" spans="1:5" ht="12.75" customHeight="1" x14ac:dyDescent="0.2">
      <c r="A29" s="792"/>
      <c r="B29" s="574"/>
      <c r="C29" s="574"/>
      <c r="D29" s="574"/>
      <c r="E29" s="574"/>
    </row>
    <row r="30" spans="1:5" ht="12.75" customHeight="1" x14ac:dyDescent="0.2">
      <c r="A30" s="792"/>
      <c r="B30" s="574"/>
      <c r="C30" s="574"/>
      <c r="D30" s="574"/>
      <c r="E30" s="574"/>
    </row>
    <row r="31" spans="1:5" ht="12.75" customHeight="1" x14ac:dyDescent="0.2">
      <c r="A31" s="792"/>
      <c r="B31" s="574"/>
      <c r="C31" s="574"/>
      <c r="D31" s="574"/>
      <c r="E31" s="574"/>
    </row>
    <row r="32" spans="1:5" ht="12.75" customHeight="1" x14ac:dyDescent="0.2">
      <c r="A32" s="792"/>
      <c r="B32" s="574"/>
      <c r="C32" s="574"/>
      <c r="D32" s="574"/>
      <c r="E32" s="574"/>
    </row>
    <row r="33" spans="1:5" ht="12.75" customHeight="1" x14ac:dyDescent="0.2">
      <c r="A33" s="792"/>
      <c r="B33" s="574"/>
      <c r="C33" s="574"/>
      <c r="D33" s="574"/>
      <c r="E33" s="574"/>
    </row>
    <row r="34" spans="1:5" ht="12.75" customHeight="1" x14ac:dyDescent="0.2">
      <c r="A34" s="792"/>
      <c r="B34" s="574"/>
      <c r="C34" s="574"/>
      <c r="D34" s="574"/>
      <c r="E34" s="574"/>
    </row>
    <row r="35" spans="1:5" ht="12.75" customHeight="1" x14ac:dyDescent="0.2">
      <c r="A35" s="792"/>
      <c r="B35" s="574"/>
      <c r="C35" s="574"/>
      <c r="D35" s="574"/>
      <c r="E35" s="574"/>
    </row>
    <row r="36" spans="1:5" ht="12.75" customHeight="1" x14ac:dyDescent="0.2">
      <c r="A36" s="792"/>
      <c r="B36" s="574"/>
      <c r="C36" s="574"/>
      <c r="D36" s="574"/>
      <c r="E36" s="574"/>
    </row>
    <row r="37" spans="1:5" ht="12.75" customHeight="1" x14ac:dyDescent="0.2">
      <c r="A37" s="792"/>
      <c r="B37" s="574"/>
      <c r="C37" s="574"/>
      <c r="D37" s="574"/>
      <c r="E37" s="574"/>
    </row>
    <row r="38" spans="1:5" ht="12.75" customHeight="1" x14ac:dyDescent="0.2">
      <c r="A38" s="792"/>
      <c r="B38" s="574"/>
      <c r="C38" s="574"/>
      <c r="D38" s="574"/>
      <c r="E38" s="574"/>
    </row>
    <row r="39" spans="1:5" ht="12.75" customHeight="1" x14ac:dyDescent="0.2">
      <c r="A39" s="792"/>
      <c r="B39" s="574"/>
      <c r="C39" s="574"/>
      <c r="D39" s="574"/>
      <c r="E39" s="574"/>
    </row>
    <row r="40" spans="1:5" ht="12.75" customHeight="1" x14ac:dyDescent="0.2">
      <c r="A40" s="792"/>
      <c r="B40" s="574"/>
      <c r="C40" s="574"/>
      <c r="D40" s="574"/>
      <c r="E40" s="574"/>
    </row>
    <row r="41" spans="1:5" ht="12.75" customHeight="1" x14ac:dyDescent="0.2">
      <c r="A41" s="792"/>
      <c r="B41" s="574"/>
      <c r="C41" s="574"/>
      <c r="D41" s="574"/>
      <c r="E41" s="574"/>
    </row>
    <row r="42" spans="1:5" ht="12.75" customHeight="1" x14ac:dyDescent="0.2">
      <c r="A42" s="792"/>
      <c r="B42" s="574"/>
      <c r="C42" s="574"/>
      <c r="D42" s="574"/>
      <c r="E42" s="574"/>
    </row>
    <row r="43" spans="1:5" ht="12.75" customHeight="1" x14ac:dyDescent="0.2">
      <c r="A43" s="792"/>
      <c r="B43" s="574"/>
      <c r="C43" s="574"/>
      <c r="D43" s="574"/>
      <c r="E43" s="574"/>
    </row>
    <row r="44" spans="1:5" ht="12.75" customHeight="1" x14ac:dyDescent="0.2">
      <c r="A44" s="792"/>
      <c r="B44" s="574"/>
      <c r="C44" s="574"/>
      <c r="D44" s="574"/>
      <c r="E44" s="574"/>
    </row>
    <row r="45" spans="1:5" ht="12.75" customHeight="1" x14ac:dyDescent="0.2">
      <c r="A45" s="792"/>
      <c r="B45" s="574"/>
      <c r="C45" s="574"/>
      <c r="D45" s="574"/>
      <c r="E45" s="574"/>
    </row>
    <row r="46" spans="1:5" ht="12.75" customHeight="1" x14ac:dyDescent="0.2">
      <c r="A46" s="792"/>
      <c r="B46" s="574"/>
      <c r="C46" s="574"/>
      <c r="D46" s="574"/>
      <c r="E46" s="574"/>
    </row>
    <row r="47" spans="1:5" ht="12.75" customHeight="1" x14ac:dyDescent="0.2">
      <c r="A47" s="792"/>
      <c r="B47" s="574"/>
      <c r="C47" s="574"/>
      <c r="D47" s="574"/>
      <c r="E47" s="574"/>
    </row>
    <row r="48" spans="1:5" ht="12.75" customHeight="1" x14ac:dyDescent="0.2">
      <c r="A48" s="792"/>
      <c r="B48" s="574"/>
      <c r="C48" s="574"/>
      <c r="D48" s="574"/>
      <c r="E48" s="574"/>
    </row>
    <row r="49" spans="1:5" ht="12.75" customHeight="1" x14ac:dyDescent="0.2">
      <c r="A49" s="792"/>
      <c r="B49" s="574"/>
      <c r="C49" s="574"/>
      <c r="D49" s="574"/>
      <c r="E49" s="574"/>
    </row>
    <row r="50" spans="1:5" ht="12.75" customHeight="1" x14ac:dyDescent="0.2">
      <c r="A50" s="792"/>
      <c r="B50" s="574"/>
      <c r="C50" s="574"/>
      <c r="D50" s="574"/>
      <c r="E50" s="574"/>
    </row>
    <row r="51" spans="1:5" ht="12.75" customHeight="1" x14ac:dyDescent="0.2">
      <c r="A51" s="792"/>
      <c r="B51" s="574"/>
      <c r="C51" s="574"/>
      <c r="D51" s="574"/>
      <c r="E51" s="574"/>
    </row>
    <row r="52" spans="1:5" ht="12.75" customHeight="1" x14ac:dyDescent="0.2">
      <c r="A52" s="792"/>
      <c r="B52" s="574"/>
      <c r="C52" s="574"/>
      <c r="D52" s="574"/>
      <c r="E52" s="574"/>
    </row>
    <row r="53" spans="1:5" ht="12.75" customHeight="1" x14ac:dyDescent="0.2">
      <c r="A53" s="792"/>
      <c r="B53" s="574"/>
      <c r="C53" s="574"/>
      <c r="D53" s="574"/>
      <c r="E53" s="574"/>
    </row>
    <row r="54" spans="1:5" ht="12.75" customHeight="1" x14ac:dyDescent="0.2">
      <c r="A54" s="792"/>
      <c r="B54" s="574"/>
      <c r="C54" s="574"/>
      <c r="D54" s="574"/>
      <c r="E54" s="574"/>
    </row>
    <row r="55" spans="1:5" ht="12.75" customHeight="1" x14ac:dyDescent="0.2">
      <c r="A55" s="792"/>
      <c r="B55" s="574"/>
      <c r="C55" s="574"/>
      <c r="D55" s="574"/>
      <c r="E55" s="574"/>
    </row>
    <row r="56" spans="1:5" ht="12.75" customHeight="1" x14ac:dyDescent="0.2">
      <c r="A56" s="792"/>
      <c r="B56" s="574"/>
      <c r="C56" s="574"/>
      <c r="D56" s="574"/>
      <c r="E56" s="574"/>
    </row>
    <row r="57" spans="1:5" ht="12.75" customHeight="1" x14ac:dyDescent="0.2">
      <c r="A57" s="792"/>
      <c r="B57" s="574"/>
      <c r="C57" s="574"/>
      <c r="D57" s="574"/>
      <c r="E57" s="574"/>
    </row>
    <row r="58" spans="1:5" ht="12.75" customHeight="1" x14ac:dyDescent="0.2">
      <c r="A58" s="792"/>
      <c r="B58" s="574"/>
      <c r="C58" s="574"/>
      <c r="D58" s="574"/>
      <c r="E58" s="574"/>
    </row>
    <row r="59" spans="1:5" ht="12.75" customHeight="1" x14ac:dyDescent="0.2">
      <c r="A59" s="792"/>
      <c r="B59" s="574"/>
      <c r="C59" s="574"/>
      <c r="D59" s="574"/>
      <c r="E59" s="574"/>
    </row>
    <row r="60" spans="1:5" ht="12.75" customHeight="1" x14ac:dyDescent="0.2">
      <c r="A60" s="792"/>
      <c r="B60" s="574"/>
      <c r="C60" s="574"/>
      <c r="D60" s="574"/>
      <c r="E60" s="574"/>
    </row>
    <row r="61" spans="1:5" ht="12.75" customHeight="1" x14ac:dyDescent="0.2">
      <c r="A61" s="792"/>
      <c r="B61" s="574"/>
      <c r="C61" s="574"/>
      <c r="D61" s="574"/>
      <c r="E61" s="574"/>
    </row>
    <row r="62" spans="1:5" ht="12.75" customHeight="1" x14ac:dyDescent="0.2">
      <c r="A62" s="792"/>
      <c r="B62" s="574"/>
      <c r="C62" s="574"/>
      <c r="D62" s="574"/>
      <c r="E62" s="574"/>
    </row>
    <row r="63" spans="1:5" ht="12.75" customHeight="1" x14ac:dyDescent="0.2">
      <c r="A63" s="792"/>
      <c r="B63" s="574"/>
      <c r="C63" s="574"/>
      <c r="D63" s="574"/>
      <c r="E63" s="574"/>
    </row>
    <row r="64" spans="1:5" ht="12.75" customHeight="1" x14ac:dyDescent="0.2">
      <c r="A64" s="792"/>
      <c r="B64" s="574"/>
      <c r="C64" s="574"/>
      <c r="D64" s="574"/>
      <c r="E64" s="574"/>
    </row>
    <row r="65" spans="1:5" ht="12.75" customHeight="1" x14ac:dyDescent="0.2">
      <c r="A65" s="792"/>
      <c r="B65" s="574"/>
      <c r="C65" s="574"/>
      <c r="D65" s="574"/>
      <c r="E65" s="574"/>
    </row>
    <row r="66" spans="1:5" ht="12.75" customHeight="1" x14ac:dyDescent="0.2">
      <c r="A66" s="792"/>
      <c r="B66" s="574"/>
      <c r="C66" s="574"/>
      <c r="D66" s="574"/>
      <c r="E66" s="574"/>
    </row>
    <row r="67" spans="1:5" ht="12.75" customHeight="1" x14ac:dyDescent="0.2">
      <c r="A67" s="792"/>
      <c r="B67" s="574"/>
      <c r="C67" s="574"/>
      <c r="D67" s="574"/>
      <c r="E67" s="574"/>
    </row>
    <row r="68" spans="1:5" ht="12.75" customHeight="1" x14ac:dyDescent="0.2">
      <c r="A68" s="792"/>
      <c r="B68" s="574"/>
      <c r="C68" s="574"/>
      <c r="D68" s="574"/>
      <c r="E68" s="574"/>
    </row>
    <row r="69" spans="1:5" ht="12.75" customHeight="1" x14ac:dyDescent="0.2">
      <c r="A69" s="792"/>
      <c r="B69" s="574"/>
      <c r="C69" s="574"/>
      <c r="D69" s="574"/>
      <c r="E69" s="574"/>
    </row>
    <row r="70" spans="1:5" ht="12.75" customHeight="1" x14ac:dyDescent="0.2">
      <c r="A70" s="792"/>
      <c r="B70" s="574"/>
      <c r="C70" s="574"/>
      <c r="D70" s="574"/>
      <c r="E70" s="574"/>
    </row>
    <row r="71" spans="1:5" ht="12.75" customHeight="1" x14ac:dyDescent="0.2">
      <c r="A71" s="792"/>
      <c r="B71" s="574"/>
      <c r="C71" s="574"/>
      <c r="D71" s="574"/>
      <c r="E71" s="574"/>
    </row>
    <row r="72" spans="1:5" ht="12.75" customHeight="1" x14ac:dyDescent="0.2">
      <c r="A72" s="792"/>
      <c r="B72" s="574"/>
      <c r="C72" s="574"/>
      <c r="D72" s="574"/>
      <c r="E72" s="574"/>
    </row>
    <row r="73" spans="1:5" ht="12.75" customHeight="1" x14ac:dyDescent="0.2">
      <c r="A73" s="792"/>
      <c r="B73" s="574"/>
      <c r="C73" s="574"/>
      <c r="D73" s="574"/>
      <c r="E73" s="574"/>
    </row>
    <row r="74" spans="1:5" ht="12.75" customHeight="1" x14ac:dyDescent="0.2">
      <c r="A74" s="792"/>
      <c r="B74" s="574"/>
      <c r="C74" s="574"/>
      <c r="D74" s="574"/>
      <c r="E74" s="574"/>
    </row>
    <row r="75" spans="1:5" ht="12.75" customHeight="1" x14ac:dyDescent="0.2">
      <c r="A75" s="792"/>
      <c r="B75" s="574"/>
      <c r="C75" s="574"/>
      <c r="D75" s="574"/>
      <c r="E75" s="574"/>
    </row>
    <row r="76" spans="1:5" ht="12.75" customHeight="1" x14ac:dyDescent="0.2">
      <c r="A76" s="792"/>
      <c r="B76" s="574"/>
      <c r="C76" s="574"/>
      <c r="D76" s="574"/>
      <c r="E76" s="574"/>
    </row>
    <row r="77" spans="1:5" ht="12.75" customHeight="1" x14ac:dyDescent="0.2">
      <c r="B77" s="574"/>
      <c r="C77" s="574"/>
      <c r="D77" s="574"/>
      <c r="E77" s="574"/>
    </row>
    <row r="78" spans="1:5" ht="12.75" customHeight="1" x14ac:dyDescent="0.2">
      <c r="B78" s="574"/>
      <c r="C78" s="574"/>
      <c r="D78" s="574"/>
      <c r="E78" s="574"/>
    </row>
    <row r="79" spans="1:5" ht="12.75" customHeight="1" x14ac:dyDescent="0.2">
      <c r="B79" s="574"/>
      <c r="C79" s="574"/>
      <c r="D79" s="574"/>
      <c r="E79" s="574"/>
    </row>
    <row r="80" spans="1:5" ht="12.75" customHeight="1" x14ac:dyDescent="0.2">
      <c r="B80" s="574"/>
      <c r="C80" s="574"/>
      <c r="D80" s="574"/>
      <c r="E80" s="574"/>
    </row>
    <row r="81" spans="2:5" ht="12.75" customHeight="1" x14ac:dyDescent="0.2">
      <c r="B81" s="574"/>
      <c r="C81" s="574"/>
      <c r="D81" s="574"/>
      <c r="E81" s="574"/>
    </row>
    <row r="82" spans="2:5" ht="12.75" customHeight="1" x14ac:dyDescent="0.2">
      <c r="B82" s="574"/>
      <c r="C82" s="574"/>
      <c r="D82" s="574"/>
      <c r="E82" s="574"/>
    </row>
    <row r="83" spans="2:5" ht="12.75" customHeight="1" x14ac:dyDescent="0.2">
      <c r="B83" s="574"/>
      <c r="C83" s="574"/>
      <c r="D83" s="574"/>
      <c r="E83" s="574"/>
    </row>
    <row r="84" spans="2:5" ht="12.75" customHeight="1" x14ac:dyDescent="0.2">
      <c r="B84" s="574"/>
      <c r="C84" s="574"/>
      <c r="D84" s="574"/>
      <c r="E84" s="574"/>
    </row>
    <row r="85" spans="2:5" ht="12.75" customHeight="1" x14ac:dyDescent="0.2">
      <c r="B85" s="574"/>
      <c r="C85" s="574"/>
      <c r="D85" s="574"/>
      <c r="E85" s="574"/>
    </row>
    <row r="86" spans="2:5" ht="12.75" customHeight="1" x14ac:dyDescent="0.2">
      <c r="B86" s="574"/>
      <c r="C86" s="574"/>
      <c r="D86" s="574"/>
      <c r="E86" s="574"/>
    </row>
    <row r="87" spans="2:5" ht="12.75" customHeight="1" x14ac:dyDescent="0.2">
      <c r="B87" s="574"/>
      <c r="C87" s="574"/>
      <c r="D87" s="574"/>
      <c r="E87" s="574"/>
    </row>
    <row r="88" spans="2:5" ht="12.75" customHeight="1" x14ac:dyDescent="0.2">
      <c r="B88" s="574"/>
      <c r="C88" s="574"/>
      <c r="D88" s="574"/>
      <c r="E88" s="574"/>
    </row>
    <row r="89" spans="2:5" ht="12.75" customHeight="1" x14ac:dyDescent="0.2">
      <c r="B89" s="574"/>
      <c r="C89" s="574"/>
      <c r="D89" s="574"/>
      <c r="E89" s="574"/>
    </row>
    <row r="90" spans="2:5" ht="12.75" customHeight="1" x14ac:dyDescent="0.2">
      <c r="B90" s="574"/>
      <c r="C90" s="574"/>
      <c r="D90" s="574"/>
      <c r="E90" s="574"/>
    </row>
    <row r="91" spans="2:5" ht="12.75" customHeight="1" x14ac:dyDescent="0.2">
      <c r="B91" s="574"/>
      <c r="C91" s="574"/>
      <c r="D91" s="574"/>
      <c r="E91" s="574"/>
    </row>
    <row r="92" spans="2:5" ht="12.75" customHeight="1" x14ac:dyDescent="0.2">
      <c r="B92" s="574"/>
      <c r="C92" s="574"/>
      <c r="D92" s="574"/>
      <c r="E92" s="574"/>
    </row>
    <row r="93" spans="2:5" ht="12.75" customHeight="1" x14ac:dyDescent="0.2">
      <c r="B93" s="574"/>
      <c r="C93" s="574"/>
      <c r="D93" s="574"/>
      <c r="E93" s="574"/>
    </row>
    <row r="94" spans="2:5" ht="12.75" customHeight="1" x14ac:dyDescent="0.2">
      <c r="B94" s="574"/>
      <c r="C94" s="574"/>
      <c r="D94" s="574"/>
      <c r="E94" s="574"/>
    </row>
    <row r="95" spans="2:5" ht="12.75" customHeight="1" x14ac:dyDescent="0.2">
      <c r="B95" s="574"/>
      <c r="C95" s="574"/>
      <c r="D95" s="574"/>
      <c r="E95" s="574"/>
    </row>
    <row r="96" spans="2:5" ht="12.75" customHeight="1" x14ac:dyDescent="0.2">
      <c r="B96" s="574"/>
      <c r="C96" s="574"/>
      <c r="D96" s="574"/>
      <c r="E96" s="574"/>
    </row>
    <row r="97" spans="2:5" ht="12.75" customHeight="1" x14ac:dyDescent="0.2">
      <c r="B97" s="574"/>
      <c r="C97" s="574"/>
      <c r="D97" s="574"/>
      <c r="E97" s="574"/>
    </row>
    <row r="98" spans="2:5" ht="12.75" customHeight="1" x14ac:dyDescent="0.2">
      <c r="B98" s="574"/>
      <c r="C98" s="574"/>
      <c r="D98" s="574"/>
      <c r="E98" s="574"/>
    </row>
    <row r="99" spans="2:5" ht="12.75" customHeight="1" x14ac:dyDescent="0.2">
      <c r="B99" s="574"/>
      <c r="C99" s="574"/>
      <c r="D99" s="574"/>
      <c r="E99" s="574"/>
    </row>
    <row r="100" spans="2:5" ht="12.75" customHeight="1" x14ac:dyDescent="0.2">
      <c r="B100" s="574"/>
      <c r="C100" s="574"/>
      <c r="D100" s="574"/>
      <c r="E100" s="574"/>
    </row>
    <row r="101" spans="2:5" ht="12.75" customHeight="1" x14ac:dyDescent="0.2">
      <c r="B101" s="574"/>
      <c r="C101" s="574"/>
      <c r="D101" s="574"/>
      <c r="E101" s="574"/>
    </row>
    <row r="102" spans="2:5" ht="12.75" customHeight="1" x14ac:dyDescent="0.2">
      <c r="B102" s="574"/>
      <c r="C102" s="574"/>
      <c r="D102" s="574"/>
      <c r="E102" s="574"/>
    </row>
    <row r="103" spans="2:5" ht="12.75" customHeight="1" x14ac:dyDescent="0.2">
      <c r="B103" s="574"/>
      <c r="C103" s="574"/>
      <c r="D103" s="574"/>
      <c r="E103" s="574"/>
    </row>
    <row r="104" spans="2:5" ht="12.75" customHeight="1" x14ac:dyDescent="0.2">
      <c r="B104" s="574"/>
      <c r="C104" s="574"/>
      <c r="D104" s="574"/>
      <c r="E104" s="574"/>
    </row>
    <row r="105" spans="2:5" ht="12.75" customHeight="1" x14ac:dyDescent="0.2">
      <c r="B105" s="574"/>
      <c r="C105" s="574"/>
      <c r="D105" s="574"/>
      <c r="E105" s="574"/>
    </row>
    <row r="106" spans="2:5" ht="12.75" customHeight="1" x14ac:dyDescent="0.2">
      <c r="B106" s="574"/>
      <c r="C106" s="574"/>
      <c r="D106" s="574"/>
      <c r="E106" s="574"/>
    </row>
    <row r="107" spans="2:5" ht="12.75" customHeight="1" x14ac:dyDescent="0.2">
      <c r="B107" s="574"/>
      <c r="C107" s="574"/>
      <c r="D107" s="574"/>
      <c r="E107" s="574"/>
    </row>
    <row r="108" spans="2:5" ht="12.75" customHeight="1" x14ac:dyDescent="0.2">
      <c r="B108" s="574"/>
      <c r="C108" s="574"/>
      <c r="D108" s="574"/>
      <c r="E108" s="574"/>
    </row>
    <row r="109" spans="2:5" ht="12.75" customHeight="1" x14ac:dyDescent="0.2">
      <c r="B109" s="574"/>
      <c r="C109" s="574"/>
      <c r="D109" s="574"/>
      <c r="E109" s="574"/>
    </row>
    <row r="110" spans="2:5" ht="12.75" customHeight="1" x14ac:dyDescent="0.2">
      <c r="B110" s="574"/>
      <c r="C110" s="574"/>
      <c r="D110" s="574"/>
      <c r="E110" s="574"/>
    </row>
    <row r="111" spans="2:5" ht="12.75" customHeight="1" x14ac:dyDescent="0.2">
      <c r="B111" s="574"/>
      <c r="C111" s="574"/>
      <c r="D111" s="574"/>
      <c r="E111" s="574"/>
    </row>
    <row r="112" spans="2:5" ht="12.75" customHeight="1" x14ac:dyDescent="0.2">
      <c r="B112" s="574"/>
      <c r="C112" s="574"/>
      <c r="D112" s="574"/>
      <c r="E112" s="574"/>
    </row>
    <row r="113" spans="2:5" ht="12.75" customHeight="1" x14ac:dyDescent="0.2">
      <c r="B113" s="574"/>
      <c r="C113" s="574"/>
      <c r="D113" s="574"/>
      <c r="E113" s="574"/>
    </row>
    <row r="114" spans="2:5" ht="12.75" customHeight="1" x14ac:dyDescent="0.2">
      <c r="B114" s="574"/>
      <c r="C114" s="574"/>
      <c r="D114" s="574"/>
      <c r="E114" s="574"/>
    </row>
    <row r="115" spans="2:5" ht="12.75" customHeight="1" x14ac:dyDescent="0.2">
      <c r="B115" s="574"/>
      <c r="C115" s="574"/>
      <c r="D115" s="574"/>
      <c r="E115" s="574"/>
    </row>
    <row r="116" spans="2:5" ht="12.75" customHeight="1" x14ac:dyDescent="0.2">
      <c r="B116" s="574"/>
      <c r="C116" s="574"/>
      <c r="D116" s="574"/>
      <c r="E116" s="574"/>
    </row>
    <row r="117" spans="2:5" ht="12.75" customHeight="1" x14ac:dyDescent="0.2">
      <c r="B117" s="574"/>
      <c r="C117" s="574"/>
      <c r="D117" s="574"/>
      <c r="E117" s="574"/>
    </row>
    <row r="118" spans="2:5" ht="12.75" customHeight="1" x14ac:dyDescent="0.2">
      <c r="B118" s="574"/>
      <c r="C118" s="574"/>
      <c r="D118" s="574"/>
      <c r="E118" s="574"/>
    </row>
    <row r="119" spans="2:5" ht="12.75" customHeight="1" x14ac:dyDescent="0.2">
      <c r="B119" s="574"/>
      <c r="C119" s="574"/>
      <c r="D119" s="574"/>
      <c r="E119" s="574"/>
    </row>
    <row r="120" spans="2:5" ht="12.75" customHeight="1" x14ac:dyDescent="0.2">
      <c r="B120" s="574"/>
      <c r="C120" s="574"/>
      <c r="D120" s="574"/>
      <c r="E120" s="574"/>
    </row>
    <row r="121" spans="2:5" ht="12.75" customHeight="1" x14ac:dyDescent="0.2">
      <c r="B121" s="574"/>
      <c r="C121" s="574"/>
      <c r="D121" s="574"/>
      <c r="E121" s="574"/>
    </row>
    <row r="122" spans="2:5" ht="12.75" customHeight="1" x14ac:dyDescent="0.2">
      <c r="B122" s="574"/>
      <c r="C122" s="574"/>
      <c r="D122" s="574"/>
      <c r="E122" s="574"/>
    </row>
    <row r="123" spans="2:5" ht="12.75" customHeight="1" x14ac:dyDescent="0.2">
      <c r="B123" s="574"/>
      <c r="C123" s="574"/>
      <c r="D123" s="574"/>
      <c r="E123" s="574"/>
    </row>
    <row r="124" spans="2:5" ht="12.75" customHeight="1" x14ac:dyDescent="0.2">
      <c r="B124" s="574"/>
      <c r="C124" s="574"/>
      <c r="D124" s="574"/>
      <c r="E124" s="574"/>
    </row>
    <row r="125" spans="2:5" ht="12.75" customHeight="1" x14ac:dyDescent="0.2">
      <c r="B125" s="574"/>
      <c r="C125" s="574"/>
      <c r="D125" s="574"/>
      <c r="E125" s="574"/>
    </row>
    <row r="126" spans="2:5" ht="12.75" customHeight="1" x14ac:dyDescent="0.2">
      <c r="B126" s="574"/>
      <c r="C126" s="574"/>
      <c r="D126" s="574"/>
      <c r="E126" s="574"/>
    </row>
    <row r="127" spans="2:5" ht="12.75" customHeight="1" x14ac:dyDescent="0.2">
      <c r="B127" s="574"/>
      <c r="C127" s="574"/>
      <c r="D127" s="574"/>
      <c r="E127" s="574"/>
    </row>
    <row r="128" spans="2:5" ht="12.75" customHeight="1" x14ac:dyDescent="0.2">
      <c r="B128" s="574"/>
      <c r="C128" s="574"/>
      <c r="D128" s="574"/>
      <c r="E128" s="574"/>
    </row>
    <row r="129" spans="2:5" ht="12.75" customHeight="1" x14ac:dyDescent="0.2">
      <c r="B129" s="574"/>
      <c r="C129" s="574"/>
      <c r="D129" s="574"/>
      <c r="E129" s="574"/>
    </row>
    <row r="130" spans="2:5" ht="12.75" customHeight="1" x14ac:dyDescent="0.2">
      <c r="B130" s="574"/>
      <c r="C130" s="574"/>
      <c r="D130" s="574"/>
      <c r="E130" s="574"/>
    </row>
    <row r="131" spans="2:5" ht="12.75" customHeight="1" x14ac:dyDescent="0.2">
      <c r="B131" s="574"/>
      <c r="C131" s="574"/>
      <c r="D131" s="574"/>
      <c r="E131" s="574"/>
    </row>
    <row r="132" spans="2:5" ht="12.75" customHeight="1" x14ac:dyDescent="0.2">
      <c r="B132" s="574"/>
      <c r="C132" s="574"/>
      <c r="D132" s="574"/>
      <c r="E132" s="574"/>
    </row>
    <row r="133" spans="2:5" ht="12.75" customHeight="1" x14ac:dyDescent="0.2">
      <c r="B133" s="574"/>
      <c r="C133" s="574"/>
      <c r="D133" s="574"/>
      <c r="E133" s="574"/>
    </row>
    <row r="134" spans="2:5" ht="12.75" customHeight="1" x14ac:dyDescent="0.2">
      <c r="B134" s="574"/>
      <c r="C134" s="574"/>
      <c r="D134" s="574"/>
      <c r="E134" s="574"/>
    </row>
    <row r="135" spans="2:5" ht="12.75" customHeight="1" x14ac:dyDescent="0.2">
      <c r="B135" s="574"/>
      <c r="C135" s="574"/>
      <c r="D135" s="574"/>
      <c r="E135" s="574"/>
    </row>
    <row r="136" spans="2:5" ht="12.75" customHeight="1" x14ac:dyDescent="0.2">
      <c r="B136" s="574"/>
      <c r="C136" s="574"/>
      <c r="D136" s="574"/>
      <c r="E136" s="574"/>
    </row>
    <row r="137" spans="2:5" ht="12.75" customHeight="1" x14ac:dyDescent="0.2">
      <c r="B137" s="574"/>
      <c r="C137" s="574"/>
      <c r="D137" s="574"/>
      <c r="E137" s="574"/>
    </row>
    <row r="138" spans="2:5" ht="12.75" customHeight="1" x14ac:dyDescent="0.2">
      <c r="B138" s="574"/>
      <c r="C138" s="574"/>
      <c r="D138" s="574"/>
      <c r="E138" s="574"/>
    </row>
    <row r="139" spans="2:5" ht="12.75" customHeight="1" x14ac:dyDescent="0.2">
      <c r="B139" s="574"/>
      <c r="C139" s="574"/>
      <c r="D139" s="574"/>
      <c r="E139" s="574"/>
    </row>
    <row r="140" spans="2:5" ht="12.75" customHeight="1" x14ac:dyDescent="0.2">
      <c r="B140" s="574"/>
      <c r="C140" s="574"/>
      <c r="D140" s="574"/>
      <c r="E140" s="574"/>
    </row>
    <row r="141" spans="2:5" ht="12.75" customHeight="1" x14ac:dyDescent="0.2">
      <c r="B141" s="574"/>
      <c r="C141" s="574"/>
      <c r="D141" s="574"/>
      <c r="E141" s="574"/>
    </row>
    <row r="142" spans="2:5" ht="12.75" customHeight="1" x14ac:dyDescent="0.2">
      <c r="B142" s="574"/>
      <c r="C142" s="574"/>
      <c r="D142" s="574"/>
      <c r="E142" s="574"/>
    </row>
    <row r="143" spans="2:5" ht="12.75" customHeight="1" x14ac:dyDescent="0.2">
      <c r="B143" s="574"/>
      <c r="C143" s="574"/>
      <c r="D143" s="574"/>
      <c r="E143" s="574"/>
    </row>
    <row r="144" spans="2:5" ht="12.75" customHeight="1" x14ac:dyDescent="0.2">
      <c r="B144" s="574"/>
      <c r="C144" s="574"/>
      <c r="D144" s="574"/>
      <c r="E144" s="574"/>
    </row>
    <row r="145" spans="2:5" ht="12.75" customHeight="1" x14ac:dyDescent="0.2">
      <c r="B145" s="574"/>
      <c r="C145" s="574"/>
      <c r="D145" s="574"/>
      <c r="E145" s="574"/>
    </row>
    <row r="146" spans="2:5" ht="12.75" customHeight="1" x14ac:dyDescent="0.2">
      <c r="B146" s="574"/>
      <c r="C146" s="574"/>
      <c r="D146" s="574"/>
      <c r="E146" s="574"/>
    </row>
    <row r="147" spans="2:5" ht="12.75" customHeight="1" x14ac:dyDescent="0.2">
      <c r="B147" s="574"/>
      <c r="C147" s="574"/>
      <c r="D147" s="574"/>
      <c r="E147" s="574"/>
    </row>
    <row r="148" spans="2:5" ht="12.75" customHeight="1" x14ac:dyDescent="0.2">
      <c r="B148" s="574"/>
      <c r="C148" s="574"/>
      <c r="D148" s="574"/>
      <c r="E148" s="574"/>
    </row>
    <row r="149" spans="2:5" ht="12.75" customHeight="1" x14ac:dyDescent="0.2">
      <c r="B149" s="574"/>
      <c r="C149" s="574"/>
      <c r="D149" s="574"/>
      <c r="E149" s="574"/>
    </row>
    <row r="150" spans="2:5" ht="12.75" customHeight="1" x14ac:dyDescent="0.2">
      <c r="B150" s="574"/>
      <c r="C150" s="574"/>
      <c r="D150" s="574"/>
      <c r="E150" s="574"/>
    </row>
    <row r="151" spans="2:5" ht="12.75" customHeight="1" x14ac:dyDescent="0.2">
      <c r="B151" s="574"/>
      <c r="C151" s="574"/>
      <c r="D151" s="574"/>
      <c r="E151" s="574"/>
    </row>
    <row r="152" spans="2:5" ht="12.75" customHeight="1" x14ac:dyDescent="0.2">
      <c r="B152" s="574"/>
      <c r="C152" s="574"/>
      <c r="D152" s="574"/>
      <c r="E152" s="574"/>
    </row>
    <row r="153" spans="2:5" ht="12.75" customHeight="1" x14ac:dyDescent="0.2">
      <c r="B153" s="574"/>
      <c r="C153" s="574"/>
      <c r="D153" s="574"/>
      <c r="E153" s="574"/>
    </row>
    <row r="154" spans="2:5" ht="12.75" customHeight="1" x14ac:dyDescent="0.2">
      <c r="B154" s="574"/>
      <c r="C154" s="574"/>
      <c r="D154" s="574"/>
      <c r="E154" s="574"/>
    </row>
    <row r="155" spans="2:5" ht="12.75" customHeight="1" x14ac:dyDescent="0.2">
      <c r="B155" s="574"/>
      <c r="C155" s="574"/>
      <c r="D155" s="574"/>
      <c r="E155" s="574"/>
    </row>
    <row r="156" spans="2:5" ht="12.75" customHeight="1" x14ac:dyDescent="0.2">
      <c r="B156" s="574"/>
      <c r="C156" s="574"/>
      <c r="D156" s="574"/>
      <c r="E156" s="574"/>
    </row>
    <row r="157" spans="2:5" ht="12.75" customHeight="1" x14ac:dyDescent="0.2">
      <c r="B157" s="574"/>
      <c r="C157" s="574"/>
      <c r="D157" s="574"/>
      <c r="E157" s="574"/>
    </row>
    <row r="158" spans="2:5" ht="12.75" customHeight="1" x14ac:dyDescent="0.2">
      <c r="B158" s="574"/>
      <c r="C158" s="574"/>
      <c r="D158" s="574"/>
      <c r="E158" s="574"/>
    </row>
    <row r="159" spans="2:5" ht="12.75" customHeight="1" x14ac:dyDescent="0.2">
      <c r="B159" s="574"/>
      <c r="C159" s="574"/>
      <c r="D159" s="574"/>
      <c r="E159" s="574"/>
    </row>
    <row r="160" spans="2:5" ht="12.75" customHeight="1" x14ac:dyDescent="0.2">
      <c r="B160" s="574"/>
      <c r="C160" s="574"/>
      <c r="D160" s="574"/>
      <c r="E160" s="574"/>
    </row>
    <row r="161" spans="2:5" ht="12.75" customHeight="1" x14ac:dyDescent="0.2">
      <c r="B161" s="574"/>
      <c r="C161" s="574"/>
      <c r="D161" s="574"/>
      <c r="E161" s="574"/>
    </row>
    <row r="162" spans="2:5" ht="12.75" customHeight="1" x14ac:dyDescent="0.2">
      <c r="B162" s="574"/>
      <c r="C162" s="574"/>
      <c r="D162" s="574"/>
      <c r="E162" s="574"/>
    </row>
    <row r="163" spans="2:5" ht="12.75" customHeight="1" x14ac:dyDescent="0.2">
      <c r="B163" s="574"/>
      <c r="C163" s="574"/>
      <c r="D163" s="574"/>
      <c r="E163" s="574"/>
    </row>
    <row r="164" spans="2:5" ht="12.75" customHeight="1" x14ac:dyDescent="0.2">
      <c r="B164" s="574"/>
      <c r="C164" s="574"/>
      <c r="D164" s="574"/>
      <c r="E164" s="574"/>
    </row>
    <row r="165" spans="2:5" ht="12.75" customHeight="1" x14ac:dyDescent="0.2">
      <c r="B165" s="574"/>
      <c r="C165" s="574"/>
      <c r="D165" s="574"/>
      <c r="E165" s="574"/>
    </row>
    <row r="166" spans="2:5" ht="12.75" customHeight="1" x14ac:dyDescent="0.2">
      <c r="B166" s="574"/>
      <c r="C166" s="574"/>
      <c r="D166" s="574"/>
      <c r="E166" s="574"/>
    </row>
    <row r="167" spans="2:5" ht="12.75" customHeight="1" x14ac:dyDescent="0.2">
      <c r="B167" s="574"/>
      <c r="C167" s="574"/>
      <c r="D167" s="574"/>
      <c r="E167" s="574"/>
    </row>
    <row r="168" spans="2:5" ht="12.75" customHeight="1" x14ac:dyDescent="0.2">
      <c r="B168" s="574"/>
      <c r="C168" s="574"/>
      <c r="D168" s="574"/>
      <c r="E168" s="574"/>
    </row>
    <row r="169" spans="2:5" ht="12.75" customHeight="1" x14ac:dyDescent="0.2">
      <c r="B169" s="574"/>
      <c r="C169" s="574"/>
      <c r="D169" s="574"/>
      <c r="E169" s="574"/>
    </row>
    <row r="170" spans="2:5" ht="12.75" customHeight="1" x14ac:dyDescent="0.2">
      <c r="B170" s="574"/>
      <c r="C170" s="574"/>
      <c r="D170" s="574"/>
      <c r="E170" s="574"/>
    </row>
    <row r="171" spans="2:5" ht="12.75" customHeight="1" x14ac:dyDescent="0.2">
      <c r="B171" s="574"/>
      <c r="C171" s="574"/>
      <c r="D171" s="574"/>
      <c r="E171" s="574"/>
    </row>
    <row r="172" spans="2:5" ht="12.75" customHeight="1" x14ac:dyDescent="0.2">
      <c r="B172" s="574"/>
      <c r="C172" s="574"/>
      <c r="D172" s="574"/>
      <c r="E172" s="574"/>
    </row>
    <row r="173" spans="2:5" ht="12.75" customHeight="1" x14ac:dyDescent="0.2">
      <c r="B173" s="574"/>
      <c r="C173" s="574"/>
      <c r="D173" s="574"/>
      <c r="E173" s="574"/>
    </row>
    <row r="174" spans="2:5" ht="12.75" customHeight="1" x14ac:dyDescent="0.2">
      <c r="B174" s="574"/>
      <c r="C174" s="574"/>
      <c r="D174" s="574"/>
      <c r="E174" s="574"/>
    </row>
    <row r="175" spans="2:5" ht="12.75" customHeight="1" x14ac:dyDescent="0.2">
      <c r="B175" s="574"/>
      <c r="C175" s="574"/>
      <c r="D175" s="574"/>
      <c r="E175" s="574"/>
    </row>
    <row r="176" spans="2:5" ht="12.75" customHeight="1" x14ac:dyDescent="0.2">
      <c r="B176" s="574"/>
      <c r="C176" s="574"/>
      <c r="D176" s="574"/>
      <c r="E176" s="574"/>
    </row>
    <row r="177" spans="2:5" ht="12.75" customHeight="1" x14ac:dyDescent="0.2">
      <c r="B177" s="574"/>
      <c r="C177" s="574"/>
      <c r="D177" s="574"/>
      <c r="E177" s="574"/>
    </row>
    <row r="178" spans="2:5" ht="12.75" customHeight="1" x14ac:dyDescent="0.2">
      <c r="B178" s="574"/>
      <c r="C178" s="574"/>
      <c r="D178" s="574"/>
      <c r="E178" s="574"/>
    </row>
    <row r="179" spans="2:5" ht="12.75" customHeight="1" x14ac:dyDescent="0.2">
      <c r="B179" s="574"/>
      <c r="C179" s="574"/>
      <c r="D179" s="574"/>
      <c r="E179" s="574"/>
    </row>
    <row r="180" spans="2:5" ht="12.75" customHeight="1" x14ac:dyDescent="0.2">
      <c r="B180" s="574"/>
      <c r="C180" s="574"/>
      <c r="D180" s="574"/>
      <c r="E180" s="574"/>
    </row>
    <row r="181" spans="2:5" ht="12.75" customHeight="1" x14ac:dyDescent="0.2">
      <c r="B181" s="574"/>
      <c r="C181" s="574"/>
      <c r="D181" s="574"/>
      <c r="E181" s="574"/>
    </row>
    <row r="182" spans="2:5" ht="12.75" customHeight="1" x14ac:dyDescent="0.2">
      <c r="B182" s="574"/>
      <c r="C182" s="574"/>
      <c r="D182" s="574"/>
      <c r="E182" s="574"/>
    </row>
    <row r="183" spans="2:5" ht="12.75" customHeight="1" x14ac:dyDescent="0.2">
      <c r="B183" s="574"/>
      <c r="C183" s="574"/>
      <c r="D183" s="574"/>
      <c r="E183" s="574"/>
    </row>
    <row r="184" spans="2:5" ht="12.75" customHeight="1" x14ac:dyDescent="0.2">
      <c r="B184" s="574"/>
      <c r="C184" s="574"/>
      <c r="D184" s="574"/>
      <c r="E184" s="574"/>
    </row>
    <row r="185" spans="2:5" ht="12.75" customHeight="1" x14ac:dyDescent="0.2">
      <c r="B185" s="574"/>
      <c r="C185" s="574"/>
      <c r="D185" s="574"/>
      <c r="E185" s="574"/>
    </row>
    <row r="186" spans="2:5" ht="12.75" customHeight="1" x14ac:dyDescent="0.2">
      <c r="B186" s="574"/>
      <c r="C186" s="574"/>
      <c r="D186" s="574"/>
      <c r="E186" s="574"/>
    </row>
    <row r="187" spans="2:5" ht="12.75" customHeight="1" x14ac:dyDescent="0.2">
      <c r="B187" s="574"/>
      <c r="C187" s="574"/>
      <c r="D187" s="574"/>
      <c r="E187" s="574"/>
    </row>
    <row r="188" spans="2:5" ht="12.75" customHeight="1" x14ac:dyDescent="0.2">
      <c r="B188" s="574"/>
      <c r="C188" s="574"/>
      <c r="D188" s="574"/>
      <c r="E188" s="574"/>
    </row>
    <row r="189" spans="2:5" ht="12.75" customHeight="1" x14ac:dyDescent="0.2">
      <c r="B189" s="574"/>
      <c r="C189" s="574"/>
      <c r="D189" s="574"/>
      <c r="E189" s="574"/>
    </row>
    <row r="190" spans="2:5" ht="12.75" customHeight="1" x14ac:dyDescent="0.2">
      <c r="B190" s="574"/>
      <c r="C190" s="574"/>
      <c r="D190" s="574"/>
      <c r="E190" s="574"/>
    </row>
    <row r="191" spans="2:5" ht="12.75" customHeight="1" x14ac:dyDescent="0.2">
      <c r="B191" s="574"/>
      <c r="C191" s="574"/>
      <c r="D191" s="574"/>
      <c r="E191" s="574"/>
    </row>
    <row r="192" spans="2:5" ht="12.75" customHeight="1" x14ac:dyDescent="0.2">
      <c r="B192" s="574"/>
      <c r="C192" s="574"/>
      <c r="D192" s="574"/>
      <c r="E192" s="574"/>
    </row>
    <row r="193" spans="2:5" ht="12.75" customHeight="1" x14ac:dyDescent="0.2">
      <c r="B193" s="574"/>
      <c r="C193" s="574"/>
      <c r="D193" s="574"/>
      <c r="E193" s="574"/>
    </row>
    <row r="194" spans="2:5" ht="12.75" customHeight="1" x14ac:dyDescent="0.2">
      <c r="B194" s="574"/>
      <c r="C194" s="574"/>
      <c r="D194" s="574"/>
      <c r="E194" s="574"/>
    </row>
    <row r="195" spans="2:5" ht="12.75" customHeight="1" x14ac:dyDescent="0.2">
      <c r="B195" s="574"/>
      <c r="C195" s="574"/>
      <c r="D195" s="574"/>
      <c r="E195" s="574"/>
    </row>
    <row r="196" spans="2:5" ht="12.75" customHeight="1" x14ac:dyDescent="0.2">
      <c r="B196" s="574"/>
      <c r="C196" s="574"/>
      <c r="D196" s="574"/>
      <c r="E196" s="574"/>
    </row>
    <row r="197" spans="2:5" ht="12.75" customHeight="1" x14ac:dyDescent="0.2">
      <c r="B197" s="574"/>
      <c r="C197" s="574"/>
      <c r="D197" s="574"/>
      <c r="E197" s="574"/>
    </row>
    <row r="198" spans="2:5" ht="12.75" customHeight="1" x14ac:dyDescent="0.2">
      <c r="B198" s="574"/>
      <c r="C198" s="574"/>
      <c r="D198" s="574"/>
      <c r="E198" s="574"/>
    </row>
    <row r="199" spans="2:5" ht="12.75" customHeight="1" x14ac:dyDescent="0.2">
      <c r="B199" s="574"/>
      <c r="C199" s="574"/>
      <c r="D199" s="574"/>
      <c r="E199" s="574"/>
    </row>
    <row r="200" spans="2:5" ht="12.75" customHeight="1" x14ac:dyDescent="0.2">
      <c r="B200" s="574"/>
      <c r="C200" s="574"/>
      <c r="D200" s="574"/>
      <c r="E200" s="574"/>
    </row>
    <row r="201" spans="2:5" ht="12.75" customHeight="1" x14ac:dyDescent="0.2">
      <c r="B201" s="574"/>
      <c r="C201" s="574"/>
      <c r="D201" s="574"/>
      <c r="E201" s="574"/>
    </row>
    <row r="202" spans="2:5" ht="12.75" customHeight="1" x14ac:dyDescent="0.2">
      <c r="B202" s="574"/>
      <c r="C202" s="574"/>
      <c r="D202" s="574"/>
      <c r="E202" s="574"/>
    </row>
    <row r="203" spans="2:5" ht="12.75" customHeight="1" x14ac:dyDescent="0.2">
      <c r="B203" s="574"/>
      <c r="C203" s="574"/>
      <c r="D203" s="574"/>
      <c r="E203" s="574"/>
    </row>
    <row r="204" spans="2:5" ht="12.75" customHeight="1" x14ac:dyDescent="0.2">
      <c r="B204" s="574"/>
      <c r="C204" s="574"/>
      <c r="D204" s="574"/>
      <c r="E204" s="574"/>
    </row>
    <row r="205" spans="2:5" ht="12.75" customHeight="1" x14ac:dyDescent="0.2">
      <c r="B205" s="574"/>
      <c r="C205" s="574"/>
      <c r="D205" s="574"/>
      <c r="E205" s="574"/>
    </row>
    <row r="206" spans="2:5" ht="12.75" customHeight="1" x14ac:dyDescent="0.2">
      <c r="B206" s="574"/>
      <c r="C206" s="574"/>
      <c r="D206" s="574"/>
      <c r="E206" s="574"/>
    </row>
    <row r="207" spans="2:5" ht="12.75" customHeight="1" x14ac:dyDescent="0.2">
      <c r="B207" s="574"/>
      <c r="C207" s="574"/>
      <c r="D207" s="574"/>
      <c r="E207" s="574"/>
    </row>
    <row r="208" spans="2:5" ht="12.75" customHeight="1" x14ac:dyDescent="0.2">
      <c r="B208" s="574"/>
      <c r="C208" s="574"/>
      <c r="D208" s="574"/>
      <c r="E208" s="574"/>
    </row>
    <row r="209" spans="2:5" ht="12.75" customHeight="1" x14ac:dyDescent="0.2">
      <c r="B209" s="574"/>
      <c r="C209" s="574"/>
      <c r="D209" s="574"/>
      <c r="E209" s="574"/>
    </row>
    <row r="210" spans="2:5" ht="12.75" customHeight="1" x14ac:dyDescent="0.2">
      <c r="B210" s="574"/>
      <c r="C210" s="574"/>
      <c r="D210" s="574"/>
      <c r="E210" s="574"/>
    </row>
    <row r="211" spans="2:5" ht="12.75" customHeight="1" x14ac:dyDescent="0.2">
      <c r="B211" s="574"/>
      <c r="C211" s="574"/>
      <c r="D211" s="574"/>
      <c r="E211" s="574"/>
    </row>
    <row r="212" spans="2:5" ht="12.75" customHeight="1" x14ac:dyDescent="0.2">
      <c r="B212" s="574"/>
      <c r="C212" s="574"/>
      <c r="D212" s="574"/>
      <c r="E212" s="574"/>
    </row>
    <row r="213" spans="2:5" ht="12.75" customHeight="1" x14ac:dyDescent="0.2">
      <c r="B213" s="574"/>
      <c r="C213" s="574"/>
      <c r="D213" s="574"/>
      <c r="E213" s="574"/>
    </row>
    <row r="214" spans="2:5" ht="12.75" customHeight="1" x14ac:dyDescent="0.2">
      <c r="B214" s="574"/>
      <c r="C214" s="574"/>
      <c r="D214" s="574"/>
      <c r="E214" s="574"/>
    </row>
    <row r="215" spans="2:5" ht="12.75" customHeight="1" x14ac:dyDescent="0.2">
      <c r="B215" s="574"/>
      <c r="C215" s="574"/>
      <c r="D215" s="574"/>
      <c r="E215" s="574"/>
    </row>
    <row r="216" spans="2:5" ht="12.75" customHeight="1" x14ac:dyDescent="0.2">
      <c r="B216" s="574"/>
      <c r="C216" s="574"/>
      <c r="D216" s="574"/>
      <c r="E216" s="574"/>
    </row>
    <row r="217" spans="2:5" ht="12.75" customHeight="1" x14ac:dyDescent="0.2">
      <c r="B217" s="574"/>
      <c r="C217" s="574"/>
      <c r="D217" s="574"/>
      <c r="E217" s="574"/>
    </row>
    <row r="218" spans="2:5" ht="12.75" customHeight="1" x14ac:dyDescent="0.2">
      <c r="B218" s="574"/>
      <c r="C218" s="574"/>
      <c r="D218" s="574"/>
      <c r="E218" s="574"/>
    </row>
    <row r="219" spans="2:5" ht="12.75" customHeight="1" x14ac:dyDescent="0.2">
      <c r="B219" s="574"/>
      <c r="C219" s="574"/>
      <c r="D219" s="574"/>
      <c r="E219" s="574"/>
    </row>
    <row r="220" spans="2:5" ht="12.75" customHeight="1" x14ac:dyDescent="0.2">
      <c r="B220" s="574"/>
      <c r="C220" s="574"/>
      <c r="D220" s="574"/>
      <c r="E220" s="574"/>
    </row>
    <row r="221" spans="2:5" ht="12.75" customHeight="1" x14ac:dyDescent="0.2">
      <c r="B221" s="574"/>
      <c r="C221" s="574"/>
      <c r="D221" s="574"/>
      <c r="E221" s="574"/>
    </row>
    <row r="222" spans="2:5" ht="12.75" customHeight="1" x14ac:dyDescent="0.2">
      <c r="B222" s="574"/>
      <c r="C222" s="574"/>
      <c r="D222" s="574"/>
      <c r="E222" s="574"/>
    </row>
    <row r="223" spans="2:5" ht="12.75" customHeight="1" x14ac:dyDescent="0.2">
      <c r="B223" s="574"/>
      <c r="C223" s="574"/>
      <c r="D223" s="574"/>
      <c r="E223" s="574"/>
    </row>
    <row r="224" spans="2:5" ht="12.75" customHeight="1" x14ac:dyDescent="0.2">
      <c r="B224" s="574"/>
      <c r="C224" s="574"/>
      <c r="D224" s="574"/>
      <c r="E224" s="574"/>
    </row>
    <row r="225" spans="2:5" ht="12.75" customHeight="1" x14ac:dyDescent="0.2">
      <c r="B225" s="574"/>
      <c r="C225" s="574"/>
      <c r="D225" s="574"/>
      <c r="E225" s="574"/>
    </row>
    <row r="226" spans="2:5" ht="12.75" customHeight="1" x14ac:dyDescent="0.2">
      <c r="B226" s="574"/>
      <c r="C226" s="574"/>
      <c r="D226" s="574"/>
      <c r="E226" s="574"/>
    </row>
    <row r="227" spans="2:5" ht="12.75" customHeight="1" x14ac:dyDescent="0.2">
      <c r="B227" s="574"/>
      <c r="C227" s="574"/>
      <c r="D227" s="574"/>
      <c r="E227" s="574"/>
    </row>
    <row r="228" spans="2:5" ht="12.75" customHeight="1" x14ac:dyDescent="0.2">
      <c r="B228" s="574"/>
      <c r="C228" s="574"/>
      <c r="D228" s="574"/>
      <c r="E228" s="574"/>
    </row>
    <row r="229" spans="2:5" ht="12.75" customHeight="1" x14ac:dyDescent="0.2">
      <c r="B229" s="574"/>
      <c r="C229" s="574"/>
      <c r="D229" s="574"/>
      <c r="E229" s="574"/>
    </row>
    <row r="230" spans="2:5" ht="12.75" customHeight="1" x14ac:dyDescent="0.2">
      <c r="B230" s="574"/>
      <c r="C230" s="574"/>
      <c r="D230" s="574"/>
      <c r="E230" s="574"/>
    </row>
    <row r="231" spans="2:5" ht="12.75" customHeight="1" x14ac:dyDescent="0.2">
      <c r="B231" s="574"/>
      <c r="C231" s="574"/>
      <c r="D231" s="574"/>
      <c r="E231" s="574"/>
    </row>
    <row r="232" spans="2:5" ht="12.75" customHeight="1" x14ac:dyDescent="0.2">
      <c r="B232" s="574"/>
      <c r="C232" s="574"/>
      <c r="D232" s="574"/>
      <c r="E232" s="574"/>
    </row>
    <row r="233" spans="2:5" ht="12.75" customHeight="1" x14ac:dyDescent="0.2">
      <c r="B233" s="574"/>
      <c r="C233" s="574"/>
      <c r="D233" s="574"/>
      <c r="E233" s="574"/>
    </row>
    <row r="234" spans="2:5" ht="12.75" customHeight="1" x14ac:dyDescent="0.2">
      <c r="B234" s="574"/>
      <c r="C234" s="574"/>
      <c r="D234" s="574"/>
      <c r="E234" s="574"/>
    </row>
    <row r="235" spans="2:5" ht="12.75" customHeight="1" x14ac:dyDescent="0.2">
      <c r="B235" s="574"/>
      <c r="C235" s="574"/>
      <c r="D235" s="574"/>
      <c r="E235" s="574"/>
    </row>
    <row r="236" spans="2:5" ht="12.75" customHeight="1" x14ac:dyDescent="0.2">
      <c r="B236" s="574"/>
      <c r="C236" s="574"/>
      <c r="D236" s="574"/>
      <c r="E236" s="574"/>
    </row>
    <row r="237" spans="2:5" ht="12.75" customHeight="1" x14ac:dyDescent="0.2">
      <c r="B237" s="574"/>
      <c r="C237" s="574"/>
      <c r="D237" s="574"/>
      <c r="E237" s="574"/>
    </row>
    <row r="238" spans="2:5" ht="12.75" customHeight="1" x14ac:dyDescent="0.2">
      <c r="B238" s="574"/>
      <c r="C238" s="574"/>
      <c r="D238" s="574"/>
      <c r="E238" s="574"/>
    </row>
    <row r="239" spans="2:5" ht="12.75" customHeight="1" x14ac:dyDescent="0.2">
      <c r="B239" s="574"/>
      <c r="C239" s="574"/>
      <c r="D239" s="574"/>
      <c r="E239" s="574"/>
    </row>
    <row r="240" spans="2:5" ht="12.75" customHeight="1" x14ac:dyDescent="0.2">
      <c r="B240" s="574"/>
      <c r="C240" s="574"/>
      <c r="D240" s="574"/>
      <c r="E240" s="574"/>
    </row>
    <row r="241" spans="2:5" ht="12.75" customHeight="1" x14ac:dyDescent="0.2">
      <c r="B241" s="574"/>
      <c r="C241" s="574"/>
      <c r="D241" s="574"/>
      <c r="E241" s="574"/>
    </row>
    <row r="242" spans="2:5" ht="12.75" customHeight="1" x14ac:dyDescent="0.2">
      <c r="B242" s="574"/>
      <c r="C242" s="574"/>
      <c r="D242" s="574"/>
      <c r="E242" s="574"/>
    </row>
    <row r="243" spans="2:5" ht="12.75" customHeight="1" x14ac:dyDescent="0.2">
      <c r="B243" s="574"/>
      <c r="C243" s="574"/>
      <c r="D243" s="574"/>
      <c r="E243" s="574"/>
    </row>
    <row r="244" spans="2:5" ht="12.75" customHeight="1" x14ac:dyDescent="0.2">
      <c r="B244" s="574"/>
      <c r="C244" s="574"/>
      <c r="D244" s="574"/>
      <c r="E244" s="574"/>
    </row>
    <row r="245" spans="2:5" ht="12.75" customHeight="1" x14ac:dyDescent="0.2">
      <c r="B245" s="574"/>
      <c r="C245" s="574"/>
      <c r="D245" s="574"/>
      <c r="E245" s="574"/>
    </row>
    <row r="246" spans="2:5" ht="12.75" customHeight="1" x14ac:dyDescent="0.2">
      <c r="B246" s="574"/>
      <c r="C246" s="574"/>
      <c r="D246" s="574"/>
      <c r="E246" s="574"/>
    </row>
    <row r="247" spans="2:5" ht="12.75" customHeight="1" x14ac:dyDescent="0.2">
      <c r="B247" s="574"/>
      <c r="C247" s="574"/>
      <c r="D247" s="574"/>
      <c r="E247" s="574"/>
    </row>
    <row r="248" spans="2:5" ht="12.75" customHeight="1" x14ac:dyDescent="0.2">
      <c r="B248" s="574"/>
      <c r="C248" s="574"/>
      <c r="D248" s="574"/>
      <c r="E248" s="574"/>
    </row>
    <row r="249" spans="2:5" ht="12.75" customHeight="1" x14ac:dyDescent="0.2">
      <c r="B249" s="574"/>
      <c r="C249" s="574"/>
      <c r="D249" s="574"/>
      <c r="E249" s="574"/>
    </row>
    <row r="250" spans="2:5" ht="12.75" customHeight="1" x14ac:dyDescent="0.2">
      <c r="B250" s="574"/>
      <c r="C250" s="574"/>
      <c r="D250" s="574"/>
      <c r="E250" s="574"/>
    </row>
    <row r="251" spans="2:5" ht="12.75" customHeight="1" x14ac:dyDescent="0.2">
      <c r="B251" s="574"/>
      <c r="C251" s="574"/>
      <c r="D251" s="574"/>
      <c r="E251" s="574"/>
    </row>
    <row r="252" spans="2:5" ht="12.75" customHeight="1" x14ac:dyDescent="0.2">
      <c r="B252" s="574"/>
      <c r="C252" s="574"/>
      <c r="D252" s="574"/>
      <c r="E252" s="574"/>
    </row>
    <row r="253" spans="2:5" ht="12.75" customHeight="1" x14ac:dyDescent="0.2">
      <c r="B253" s="574"/>
      <c r="C253" s="574"/>
      <c r="D253" s="574"/>
      <c r="E253" s="574"/>
    </row>
    <row r="254" spans="2:5" ht="12.75" customHeight="1" x14ac:dyDescent="0.2">
      <c r="B254" s="574"/>
      <c r="C254" s="574"/>
      <c r="D254" s="574"/>
      <c r="E254" s="574"/>
    </row>
    <row r="255" spans="2:5" ht="12.75" customHeight="1" x14ac:dyDescent="0.2">
      <c r="B255" s="574"/>
      <c r="C255" s="574"/>
      <c r="D255" s="574"/>
      <c r="E255" s="574"/>
    </row>
    <row r="256" spans="2:5" ht="12.75" customHeight="1" x14ac:dyDescent="0.2">
      <c r="B256" s="574"/>
      <c r="C256" s="574"/>
      <c r="D256" s="574"/>
      <c r="E256" s="574"/>
    </row>
    <row r="257" spans="2:5" ht="12.75" customHeight="1" x14ac:dyDescent="0.2">
      <c r="B257" s="574"/>
      <c r="C257" s="574"/>
      <c r="D257" s="574"/>
      <c r="E257" s="574"/>
    </row>
    <row r="258" spans="2:5" ht="12.75" customHeight="1" x14ac:dyDescent="0.2">
      <c r="B258" s="574"/>
      <c r="C258" s="574"/>
      <c r="D258" s="574"/>
      <c r="E258" s="574"/>
    </row>
    <row r="259" spans="2:5" ht="12.75" customHeight="1" x14ac:dyDescent="0.2">
      <c r="B259" s="574"/>
      <c r="C259" s="574"/>
      <c r="D259" s="574"/>
      <c r="E259" s="574"/>
    </row>
    <row r="260" spans="2:5" ht="12.75" customHeight="1" x14ac:dyDescent="0.2">
      <c r="B260" s="574"/>
      <c r="C260" s="574"/>
      <c r="D260" s="574"/>
      <c r="E260" s="574"/>
    </row>
    <row r="261" spans="2:5" ht="12.75" customHeight="1" x14ac:dyDescent="0.2">
      <c r="B261" s="574"/>
      <c r="C261" s="574"/>
      <c r="D261" s="574"/>
      <c r="E261" s="574"/>
    </row>
    <row r="262" spans="2:5" ht="12.75" customHeight="1" x14ac:dyDescent="0.2">
      <c r="B262" s="574"/>
      <c r="C262" s="574"/>
      <c r="D262" s="574"/>
      <c r="E262" s="574"/>
    </row>
    <row r="263" spans="2:5" ht="12.75" customHeight="1" x14ac:dyDescent="0.2">
      <c r="B263" s="574"/>
      <c r="C263" s="574"/>
      <c r="D263" s="574"/>
      <c r="E263" s="574"/>
    </row>
    <row r="264" spans="2:5" ht="12.75" customHeight="1" x14ac:dyDescent="0.2">
      <c r="B264" s="574"/>
      <c r="C264" s="574"/>
      <c r="D264" s="574"/>
      <c r="E264" s="574"/>
    </row>
    <row r="265" spans="2:5" ht="12.75" customHeight="1" x14ac:dyDescent="0.2">
      <c r="B265" s="574"/>
      <c r="C265" s="574"/>
      <c r="D265" s="574"/>
      <c r="E265" s="574"/>
    </row>
    <row r="266" spans="2:5" ht="12.75" customHeight="1" x14ac:dyDescent="0.2">
      <c r="B266" s="574"/>
      <c r="C266" s="574"/>
      <c r="D266" s="574"/>
      <c r="E266" s="574"/>
    </row>
    <row r="267" spans="2:5" ht="12.75" customHeight="1" x14ac:dyDescent="0.2">
      <c r="B267" s="574"/>
      <c r="C267" s="574"/>
      <c r="D267" s="574"/>
      <c r="E267" s="574"/>
    </row>
    <row r="268" spans="2:5" ht="12.75" customHeight="1" x14ac:dyDescent="0.2">
      <c r="B268" s="574"/>
      <c r="C268" s="574"/>
      <c r="D268" s="574"/>
      <c r="E268" s="574"/>
    </row>
    <row r="269" spans="2:5" ht="12.75" customHeight="1" x14ac:dyDescent="0.2">
      <c r="B269" s="574"/>
      <c r="C269" s="574"/>
      <c r="D269" s="574"/>
      <c r="E269" s="574"/>
    </row>
    <row r="270" spans="2:5" ht="12.75" customHeight="1" x14ac:dyDescent="0.2">
      <c r="B270" s="574"/>
      <c r="C270" s="574"/>
      <c r="D270" s="574"/>
      <c r="E270" s="574"/>
    </row>
    <row r="271" spans="2:5" ht="12.75" customHeight="1" x14ac:dyDescent="0.2">
      <c r="B271" s="574"/>
      <c r="C271" s="574"/>
      <c r="D271" s="574"/>
      <c r="E271" s="574"/>
    </row>
    <row r="272" spans="2:5" ht="12.75" customHeight="1" x14ac:dyDescent="0.2">
      <c r="B272" s="574"/>
      <c r="C272" s="574"/>
      <c r="D272" s="574"/>
      <c r="E272" s="574"/>
    </row>
    <row r="273" spans="2:5" ht="12.75" customHeight="1" x14ac:dyDescent="0.2">
      <c r="B273" s="574"/>
      <c r="C273" s="574"/>
      <c r="D273" s="574"/>
      <c r="E273" s="574"/>
    </row>
    <row r="274" spans="2:5" ht="12.75" customHeight="1" x14ac:dyDescent="0.2">
      <c r="B274" s="574"/>
      <c r="C274" s="574"/>
      <c r="D274" s="574"/>
      <c r="E274" s="574"/>
    </row>
    <row r="275" spans="2:5" ht="12.75" customHeight="1" x14ac:dyDescent="0.2">
      <c r="B275" s="574"/>
      <c r="C275" s="574"/>
      <c r="D275" s="574"/>
      <c r="E275" s="574"/>
    </row>
    <row r="276" spans="2:5" ht="12.75" customHeight="1" x14ac:dyDescent="0.2">
      <c r="B276" s="574"/>
      <c r="C276" s="574"/>
      <c r="D276" s="574"/>
      <c r="E276" s="574"/>
    </row>
    <row r="277" spans="2:5" ht="12.75" customHeight="1" x14ac:dyDescent="0.2">
      <c r="B277" s="574"/>
      <c r="C277" s="574"/>
      <c r="D277" s="574"/>
      <c r="E277" s="574"/>
    </row>
    <row r="278" spans="2:5" ht="12.75" customHeight="1" x14ac:dyDescent="0.2">
      <c r="B278" s="574"/>
      <c r="C278" s="574"/>
      <c r="D278" s="574"/>
      <c r="E278" s="574"/>
    </row>
    <row r="279" spans="2:5" ht="12.75" customHeight="1" x14ac:dyDescent="0.2">
      <c r="B279" s="574"/>
      <c r="C279" s="574"/>
      <c r="D279" s="574"/>
      <c r="E279" s="574"/>
    </row>
    <row r="280" spans="2:5" ht="12.75" customHeight="1" x14ac:dyDescent="0.2">
      <c r="B280" s="574"/>
      <c r="C280" s="574"/>
      <c r="D280" s="574"/>
      <c r="E280" s="574"/>
    </row>
    <row r="281" spans="2:5" ht="12.75" customHeight="1" x14ac:dyDescent="0.2">
      <c r="B281" s="574"/>
      <c r="C281" s="574"/>
      <c r="D281" s="574"/>
      <c r="E281" s="574"/>
    </row>
    <row r="282" spans="2:5" ht="12.75" customHeight="1" x14ac:dyDescent="0.2">
      <c r="B282" s="574"/>
      <c r="C282" s="574"/>
      <c r="D282" s="574"/>
      <c r="E282" s="574"/>
    </row>
    <row r="283" spans="2:5" ht="12.75" customHeight="1" x14ac:dyDescent="0.2">
      <c r="B283" s="574"/>
      <c r="C283" s="574"/>
      <c r="D283" s="574"/>
      <c r="E283" s="574"/>
    </row>
    <row r="284" spans="2:5" ht="12.75" customHeight="1" x14ac:dyDescent="0.2">
      <c r="B284" s="574"/>
      <c r="C284" s="574"/>
      <c r="D284" s="574"/>
      <c r="E284" s="574"/>
    </row>
    <row r="285" spans="2:5" ht="12.75" customHeight="1" x14ac:dyDescent="0.2">
      <c r="B285" s="574"/>
      <c r="C285" s="574"/>
      <c r="D285" s="574"/>
      <c r="E285" s="574"/>
    </row>
    <row r="286" spans="2:5" ht="12.75" customHeight="1" x14ac:dyDescent="0.2">
      <c r="B286" s="574"/>
      <c r="C286" s="574"/>
      <c r="D286" s="574"/>
      <c r="E286" s="574"/>
    </row>
    <row r="287" spans="2:5" ht="12.75" customHeight="1" x14ac:dyDescent="0.2">
      <c r="B287" s="574"/>
      <c r="C287" s="574"/>
      <c r="D287" s="574"/>
      <c r="E287" s="574"/>
    </row>
    <row r="288" spans="2:5" ht="12.75" customHeight="1" x14ac:dyDescent="0.2">
      <c r="B288" s="574"/>
      <c r="C288" s="574"/>
      <c r="D288" s="574"/>
      <c r="E288" s="574"/>
    </row>
    <row r="289" spans="2:5" ht="12.75" customHeight="1" x14ac:dyDescent="0.2">
      <c r="B289" s="574"/>
      <c r="C289" s="574"/>
      <c r="D289" s="574"/>
      <c r="E289" s="574"/>
    </row>
    <row r="290" spans="2:5" ht="12.75" customHeight="1" x14ac:dyDescent="0.2">
      <c r="B290" s="574"/>
      <c r="C290" s="574"/>
      <c r="D290" s="574"/>
      <c r="E290" s="574"/>
    </row>
    <row r="291" spans="2:5" ht="12.75" customHeight="1" x14ac:dyDescent="0.2">
      <c r="B291" s="574"/>
      <c r="C291" s="574"/>
      <c r="D291" s="574"/>
      <c r="E291" s="574"/>
    </row>
    <row r="292" spans="2:5" ht="12.75" customHeight="1" x14ac:dyDescent="0.2">
      <c r="B292" s="574"/>
      <c r="C292" s="574"/>
      <c r="D292" s="574"/>
      <c r="E292" s="574"/>
    </row>
    <row r="293" spans="2:5" ht="12.75" customHeight="1" x14ac:dyDescent="0.2">
      <c r="B293" s="574"/>
      <c r="C293" s="574"/>
      <c r="D293" s="574"/>
      <c r="E293" s="574"/>
    </row>
    <row r="294" spans="2:5" ht="12.75" customHeight="1" x14ac:dyDescent="0.2">
      <c r="B294" s="574"/>
      <c r="C294" s="574"/>
      <c r="D294" s="574"/>
      <c r="E294" s="574"/>
    </row>
    <row r="295" spans="2:5" ht="12.75" customHeight="1" x14ac:dyDescent="0.2">
      <c r="B295" s="574"/>
      <c r="C295" s="574"/>
      <c r="D295" s="574"/>
      <c r="E295" s="574"/>
    </row>
    <row r="296" spans="2:5" ht="12.75" customHeight="1" x14ac:dyDescent="0.2">
      <c r="B296" s="574"/>
      <c r="C296" s="574"/>
      <c r="D296" s="574"/>
      <c r="E296" s="574"/>
    </row>
  </sheetData>
  <mergeCells count="4">
    <mergeCell ref="A1:E1"/>
    <mergeCell ref="A2:E2"/>
    <mergeCell ref="A3:E3"/>
    <mergeCell ref="A4:E4"/>
  </mergeCells>
  <phoneticPr fontId="0" type="noConversion"/>
  <printOptions horizontalCentered="1"/>
  <pageMargins left="0.25" right="0.25" top="1" bottom="0.2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0" transitionEvaluation="1"/>
  <dimension ref="A1:K78"/>
  <sheetViews>
    <sheetView topLeftCell="A10" zoomScaleNormal="100" workbookViewId="0">
      <selection activeCell="E25" sqref="E25"/>
    </sheetView>
  </sheetViews>
  <sheetFormatPr defaultColWidth="9.83203125" defaultRowHeight="10.5" x14ac:dyDescent="0.15"/>
  <cols>
    <col min="1" max="1" width="27.1640625" bestFit="1" customWidth="1"/>
    <col min="2" max="2" width="4.83203125" customWidth="1"/>
    <col min="3" max="3" width="90.33203125" bestFit="1" customWidth="1"/>
    <col min="10" max="10" width="9.83203125" customWidth="1"/>
    <col min="12" max="12" width="1.83203125" customWidth="1"/>
    <col min="13" max="13" width="7.83203125" customWidth="1"/>
    <col min="14" max="14" width="6.83203125" customWidth="1"/>
  </cols>
  <sheetData>
    <row r="1" spans="1:11" ht="12.75" x14ac:dyDescent="0.2">
      <c r="A1" s="112"/>
      <c r="B1" s="90"/>
      <c r="C1" s="90"/>
      <c r="D1" s="90"/>
      <c r="E1" s="90"/>
      <c r="F1" s="80"/>
      <c r="G1" s="80"/>
      <c r="H1" s="80"/>
      <c r="I1" s="80"/>
      <c r="J1" s="80"/>
      <c r="K1" s="80"/>
    </row>
    <row r="2" spans="1:11" ht="12.75" x14ac:dyDescent="0.2">
      <c r="A2" s="90"/>
      <c r="B2" s="90"/>
      <c r="C2" s="90"/>
      <c r="D2" s="90"/>
      <c r="E2" s="90"/>
      <c r="F2" s="80"/>
      <c r="G2" s="80"/>
      <c r="H2" s="80"/>
      <c r="I2" s="80"/>
      <c r="J2" s="80"/>
      <c r="K2" s="80"/>
    </row>
    <row r="3" spans="1:11" ht="12.75" x14ac:dyDescent="0.2">
      <c r="A3" s="90"/>
      <c r="B3" s="90"/>
      <c r="C3" s="113" t="s">
        <v>936</v>
      </c>
      <c r="D3" s="90"/>
      <c r="E3" s="91"/>
      <c r="F3" s="80"/>
      <c r="G3" s="80"/>
      <c r="H3" s="80"/>
      <c r="I3" s="80"/>
      <c r="J3" s="80"/>
      <c r="K3" s="80"/>
    </row>
    <row r="4" spans="1:11" ht="12.75" x14ac:dyDescent="0.2">
      <c r="A4" s="90"/>
      <c r="B4" s="90"/>
      <c r="C4" s="90"/>
      <c r="D4" s="90"/>
      <c r="E4" s="91"/>
      <c r="F4" s="80"/>
      <c r="G4" s="80"/>
      <c r="H4" s="80"/>
      <c r="I4" s="80"/>
      <c r="J4" s="80"/>
      <c r="K4" s="80"/>
    </row>
    <row r="5" spans="1:11" ht="12.75" x14ac:dyDescent="0.2">
      <c r="A5" s="90"/>
      <c r="B5" s="90"/>
      <c r="C5" s="113" t="s">
        <v>515</v>
      </c>
      <c r="D5" s="90"/>
      <c r="E5" s="91"/>
      <c r="F5" s="80"/>
      <c r="G5" s="80"/>
      <c r="H5" s="80"/>
      <c r="I5" s="80"/>
      <c r="J5" s="80"/>
      <c r="K5" s="80"/>
    </row>
    <row r="6" spans="1:11" ht="12.75" x14ac:dyDescent="0.2">
      <c r="A6" s="90"/>
      <c r="B6" s="90"/>
      <c r="C6" s="90"/>
      <c r="D6" s="90"/>
      <c r="E6" s="91"/>
      <c r="F6" s="80"/>
      <c r="G6" s="80"/>
      <c r="H6" s="80"/>
      <c r="I6" s="80"/>
      <c r="J6" s="80"/>
      <c r="K6" s="80"/>
    </row>
    <row r="7" spans="1:11" ht="12.75" x14ac:dyDescent="0.2">
      <c r="A7" s="112" t="s">
        <v>476</v>
      </c>
      <c r="B7" s="90"/>
      <c r="C7" s="113" t="s">
        <v>477</v>
      </c>
      <c r="D7" s="90"/>
      <c r="E7" s="91"/>
      <c r="F7" s="80"/>
      <c r="G7" s="80"/>
      <c r="H7" s="80"/>
      <c r="I7" s="80"/>
      <c r="J7" s="80"/>
      <c r="K7" s="80"/>
    </row>
    <row r="8" spans="1:11" ht="12.75" x14ac:dyDescent="0.2">
      <c r="A8" s="114"/>
      <c r="B8" s="90"/>
      <c r="C8" s="90"/>
      <c r="D8" s="90"/>
      <c r="E8" s="91"/>
      <c r="F8" s="80"/>
      <c r="G8" s="80"/>
      <c r="H8" s="80"/>
      <c r="I8" s="80"/>
      <c r="J8" s="80"/>
      <c r="K8" s="80"/>
    </row>
    <row r="9" spans="1:11" ht="12.75" x14ac:dyDescent="0.2">
      <c r="A9" s="112" t="s">
        <v>937</v>
      </c>
      <c r="B9" s="90"/>
      <c r="C9" s="113" t="str">
        <f>+Input!C4</f>
        <v>CASE NO. 2017-xxxxx</v>
      </c>
      <c r="D9" s="90"/>
      <c r="E9" s="91"/>
      <c r="F9" s="80"/>
      <c r="G9" s="80"/>
      <c r="H9" s="80"/>
      <c r="I9" s="80"/>
      <c r="J9" s="80"/>
      <c r="K9" s="80"/>
    </row>
    <row r="10" spans="1:11" ht="12.75" x14ac:dyDescent="0.2">
      <c r="A10" s="112"/>
      <c r="B10" s="90"/>
      <c r="C10" s="113"/>
      <c r="D10" s="90"/>
      <c r="E10" s="91"/>
      <c r="F10" s="80"/>
      <c r="G10" s="80"/>
      <c r="H10" s="80"/>
      <c r="I10" s="80"/>
      <c r="J10" s="80"/>
      <c r="K10" s="80"/>
    </row>
    <row r="11" spans="1:11" ht="12.75" x14ac:dyDescent="0.2">
      <c r="A11" s="112" t="s">
        <v>843</v>
      </c>
      <c r="B11" s="90"/>
      <c r="C11" s="113" t="str">
        <f>+Input!C6</f>
        <v>TWELVE MONTHS ENDED DECEMBER 31, 2017</v>
      </c>
      <c r="D11" s="90"/>
      <c r="E11" s="91"/>
      <c r="F11" s="80"/>
      <c r="G11" s="80"/>
      <c r="H11" s="80"/>
      <c r="I11" s="80"/>
      <c r="J11" s="80"/>
      <c r="K11" s="80"/>
    </row>
    <row r="12" spans="1:11" ht="12.75" x14ac:dyDescent="0.2">
      <c r="A12" s="114"/>
      <c r="B12" s="90"/>
      <c r="C12" s="90"/>
      <c r="D12" s="90"/>
      <c r="E12" s="91"/>
      <c r="F12" s="80"/>
      <c r="G12" s="80"/>
      <c r="H12" s="80"/>
      <c r="I12" s="80"/>
      <c r="J12" s="80"/>
      <c r="K12" s="80"/>
    </row>
    <row r="13" spans="1:11" ht="12.75" x14ac:dyDescent="0.2">
      <c r="A13" s="112" t="s">
        <v>478</v>
      </c>
      <c r="B13" s="90"/>
      <c r="C13" s="113" t="str">
        <f>+Input!C6</f>
        <v>TWELVE MONTHS ENDED DECEMBER 31, 2017</v>
      </c>
      <c r="D13" s="90"/>
      <c r="E13" s="91"/>
      <c r="F13" s="80"/>
      <c r="G13" s="80"/>
      <c r="H13" s="80"/>
      <c r="I13" s="80"/>
      <c r="J13" s="80"/>
      <c r="K13" s="80"/>
    </row>
    <row r="14" spans="1:11" ht="12.75" x14ac:dyDescent="0.2">
      <c r="A14" s="114"/>
      <c r="B14" s="90"/>
      <c r="C14" s="90"/>
      <c r="D14" s="90"/>
      <c r="E14" s="91"/>
      <c r="F14" s="80"/>
      <c r="G14" s="80"/>
      <c r="H14" s="80"/>
      <c r="I14" s="80"/>
      <c r="J14" s="80"/>
      <c r="K14" s="80"/>
    </row>
    <row r="15" spans="1:11" ht="12.75" x14ac:dyDescent="0.2">
      <c r="A15" s="114"/>
      <c r="B15" s="90"/>
      <c r="C15" s="90"/>
      <c r="D15" s="90"/>
      <c r="E15" s="91"/>
      <c r="F15" s="80"/>
      <c r="G15" s="80"/>
      <c r="H15" s="80"/>
      <c r="I15" s="80"/>
      <c r="J15" s="80"/>
      <c r="K15" s="80"/>
    </row>
    <row r="16" spans="1:11" ht="12.75" x14ac:dyDescent="0.2">
      <c r="A16" s="115" t="s">
        <v>479</v>
      </c>
      <c r="B16" s="116"/>
      <c r="C16" s="117" t="s">
        <v>480</v>
      </c>
      <c r="D16" s="116"/>
      <c r="E16" s="118"/>
      <c r="F16" s="87"/>
      <c r="G16" s="87"/>
      <c r="H16" s="80"/>
      <c r="I16" s="80"/>
      <c r="J16" s="80"/>
      <c r="K16" s="80"/>
    </row>
    <row r="17" spans="1:11" ht="12.75" x14ac:dyDescent="0.2">
      <c r="A17" s="90"/>
      <c r="B17" s="90"/>
      <c r="C17" s="90"/>
      <c r="D17" s="90"/>
      <c r="E17" s="90"/>
      <c r="F17" s="80"/>
      <c r="G17" s="80"/>
      <c r="H17" s="80"/>
      <c r="I17" s="80"/>
      <c r="J17" s="80"/>
      <c r="K17" s="80"/>
    </row>
    <row r="18" spans="1:11" ht="12.75" x14ac:dyDescent="0.2">
      <c r="A18" s="90"/>
      <c r="B18" s="90"/>
      <c r="C18" s="90"/>
      <c r="D18" s="90"/>
      <c r="E18" s="90"/>
      <c r="F18" s="80"/>
      <c r="G18" s="80"/>
      <c r="H18" s="80"/>
      <c r="I18" s="80"/>
      <c r="J18" s="80"/>
      <c r="K18" s="80"/>
    </row>
    <row r="19" spans="1:11" ht="12.75" x14ac:dyDescent="0.2">
      <c r="A19" s="112" t="s">
        <v>938</v>
      </c>
      <c r="B19" s="90"/>
      <c r="C19" s="112" t="s">
        <v>872</v>
      </c>
      <c r="D19" s="90"/>
      <c r="E19" s="90"/>
      <c r="F19" s="80"/>
      <c r="G19" s="80"/>
      <c r="H19" s="80"/>
      <c r="I19" s="80"/>
      <c r="J19" s="80"/>
      <c r="K19" s="80"/>
    </row>
    <row r="20" spans="1:11" ht="12.75" x14ac:dyDescent="0.2">
      <c r="A20" s="112" t="s">
        <v>939</v>
      </c>
      <c r="B20" s="90"/>
      <c r="C20" s="112" t="s">
        <v>940</v>
      </c>
      <c r="D20" s="90"/>
      <c r="E20" s="90"/>
      <c r="F20" s="80"/>
      <c r="G20" s="80"/>
      <c r="H20" s="80"/>
      <c r="I20" s="80"/>
      <c r="J20" s="80"/>
      <c r="K20" s="80"/>
    </row>
    <row r="21" spans="1:11" ht="12.75" x14ac:dyDescent="0.2">
      <c r="A21" s="112" t="s">
        <v>942</v>
      </c>
      <c r="B21" s="90"/>
      <c r="C21" s="112" t="s">
        <v>943</v>
      </c>
      <c r="D21" s="90"/>
      <c r="E21" s="90"/>
      <c r="F21" s="80"/>
      <c r="G21" s="80"/>
      <c r="H21" s="80"/>
      <c r="I21" s="80"/>
      <c r="J21" s="80"/>
      <c r="K21" s="80"/>
    </row>
    <row r="22" spans="1:11" ht="12.75" x14ac:dyDescent="0.2">
      <c r="A22" s="112" t="s">
        <v>947</v>
      </c>
      <c r="B22" s="90"/>
      <c r="C22" s="112" t="s">
        <v>948</v>
      </c>
      <c r="D22" s="90"/>
      <c r="E22" s="90"/>
      <c r="F22" s="80"/>
      <c r="G22" s="80"/>
      <c r="H22" s="80"/>
      <c r="I22" s="80"/>
      <c r="J22" s="80"/>
      <c r="K22" s="80"/>
    </row>
    <row r="23" spans="1:11" ht="12.75" x14ac:dyDescent="0.2">
      <c r="A23" s="112" t="s">
        <v>949</v>
      </c>
      <c r="B23" s="90"/>
      <c r="C23" s="112" t="s">
        <v>950</v>
      </c>
      <c r="D23" s="90"/>
      <c r="E23" s="90"/>
      <c r="F23" s="80"/>
      <c r="G23" s="80"/>
      <c r="H23" s="80"/>
      <c r="I23" s="80"/>
      <c r="J23" s="80"/>
      <c r="K23" s="80"/>
    </row>
    <row r="24" spans="1:11" ht="12.75" x14ac:dyDescent="0.2">
      <c r="A24" s="112" t="s">
        <v>951</v>
      </c>
      <c r="B24" s="90"/>
      <c r="C24" s="112" t="s">
        <v>952</v>
      </c>
      <c r="D24" s="90"/>
      <c r="E24" s="90"/>
      <c r="F24" s="80"/>
      <c r="G24" s="80"/>
      <c r="H24" s="80"/>
      <c r="I24" s="80"/>
      <c r="J24" s="80"/>
      <c r="K24" s="80"/>
    </row>
    <row r="25" spans="1:11" ht="12.75" x14ac:dyDescent="0.2">
      <c r="A25" s="112" t="s">
        <v>953</v>
      </c>
      <c r="B25" s="90"/>
      <c r="C25" s="112" t="s">
        <v>954</v>
      </c>
      <c r="D25" s="90"/>
      <c r="E25" s="90"/>
      <c r="F25" s="80"/>
      <c r="G25" s="80"/>
      <c r="H25" s="80"/>
      <c r="I25" s="80"/>
      <c r="J25" s="80"/>
      <c r="K25" s="80"/>
    </row>
    <row r="26" spans="1:11" ht="12.75" x14ac:dyDescent="0.2">
      <c r="A26" s="112" t="s">
        <v>880</v>
      </c>
      <c r="B26" s="90"/>
      <c r="C26" s="112" t="s">
        <v>955</v>
      </c>
      <c r="D26" s="90"/>
      <c r="E26" s="90"/>
      <c r="F26" s="80"/>
      <c r="G26" s="80"/>
      <c r="H26" s="80"/>
      <c r="I26" s="80"/>
      <c r="J26" s="80"/>
      <c r="K26" s="80"/>
    </row>
    <row r="27" spans="1:11" ht="12.75" x14ac:dyDescent="0.2">
      <c r="A27" s="112" t="s">
        <v>956</v>
      </c>
      <c r="B27" s="90"/>
      <c r="C27" s="112" t="s">
        <v>957</v>
      </c>
      <c r="D27" s="90"/>
      <c r="E27" s="90"/>
      <c r="F27" s="80"/>
      <c r="G27" s="80"/>
      <c r="H27" s="80"/>
      <c r="I27" s="80"/>
      <c r="J27" s="80"/>
      <c r="K27" s="80"/>
    </row>
    <row r="28" spans="1:11" ht="12.75" x14ac:dyDescent="0.2">
      <c r="A28" s="112" t="s">
        <v>958</v>
      </c>
      <c r="B28" s="90"/>
      <c r="C28" s="112" t="s">
        <v>959</v>
      </c>
      <c r="D28" s="90"/>
      <c r="E28" s="90"/>
      <c r="F28" s="80"/>
      <c r="G28" s="80"/>
      <c r="H28" s="80"/>
      <c r="I28" s="80"/>
      <c r="J28" s="80"/>
      <c r="K28" s="80"/>
    </row>
    <row r="29" spans="1:11" ht="12.75" x14ac:dyDescent="0.2">
      <c r="A29" s="112" t="s">
        <v>960</v>
      </c>
      <c r="B29" s="90"/>
      <c r="C29" s="112" t="s">
        <v>961</v>
      </c>
      <c r="D29" s="90"/>
      <c r="E29" s="90"/>
      <c r="F29" s="80"/>
      <c r="G29" s="80"/>
      <c r="H29" s="80"/>
      <c r="I29" s="80"/>
      <c r="J29" s="80"/>
      <c r="K29" s="80"/>
    </row>
    <row r="30" spans="1:11" ht="12.75" x14ac:dyDescent="0.2">
      <c r="A30" s="112" t="s">
        <v>962</v>
      </c>
      <c r="B30" s="90"/>
      <c r="C30" s="112" t="s">
        <v>963</v>
      </c>
      <c r="D30" s="90"/>
      <c r="E30" s="90"/>
      <c r="F30" s="80"/>
      <c r="G30" s="80"/>
      <c r="H30" s="80"/>
      <c r="I30" s="80"/>
      <c r="J30" s="80"/>
      <c r="K30" s="80"/>
    </row>
    <row r="31" spans="1:11" ht="12.75" x14ac:dyDescent="0.2">
      <c r="A31" s="112" t="s">
        <v>964</v>
      </c>
      <c r="B31" s="90"/>
      <c r="C31" s="112" t="s">
        <v>889</v>
      </c>
      <c r="D31" s="90"/>
      <c r="E31" s="90"/>
      <c r="F31" s="80"/>
      <c r="G31" s="80"/>
      <c r="H31" s="80"/>
      <c r="I31" s="80"/>
      <c r="J31" s="80"/>
      <c r="K31" s="80"/>
    </row>
    <row r="32" spans="1:11" ht="12.75" x14ac:dyDescent="0.2">
      <c r="A32" s="112" t="s">
        <v>965</v>
      </c>
      <c r="B32" s="90"/>
      <c r="C32" s="112" t="s">
        <v>966</v>
      </c>
      <c r="D32" s="90"/>
      <c r="E32" s="90"/>
      <c r="F32" s="80"/>
      <c r="G32" s="80"/>
      <c r="H32" s="80"/>
      <c r="I32" s="80"/>
      <c r="J32" s="80"/>
      <c r="K32" s="80"/>
    </row>
    <row r="33" spans="1:11" ht="12.75" x14ac:dyDescent="0.2">
      <c r="A33" s="112" t="s">
        <v>967</v>
      </c>
      <c r="B33" s="90"/>
      <c r="C33" s="112" t="s">
        <v>968</v>
      </c>
      <c r="D33" s="90"/>
      <c r="E33" s="90"/>
      <c r="F33" s="80"/>
      <c r="G33" s="80"/>
      <c r="H33" s="80"/>
      <c r="I33" s="80"/>
      <c r="J33" s="80"/>
      <c r="K33" s="80"/>
    </row>
    <row r="34" spans="1:11" ht="12.75" x14ac:dyDescent="0.2">
      <c r="A34" s="112" t="s">
        <v>969</v>
      </c>
      <c r="B34" s="90"/>
      <c r="C34" s="112" t="s">
        <v>970</v>
      </c>
      <c r="D34" s="90"/>
      <c r="E34" s="90"/>
      <c r="F34" s="80"/>
      <c r="G34" s="80"/>
      <c r="H34" s="80"/>
      <c r="I34" s="80"/>
      <c r="J34" s="80"/>
      <c r="K34" s="80"/>
    </row>
    <row r="35" spans="1:11" ht="12.75" x14ac:dyDescent="0.2">
      <c r="A35" s="112" t="s">
        <v>896</v>
      </c>
      <c r="B35" s="90"/>
      <c r="C35" s="112" t="s">
        <v>971</v>
      </c>
      <c r="D35" s="90"/>
      <c r="E35" s="90"/>
      <c r="F35" s="80"/>
      <c r="G35" s="80"/>
      <c r="H35" s="80"/>
      <c r="I35" s="80"/>
      <c r="J35" s="80"/>
      <c r="K35" s="80"/>
    </row>
    <row r="36" spans="1:11" ht="12.75" x14ac:dyDescent="0.2">
      <c r="A36" s="112" t="s">
        <v>972</v>
      </c>
      <c r="B36" s="90"/>
      <c r="C36" s="112" t="s">
        <v>973</v>
      </c>
      <c r="D36" s="90"/>
      <c r="E36" s="90"/>
      <c r="F36" s="80"/>
      <c r="G36" s="80"/>
      <c r="H36" s="80"/>
      <c r="I36" s="80"/>
      <c r="J36" s="80"/>
      <c r="K36" s="80"/>
    </row>
    <row r="37" spans="1:11" ht="12.75" x14ac:dyDescent="0.2">
      <c r="A37" s="112" t="s">
        <v>974</v>
      </c>
      <c r="B37" s="90"/>
      <c r="C37" s="112" t="s">
        <v>975</v>
      </c>
      <c r="D37" s="90"/>
      <c r="E37" s="90"/>
      <c r="F37" s="80"/>
      <c r="G37" s="80"/>
      <c r="H37" s="80"/>
      <c r="I37" s="80"/>
      <c r="J37" s="80"/>
      <c r="K37" s="80"/>
    </row>
    <row r="38" spans="1:11" ht="12.75" x14ac:dyDescent="0.2">
      <c r="A38" s="112" t="s">
        <v>976</v>
      </c>
      <c r="B38" s="90"/>
      <c r="C38" s="112" t="s">
        <v>977</v>
      </c>
      <c r="D38" s="90"/>
      <c r="E38" s="90"/>
      <c r="F38" s="80"/>
      <c r="G38" s="80"/>
      <c r="H38" s="80"/>
      <c r="I38" s="80"/>
      <c r="J38" s="80"/>
      <c r="K38" s="80"/>
    </row>
    <row r="39" spans="1:11" ht="12.75" x14ac:dyDescent="0.2">
      <c r="A39" s="112" t="s">
        <v>978</v>
      </c>
      <c r="B39" s="90"/>
      <c r="C39" s="112" t="s">
        <v>979</v>
      </c>
      <c r="D39" s="90"/>
      <c r="E39" s="90"/>
      <c r="F39" s="80"/>
      <c r="G39" s="80"/>
      <c r="H39" s="80"/>
      <c r="I39" s="80"/>
      <c r="J39" s="80"/>
      <c r="K39" s="80"/>
    </row>
    <row r="40" spans="1:11" ht="12.75" x14ac:dyDescent="0.2">
      <c r="A40" s="90"/>
      <c r="B40" s="90"/>
      <c r="C40" s="90"/>
      <c r="D40" s="90"/>
      <c r="E40" s="90"/>
      <c r="F40" s="80"/>
      <c r="G40" s="80"/>
      <c r="H40" s="80"/>
      <c r="I40" s="80"/>
      <c r="J40" s="80"/>
      <c r="K40" s="80"/>
    </row>
    <row r="41" spans="1:11" ht="11.25" x14ac:dyDescent="0.2">
      <c r="A41" s="91"/>
      <c r="B41" s="91"/>
      <c r="C41" s="91"/>
      <c r="D41" s="91"/>
      <c r="E41" s="91"/>
    </row>
    <row r="42" spans="1:11" ht="11.25" x14ac:dyDescent="0.2">
      <c r="A42" s="91"/>
      <c r="B42" s="91"/>
      <c r="C42" s="91"/>
      <c r="D42" s="91"/>
      <c r="E42" s="91"/>
    </row>
    <row r="43" spans="1:11" ht="11.25" x14ac:dyDescent="0.2">
      <c r="A43" s="91"/>
      <c r="B43" s="91"/>
      <c r="C43" s="91"/>
      <c r="D43" s="91"/>
      <c r="E43" s="91"/>
    </row>
    <row r="44" spans="1:11" ht="11.25" x14ac:dyDescent="0.2">
      <c r="A44" s="91"/>
      <c r="B44" s="91"/>
      <c r="C44" s="91"/>
      <c r="D44" s="91"/>
      <c r="E44" s="91"/>
    </row>
    <row r="45" spans="1:11" ht="11.25" x14ac:dyDescent="0.2">
      <c r="A45" s="91"/>
      <c r="B45" s="91"/>
      <c r="C45" s="91"/>
      <c r="D45" s="91"/>
      <c r="E45" s="91"/>
    </row>
    <row r="46" spans="1:11" ht="11.25" x14ac:dyDescent="0.2">
      <c r="A46" s="91"/>
      <c r="B46" s="91"/>
      <c r="C46" s="91"/>
      <c r="D46" s="91"/>
      <c r="E46" s="91"/>
    </row>
    <row r="47" spans="1:11" ht="11.25" x14ac:dyDescent="0.2">
      <c r="A47" s="91"/>
      <c r="B47" s="91"/>
      <c r="C47" s="91"/>
      <c r="D47" s="91"/>
      <c r="E47" s="91"/>
    </row>
    <row r="48" spans="1:11" ht="11.25" x14ac:dyDescent="0.2">
      <c r="A48" s="91"/>
      <c r="B48" s="91"/>
      <c r="C48" s="91"/>
      <c r="D48" s="91"/>
      <c r="E48" s="91"/>
    </row>
    <row r="49" spans="1:5" ht="11.25" x14ac:dyDescent="0.2">
      <c r="A49" s="91"/>
      <c r="B49" s="91"/>
      <c r="C49" s="91"/>
      <c r="D49" s="91"/>
      <c r="E49" s="91"/>
    </row>
    <row r="50" spans="1:5" ht="11.25" x14ac:dyDescent="0.2">
      <c r="A50" s="91"/>
      <c r="B50" s="91"/>
      <c r="C50" s="91"/>
      <c r="D50" s="91"/>
      <c r="E50" s="91"/>
    </row>
    <row r="51" spans="1:5" ht="11.25" x14ac:dyDescent="0.2">
      <c r="A51" s="91"/>
      <c r="B51" s="91"/>
      <c r="C51" s="91"/>
      <c r="D51" s="91"/>
      <c r="E51" s="91"/>
    </row>
    <row r="52" spans="1:5" ht="11.25" x14ac:dyDescent="0.2">
      <c r="A52" s="91"/>
      <c r="B52" s="91"/>
      <c r="C52" s="91"/>
      <c r="D52" s="91"/>
      <c r="E52" s="91"/>
    </row>
    <row r="53" spans="1:5" ht="11.25" x14ac:dyDescent="0.2">
      <c r="A53" s="91"/>
      <c r="B53" s="91"/>
      <c r="C53" s="91"/>
      <c r="D53" s="91"/>
      <c r="E53" s="91"/>
    </row>
    <row r="54" spans="1:5" ht="11.25" x14ac:dyDescent="0.2">
      <c r="A54" s="91"/>
      <c r="B54" s="91"/>
      <c r="C54" s="91"/>
      <c r="D54" s="91"/>
      <c r="E54" s="91"/>
    </row>
    <row r="55" spans="1:5" ht="11.25" x14ac:dyDescent="0.2">
      <c r="A55" s="91"/>
      <c r="B55" s="91"/>
      <c r="C55" s="91"/>
      <c r="D55" s="91"/>
      <c r="E55" s="91"/>
    </row>
    <row r="56" spans="1:5" ht="11.25" x14ac:dyDescent="0.2">
      <c r="A56" s="91"/>
      <c r="B56" s="91"/>
      <c r="C56" s="91"/>
      <c r="D56" s="91"/>
      <c r="E56" s="91"/>
    </row>
    <row r="57" spans="1:5" ht="11.25" x14ac:dyDescent="0.2">
      <c r="A57" s="91"/>
      <c r="B57" s="91"/>
      <c r="C57" s="91"/>
      <c r="D57" s="91"/>
      <c r="E57" s="91"/>
    </row>
    <row r="58" spans="1:5" ht="11.25" x14ac:dyDescent="0.2">
      <c r="A58" s="91"/>
      <c r="B58" s="91"/>
      <c r="C58" s="91"/>
      <c r="D58" s="91"/>
      <c r="E58" s="91"/>
    </row>
    <row r="59" spans="1:5" ht="11.25" x14ac:dyDescent="0.2">
      <c r="A59" s="91"/>
      <c r="B59" s="91"/>
      <c r="C59" s="91"/>
      <c r="D59" s="91"/>
      <c r="E59" s="91"/>
    </row>
    <row r="60" spans="1:5" ht="11.25" x14ac:dyDescent="0.2">
      <c r="A60" s="91"/>
      <c r="B60" s="91"/>
      <c r="C60" s="91"/>
      <c r="D60" s="91"/>
      <c r="E60" s="91"/>
    </row>
    <row r="61" spans="1:5" ht="11.25" x14ac:dyDescent="0.2">
      <c r="A61" s="91"/>
      <c r="B61" s="91"/>
      <c r="C61" s="91"/>
      <c r="D61" s="91"/>
      <c r="E61" s="91"/>
    </row>
    <row r="62" spans="1:5" ht="11.25" x14ac:dyDescent="0.2">
      <c r="A62" s="91"/>
      <c r="B62" s="91"/>
      <c r="C62" s="91"/>
      <c r="D62" s="91"/>
      <c r="E62" s="91"/>
    </row>
    <row r="63" spans="1:5" ht="11.25" x14ac:dyDescent="0.2">
      <c r="A63" s="91"/>
      <c r="B63" s="91"/>
      <c r="C63" s="91"/>
      <c r="D63" s="91"/>
      <c r="E63" s="91"/>
    </row>
    <row r="64" spans="1:5" ht="11.25" x14ac:dyDescent="0.2">
      <c r="A64" s="91"/>
      <c r="B64" s="91"/>
      <c r="C64" s="91"/>
      <c r="D64" s="91"/>
      <c r="E64" s="91"/>
    </row>
    <row r="65" spans="1:5" ht="11.25" x14ac:dyDescent="0.2">
      <c r="A65" s="91"/>
      <c r="B65" s="91"/>
      <c r="C65" s="91"/>
      <c r="D65" s="91"/>
      <c r="E65" s="91"/>
    </row>
    <row r="66" spans="1:5" ht="11.25" x14ac:dyDescent="0.2">
      <c r="A66" s="91"/>
      <c r="B66" s="91"/>
      <c r="C66" s="91"/>
      <c r="D66" s="91"/>
      <c r="E66" s="91"/>
    </row>
    <row r="67" spans="1:5" ht="11.25" x14ac:dyDescent="0.2">
      <c r="A67" s="91"/>
      <c r="B67" s="91"/>
      <c r="C67" s="91"/>
      <c r="D67" s="91"/>
      <c r="E67" s="91"/>
    </row>
    <row r="68" spans="1:5" ht="11.25" x14ac:dyDescent="0.2">
      <c r="A68" s="91"/>
      <c r="B68" s="91"/>
      <c r="C68" s="91"/>
      <c r="D68" s="91"/>
      <c r="E68" s="91"/>
    </row>
    <row r="69" spans="1:5" ht="11.25" x14ac:dyDescent="0.2">
      <c r="A69" s="91"/>
      <c r="B69" s="91"/>
      <c r="C69" s="91"/>
      <c r="D69" s="91"/>
      <c r="E69" s="91"/>
    </row>
    <row r="70" spans="1:5" ht="11.25" x14ac:dyDescent="0.2">
      <c r="A70" s="91"/>
      <c r="B70" s="91"/>
      <c r="C70" s="91"/>
      <c r="D70" s="91"/>
      <c r="E70" s="91"/>
    </row>
    <row r="71" spans="1:5" ht="11.25" x14ac:dyDescent="0.2">
      <c r="A71" s="91"/>
      <c r="B71" s="91"/>
      <c r="C71" s="91"/>
      <c r="D71" s="91"/>
      <c r="E71" s="91"/>
    </row>
    <row r="72" spans="1:5" ht="11.25" x14ac:dyDescent="0.2">
      <c r="A72" s="91"/>
      <c r="B72" s="91"/>
      <c r="C72" s="91"/>
      <c r="D72" s="91"/>
      <c r="E72" s="91"/>
    </row>
    <row r="73" spans="1:5" ht="11.25" x14ac:dyDescent="0.2">
      <c r="A73" s="91"/>
      <c r="B73" s="91"/>
      <c r="C73" s="91"/>
      <c r="D73" s="91"/>
      <c r="E73" s="91"/>
    </row>
    <row r="74" spans="1:5" ht="11.25" x14ac:dyDescent="0.2">
      <c r="A74" s="91"/>
      <c r="B74" s="91"/>
      <c r="C74" s="91"/>
      <c r="D74" s="91"/>
      <c r="E74" s="91"/>
    </row>
    <row r="75" spans="1:5" ht="11.25" x14ac:dyDescent="0.2">
      <c r="A75" s="91"/>
      <c r="B75" s="91"/>
      <c r="C75" s="91"/>
      <c r="D75" s="91"/>
      <c r="E75" s="91"/>
    </row>
    <row r="76" spans="1:5" ht="11.25" x14ac:dyDescent="0.2">
      <c r="A76" s="91"/>
      <c r="B76" s="91"/>
      <c r="C76" s="91"/>
      <c r="D76" s="91"/>
      <c r="E76" s="91"/>
    </row>
    <row r="77" spans="1:5" ht="11.25" x14ac:dyDescent="0.2">
      <c r="A77" s="91"/>
      <c r="B77" s="91"/>
      <c r="C77" s="91"/>
      <c r="D77" s="91"/>
      <c r="E77" s="91"/>
    </row>
    <row r="78" spans="1:5" ht="11.25" x14ac:dyDescent="0.2">
      <c r="A78" s="91"/>
      <c r="B78" s="91"/>
      <c r="C78" s="91"/>
      <c r="D78" s="91"/>
      <c r="E78" s="91"/>
    </row>
  </sheetData>
  <phoneticPr fontId="0" type="noConversion"/>
  <printOptions horizontalCentered="1"/>
  <pageMargins left="0.5" right="0.25" top="1" bottom="0.25" header="0.5" footer="0.5"/>
  <pageSetup scale="93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42"/>
  <sheetViews>
    <sheetView zoomScaleNormal="100" workbookViewId="0">
      <selection activeCell="A11" sqref="A11"/>
    </sheetView>
  </sheetViews>
  <sheetFormatPr defaultColWidth="10.6640625" defaultRowHeight="12.75" x14ac:dyDescent="0.2"/>
  <cols>
    <col min="1" max="1" width="10.6640625" style="1169" customWidth="1"/>
    <col min="2" max="2" width="4.33203125" style="1167" customWidth="1"/>
    <col min="3" max="3" width="58" style="1169" customWidth="1"/>
    <col min="4" max="4" width="2.83203125" style="1167" bestFit="1" customWidth="1"/>
    <col min="5" max="5" width="16.6640625" style="1169" bestFit="1" customWidth="1"/>
    <col min="6" max="6" width="2.83203125" style="1167" bestFit="1" customWidth="1"/>
    <col min="7" max="7" width="20.33203125" style="1169" customWidth="1"/>
    <col min="8" max="16384" width="10.6640625" style="1169"/>
  </cols>
  <sheetData>
    <row r="1" spans="1:8" s="1167" customFormat="1" x14ac:dyDescent="0.2">
      <c r="A1" s="1455" t="s">
        <v>477</v>
      </c>
      <c r="B1" s="1455"/>
      <c r="C1" s="1455"/>
      <c r="D1" s="1455"/>
      <c r="E1" s="1455"/>
      <c r="F1" s="1455"/>
      <c r="G1" s="1455"/>
    </row>
    <row r="2" spans="1:8" s="1167" customFormat="1" x14ac:dyDescent="0.2">
      <c r="A2" s="1454" t="str">
        <f>+Input!C4</f>
        <v>CASE NO. 2017-xxxxx</v>
      </c>
      <c r="B2" s="1454"/>
      <c r="C2" s="1454"/>
      <c r="D2" s="1454"/>
      <c r="E2" s="1454"/>
      <c r="F2" s="1454"/>
      <c r="G2" s="1454"/>
    </row>
    <row r="3" spans="1:8" s="1167" customFormat="1" x14ac:dyDescent="0.2">
      <c r="A3" s="1455" t="s">
        <v>1500</v>
      </c>
      <c r="B3" s="1455"/>
      <c r="C3" s="1455"/>
      <c r="D3" s="1455"/>
      <c r="E3" s="1455"/>
      <c r="F3" s="1455"/>
      <c r="G3" s="1455"/>
    </row>
    <row r="4" spans="1:8" s="1167" customFormat="1" x14ac:dyDescent="0.2">
      <c r="A4" s="1454" t="str">
        <f>+Input!C6</f>
        <v>TWELVE MONTHS ENDED DECEMBER 31, 2017</v>
      </c>
      <c r="B4" s="1454"/>
      <c r="C4" s="1454"/>
      <c r="D4" s="1454"/>
      <c r="E4" s="1454"/>
      <c r="F4" s="1454"/>
      <c r="G4" s="1454"/>
    </row>
    <row r="5" spans="1:8" s="1167" customFormat="1" x14ac:dyDescent="0.2">
      <c r="A5" s="572"/>
      <c r="B5" s="572"/>
      <c r="C5" s="572"/>
      <c r="D5" s="572"/>
      <c r="E5" s="572"/>
      <c r="F5" s="572"/>
      <c r="H5" s="1168"/>
    </row>
    <row r="6" spans="1:8" s="1167" customFormat="1" x14ac:dyDescent="0.2">
      <c r="A6" s="572"/>
      <c r="B6" s="572"/>
      <c r="C6" s="572"/>
      <c r="D6" s="572"/>
      <c r="E6" s="572"/>
      <c r="F6" s="572"/>
      <c r="G6" s="1216"/>
    </row>
    <row r="7" spans="1:8" s="1167" customFormat="1" x14ac:dyDescent="0.2">
      <c r="A7" s="573" t="s">
        <v>839</v>
      </c>
      <c r="B7" s="572"/>
      <c r="C7" s="572"/>
      <c r="D7" s="572"/>
      <c r="E7" s="572"/>
      <c r="G7" s="575" t="s">
        <v>1712</v>
      </c>
    </row>
    <row r="8" spans="1:8" s="1167" customFormat="1" x14ac:dyDescent="0.2">
      <c r="A8" s="573" t="s">
        <v>490</v>
      </c>
      <c r="B8" s="572"/>
      <c r="C8" s="572"/>
      <c r="D8" s="572"/>
      <c r="E8" s="572"/>
      <c r="G8" s="575" t="s">
        <v>286</v>
      </c>
    </row>
    <row r="9" spans="1:8" x14ac:dyDescent="0.2">
      <c r="A9" s="738" t="s">
        <v>1727</v>
      </c>
      <c r="B9" s="576"/>
      <c r="C9" s="576"/>
      <c r="D9" s="576"/>
      <c r="E9" s="576"/>
      <c r="F9" s="1219"/>
      <c r="G9" s="1218" t="str">
        <f>+Input!E27</f>
        <v>WITNESS:  C. Y. LAI</v>
      </c>
    </row>
    <row r="10" spans="1:8" x14ac:dyDescent="0.2">
      <c r="B10" s="1170"/>
      <c r="D10" s="1170"/>
      <c r="F10" s="1170"/>
    </row>
    <row r="11" spans="1:8" x14ac:dyDescent="0.2">
      <c r="A11" s="1171" t="s">
        <v>1768</v>
      </c>
      <c r="B11" s="1168"/>
      <c r="D11" s="1168"/>
      <c r="E11" s="1170" t="s">
        <v>1674</v>
      </c>
      <c r="F11" s="1168"/>
      <c r="G11" s="1170" t="s">
        <v>1642</v>
      </c>
    </row>
    <row r="12" spans="1:8" x14ac:dyDescent="0.2">
      <c r="A12" s="1172" t="s">
        <v>1771</v>
      </c>
      <c r="B12" s="1173"/>
      <c r="C12" s="1174" t="s">
        <v>1772</v>
      </c>
      <c r="D12" s="1173"/>
      <c r="E12" s="1174" t="s">
        <v>1675</v>
      </c>
      <c r="F12" s="1173"/>
      <c r="G12" s="1174" t="s">
        <v>1676</v>
      </c>
    </row>
    <row r="14" spans="1:8" x14ac:dyDescent="0.2">
      <c r="C14" s="1168" t="s">
        <v>1677</v>
      </c>
      <c r="E14" s="1170"/>
      <c r="G14" s="1170"/>
    </row>
    <row r="15" spans="1:8" x14ac:dyDescent="0.2">
      <c r="C15" s="1168"/>
    </row>
    <row r="16" spans="1:8" x14ac:dyDescent="0.2">
      <c r="A16" s="1175">
        <v>1</v>
      </c>
      <c r="C16" s="1176" t="s">
        <v>1678</v>
      </c>
      <c r="E16" s="1177">
        <v>6677054.9199999999</v>
      </c>
      <c r="G16" s="1178">
        <f>ROUND(E16*0.0278,0)</f>
        <v>185622</v>
      </c>
    </row>
    <row r="17" spans="1:7" x14ac:dyDescent="0.2">
      <c r="A17" s="1175">
        <v>2</v>
      </c>
      <c r="C17" s="1176" t="s">
        <v>1679</v>
      </c>
      <c r="E17" s="1179">
        <v>0.03</v>
      </c>
      <c r="G17" s="1180">
        <f>+E17</f>
        <v>0.03</v>
      </c>
    </row>
    <row r="18" spans="1:7" x14ac:dyDescent="0.2">
      <c r="A18" s="1175">
        <v>3</v>
      </c>
      <c r="C18" s="1220" t="s">
        <v>1694</v>
      </c>
      <c r="E18" s="1178">
        <f>ROUND(E16*E17,0)</f>
        <v>200312</v>
      </c>
      <c r="G18" s="1178">
        <f>ROUND(G16*G17,0)</f>
        <v>5569</v>
      </c>
    </row>
    <row r="19" spans="1:7" x14ac:dyDescent="0.2">
      <c r="A19" s="1175">
        <v>4</v>
      </c>
      <c r="C19" s="1169" t="s">
        <v>1680</v>
      </c>
      <c r="E19" s="1181">
        <v>12</v>
      </c>
      <c r="G19" s="1182">
        <v>12</v>
      </c>
    </row>
    <row r="20" spans="1:7" x14ac:dyDescent="0.2">
      <c r="A20" s="1175">
        <v>5</v>
      </c>
      <c r="C20" s="1168" t="s">
        <v>1695</v>
      </c>
      <c r="E20" s="1183">
        <f>ROUND(E18*E19,0)</f>
        <v>2403744</v>
      </c>
      <c r="G20" s="1183">
        <f>ROUND(G18*G19,0)</f>
        <v>66828</v>
      </c>
    </row>
    <row r="21" spans="1:7" x14ac:dyDescent="0.2">
      <c r="A21" s="1175"/>
      <c r="G21" s="1184"/>
    </row>
    <row r="22" spans="1:7" x14ac:dyDescent="0.2">
      <c r="A22" s="1175"/>
      <c r="G22" s="1185"/>
    </row>
    <row r="23" spans="1:7" x14ac:dyDescent="0.2">
      <c r="A23" s="1175">
        <v>6</v>
      </c>
      <c r="C23" s="1168" t="s">
        <v>1682</v>
      </c>
      <c r="G23" s="1185"/>
    </row>
    <row r="24" spans="1:7" x14ac:dyDescent="0.2">
      <c r="A24" s="1175"/>
      <c r="G24" s="1185"/>
    </row>
    <row r="25" spans="1:7" x14ac:dyDescent="0.2">
      <c r="A25" s="1175">
        <v>7</v>
      </c>
      <c r="C25" s="1176" t="s">
        <v>1683</v>
      </c>
      <c r="E25" s="1177">
        <v>2621833.83</v>
      </c>
      <c r="G25" s="1178">
        <f>ROUND(E25*0.0278,0)</f>
        <v>72887</v>
      </c>
    </row>
    <row r="26" spans="1:7" x14ac:dyDescent="0.2">
      <c r="A26" s="1175">
        <v>8</v>
      </c>
      <c r="C26" s="1176" t="s">
        <v>1678</v>
      </c>
      <c r="E26" s="1186">
        <f>+E16</f>
        <v>6677054.9199999999</v>
      </c>
      <c r="G26" s="1178">
        <f>+G16</f>
        <v>185622</v>
      </c>
    </row>
    <row r="27" spans="1:7" x14ac:dyDescent="0.2">
      <c r="A27" s="1175">
        <v>9</v>
      </c>
      <c r="C27" s="1220" t="s">
        <v>1696</v>
      </c>
      <c r="E27" s="1187">
        <f>ROUND(E25/E26,4)</f>
        <v>0.39269999999999999</v>
      </c>
      <c r="G27" s="1187">
        <f>ROUND(G25/G26,4)</f>
        <v>0.39269999999999999</v>
      </c>
    </row>
    <row r="28" spans="1:7" x14ac:dyDescent="0.2">
      <c r="A28" s="1175"/>
      <c r="G28" s="1185"/>
    </row>
    <row r="29" spans="1:7" x14ac:dyDescent="0.2">
      <c r="A29" s="1175">
        <v>10</v>
      </c>
      <c r="C29" s="1169" t="s">
        <v>1681</v>
      </c>
      <c r="E29" s="1186">
        <f>+E20</f>
        <v>2403744</v>
      </c>
      <c r="G29" s="1178">
        <f>+G20</f>
        <v>66828</v>
      </c>
    </row>
    <row r="30" spans="1:7" x14ac:dyDescent="0.2">
      <c r="A30" s="1175">
        <v>11</v>
      </c>
      <c r="C30" s="1169" t="s">
        <v>1684</v>
      </c>
      <c r="E30" s="1188">
        <f>+E27</f>
        <v>0.39269999999999999</v>
      </c>
      <c r="G30" s="1180">
        <f>G27</f>
        <v>0.39269999999999999</v>
      </c>
    </row>
    <row r="31" spans="1:7" x14ac:dyDescent="0.2">
      <c r="A31" s="1175">
        <v>12</v>
      </c>
      <c r="C31" s="1168" t="s">
        <v>1697</v>
      </c>
      <c r="E31" s="1189">
        <f>ROUND(E29*E30,0)</f>
        <v>943950</v>
      </c>
      <c r="G31" s="1189">
        <f>ROUND(G29*G30,0)</f>
        <v>26243</v>
      </c>
    </row>
    <row r="32" spans="1:7" x14ac:dyDescent="0.2">
      <c r="A32" s="1175"/>
      <c r="C32" s="1168"/>
      <c r="E32" s="1190"/>
      <c r="G32" s="1191"/>
    </row>
    <row r="33" spans="1:7" x14ac:dyDescent="0.2">
      <c r="A33" s="1175"/>
      <c r="G33" s="1185"/>
    </row>
    <row r="34" spans="1:7" ht="13.5" thickBot="1" x14ac:dyDescent="0.25">
      <c r="A34" s="1175">
        <v>13</v>
      </c>
      <c r="C34" s="1220" t="s">
        <v>1698</v>
      </c>
      <c r="E34" s="1192">
        <f>+E20+E31</f>
        <v>3347694</v>
      </c>
      <c r="G34" s="1192">
        <f>+G20+G31</f>
        <v>93071</v>
      </c>
    </row>
    <row r="35" spans="1:7" ht="13.5" thickTop="1" x14ac:dyDescent="0.2">
      <c r="A35" s="1175">
        <v>14</v>
      </c>
      <c r="C35" s="1168" t="s">
        <v>1668</v>
      </c>
      <c r="E35" s="1193"/>
      <c r="G35" s="1194">
        <f>+G34</f>
        <v>93071</v>
      </c>
    </row>
    <row r="36" spans="1:7" x14ac:dyDescent="0.2">
      <c r="E36" s="1193"/>
      <c r="G36" s="1190"/>
    </row>
    <row r="39" spans="1:7" x14ac:dyDescent="0.2">
      <c r="A39" s="1167" t="s">
        <v>1691</v>
      </c>
      <c r="B39" s="1169"/>
    </row>
    <row r="40" spans="1:7" x14ac:dyDescent="0.2">
      <c r="A40" s="1167"/>
      <c r="B40" s="1169"/>
      <c r="E40" s="1195"/>
      <c r="G40" s="1185"/>
    </row>
    <row r="41" spans="1:7" x14ac:dyDescent="0.2">
      <c r="A41" s="1167" t="s">
        <v>1692</v>
      </c>
      <c r="B41" s="1169"/>
    </row>
    <row r="42" spans="1:7" x14ac:dyDescent="0.2">
      <c r="A42" s="1167" t="s">
        <v>1693</v>
      </c>
      <c r="B42" s="1169"/>
    </row>
  </sheetData>
  <mergeCells count="4">
    <mergeCell ref="A4:G4"/>
    <mergeCell ref="A1:G1"/>
    <mergeCell ref="A2:G2"/>
    <mergeCell ref="A3:G3"/>
  </mergeCells>
  <phoneticPr fontId="49" type="noConversion"/>
  <printOptions horizontalCentered="1"/>
  <pageMargins left="0" right="0" top="0.75" bottom="0.5" header="0.5" footer="0.5"/>
  <pageSetup orientation="portrait" r:id="rId1"/>
  <headerFooter alignWithMargins="0">
    <oddHeader xml:space="preserve">&amp;R
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106"/>
  <sheetViews>
    <sheetView zoomScaleNormal="100" workbookViewId="0">
      <selection activeCell="A11" sqref="A11"/>
    </sheetView>
  </sheetViews>
  <sheetFormatPr defaultColWidth="10.6640625" defaultRowHeight="12.75" x14ac:dyDescent="0.2"/>
  <cols>
    <col min="1" max="1" width="6" style="1196" customWidth="1"/>
    <col min="2" max="2" width="1.83203125" style="1196" customWidth="1"/>
    <col min="3" max="3" width="29.33203125" style="1196" customWidth="1"/>
    <col min="4" max="4" width="20.33203125" style="1196" customWidth="1"/>
    <col min="5" max="5" width="14.33203125" style="1196" bestFit="1" customWidth="1"/>
    <col min="6" max="6" width="10" style="1196" customWidth="1"/>
    <col min="7" max="7" width="10.6640625" style="1196" bestFit="1" customWidth="1"/>
    <col min="8" max="8" width="26.5" style="1204" bestFit="1" customWidth="1"/>
    <col min="9" max="11" width="14.33203125" style="1204" customWidth="1"/>
    <col min="12" max="16384" width="10.6640625" style="1205"/>
  </cols>
  <sheetData>
    <row r="1" spans="1:12" s="1196" customFormat="1" x14ac:dyDescent="0.2">
      <c r="A1" s="1455" t="s">
        <v>477</v>
      </c>
      <c r="B1" s="1455"/>
      <c r="C1" s="1455"/>
      <c r="D1" s="1455"/>
      <c r="E1" s="1455"/>
      <c r="F1" s="1455"/>
      <c r="G1" s="1455"/>
      <c r="H1" s="1455"/>
    </row>
    <row r="2" spans="1:12" s="1196" customFormat="1" x14ac:dyDescent="0.2">
      <c r="A2" s="1454" t="str">
        <f>+Input!C4</f>
        <v>CASE NO. 2017-xxxxx</v>
      </c>
      <c r="B2" s="1454"/>
      <c r="C2" s="1454"/>
      <c r="D2" s="1454"/>
      <c r="E2" s="1454"/>
      <c r="F2" s="1454"/>
      <c r="G2" s="1454"/>
      <c r="H2" s="1454"/>
    </row>
    <row r="3" spans="1:12" s="1196" customFormat="1" x14ac:dyDescent="0.2">
      <c r="A3" s="1455" t="s">
        <v>1500</v>
      </c>
      <c r="B3" s="1455"/>
      <c r="C3" s="1455"/>
      <c r="D3" s="1455"/>
      <c r="E3" s="1455"/>
      <c r="F3" s="1455"/>
      <c r="G3" s="1455"/>
      <c r="H3" s="1455"/>
      <c r="I3" s="1197"/>
      <c r="J3" s="1197"/>
      <c r="K3" s="1197"/>
    </row>
    <row r="4" spans="1:12" s="1196" customFormat="1" x14ac:dyDescent="0.2">
      <c r="A4" s="1454" t="str">
        <f>+Input!C6</f>
        <v>TWELVE MONTHS ENDED DECEMBER 31, 2017</v>
      </c>
      <c r="B4" s="1454"/>
      <c r="C4" s="1454"/>
      <c r="D4" s="1454"/>
      <c r="E4" s="1454"/>
      <c r="F4" s="1454"/>
      <c r="G4" s="1454"/>
      <c r="H4" s="1454"/>
      <c r="I4" s="1197"/>
      <c r="J4" s="1197"/>
      <c r="K4" s="1197"/>
    </row>
    <row r="5" spans="1:12" s="1196" customFormat="1" x14ac:dyDescent="0.2">
      <c r="A5" s="572"/>
      <c r="B5" s="572"/>
      <c r="C5" s="572"/>
      <c r="D5" s="572"/>
      <c r="E5" s="572"/>
      <c r="F5" s="572"/>
      <c r="G5" s="1167"/>
      <c r="H5" s="1197"/>
      <c r="I5" s="1197"/>
      <c r="J5" s="1197"/>
      <c r="K5" s="1197"/>
      <c r="L5" s="1197"/>
    </row>
    <row r="6" spans="1:12" s="1196" customFormat="1" x14ac:dyDescent="0.2">
      <c r="A6" s="572"/>
      <c r="B6" s="572"/>
      <c r="C6" s="572"/>
      <c r="D6" s="572"/>
      <c r="E6" s="572"/>
      <c r="F6" s="572"/>
      <c r="G6" s="1216"/>
      <c r="H6" s="1199"/>
    </row>
    <row r="7" spans="1:12" s="1196" customFormat="1" x14ac:dyDescent="0.2">
      <c r="A7" s="573" t="s">
        <v>839</v>
      </c>
      <c r="B7" s="572"/>
      <c r="C7" s="572"/>
      <c r="D7" s="572"/>
      <c r="E7" s="572"/>
      <c r="F7" s="1167"/>
      <c r="G7" s="575"/>
      <c r="H7" s="575" t="s">
        <v>1712</v>
      </c>
    </row>
    <row r="8" spans="1:12" s="1196" customFormat="1" x14ac:dyDescent="0.2">
      <c r="A8" s="573" t="s">
        <v>490</v>
      </c>
      <c r="B8" s="572"/>
      <c r="C8" s="572"/>
      <c r="D8" s="572"/>
      <c r="E8" s="572"/>
      <c r="F8" s="1167"/>
      <c r="G8" s="575"/>
      <c r="H8" s="575" t="s">
        <v>287</v>
      </c>
    </row>
    <row r="9" spans="1:12" s="1196" customFormat="1" x14ac:dyDescent="0.2">
      <c r="A9" s="738" t="s">
        <v>1727</v>
      </c>
      <c r="B9" s="576"/>
      <c r="C9" s="576"/>
      <c r="D9" s="576"/>
      <c r="E9" s="576"/>
      <c r="F9" s="1219"/>
      <c r="G9" s="1223"/>
      <c r="H9" s="1218" t="str">
        <f>+Input!E27</f>
        <v>WITNESS:  C. Y. LAI</v>
      </c>
      <c r="I9" s="1199"/>
      <c r="J9" s="1199"/>
    </row>
    <row r="10" spans="1:12" s="1196" customFormat="1" x14ac:dyDescent="0.2">
      <c r="A10" s="1198"/>
      <c r="B10" s="1198"/>
      <c r="C10" s="1198"/>
      <c r="D10" s="1198"/>
      <c r="E10" s="1198"/>
      <c r="F10" s="1198"/>
      <c r="G10" s="1198"/>
      <c r="H10" s="1199"/>
      <c r="I10" s="1199"/>
      <c r="J10" s="1199"/>
    </row>
    <row r="11" spans="1:12" s="1196" customFormat="1" x14ac:dyDescent="0.2">
      <c r="A11" s="1198"/>
      <c r="B11" s="1198"/>
      <c r="C11" s="1198"/>
      <c r="D11" s="1198"/>
      <c r="E11" s="1200" t="s">
        <v>1654</v>
      </c>
      <c r="F11" s="1198"/>
      <c r="G11" s="1200" t="s">
        <v>1655</v>
      </c>
      <c r="H11" s="1199"/>
      <c r="I11" s="1199"/>
      <c r="J11" s="1199"/>
    </row>
    <row r="12" spans="1:12" s="1196" customFormat="1" x14ac:dyDescent="0.2">
      <c r="A12" s="1200" t="s">
        <v>1768</v>
      </c>
      <c r="B12" s="1197"/>
      <c r="C12" s="1197"/>
      <c r="D12" s="1197"/>
      <c r="E12" s="1200" t="s">
        <v>1685</v>
      </c>
      <c r="F12" s="1197"/>
      <c r="G12" s="1198" t="s">
        <v>1656</v>
      </c>
      <c r="H12" s="1200" t="s">
        <v>1642</v>
      </c>
      <c r="I12" s="1199"/>
      <c r="J12" s="1199"/>
    </row>
    <row r="13" spans="1:12" s="1196" customFormat="1" x14ac:dyDescent="0.2">
      <c r="A13" s="1201" t="s">
        <v>1771</v>
      </c>
      <c r="B13" s="1202"/>
      <c r="C13" s="1203" t="s">
        <v>1772</v>
      </c>
      <c r="D13" s="1202"/>
      <c r="E13" s="1201" t="s">
        <v>15</v>
      </c>
      <c r="F13" s="1202"/>
      <c r="G13" s="1201" t="s">
        <v>1658</v>
      </c>
      <c r="H13" s="1201" t="s">
        <v>1686</v>
      </c>
      <c r="I13" s="1199"/>
      <c r="J13" s="1199"/>
    </row>
    <row r="14" spans="1:12" x14ac:dyDescent="0.2">
      <c r="E14" s="1198" t="s">
        <v>500</v>
      </c>
      <c r="G14" s="1198"/>
      <c r="H14" s="1198" t="s">
        <v>500</v>
      </c>
    </row>
    <row r="15" spans="1:12" x14ac:dyDescent="0.2">
      <c r="A15" s="1197"/>
      <c r="B15" s="1197"/>
      <c r="C15" s="1197" t="s">
        <v>1660</v>
      </c>
      <c r="D15" s="1197"/>
      <c r="E15" s="1206"/>
      <c r="F15" s="1197"/>
      <c r="G15" s="1206"/>
    </row>
    <row r="16" spans="1:12" x14ac:dyDescent="0.2">
      <c r="A16" s="1207">
        <v>1</v>
      </c>
      <c r="C16" s="1196" t="s">
        <v>1687</v>
      </c>
      <c r="D16" s="1208"/>
      <c r="E16" s="1209">
        <v>4340304</v>
      </c>
      <c r="F16" s="1208"/>
      <c r="G16" s="1118">
        <v>2.7799999999999998E-2</v>
      </c>
      <c r="H16" s="1210">
        <f>ROUND(E16*G16,0)</f>
        <v>120660</v>
      </c>
    </row>
    <row r="17" spans="1:8" x14ac:dyDescent="0.2">
      <c r="A17" s="1207"/>
      <c r="E17" s="1156"/>
      <c r="G17" s="1162"/>
      <c r="H17" s="1211"/>
    </row>
    <row r="18" spans="1:8" x14ac:dyDescent="0.2">
      <c r="A18" s="1207"/>
      <c r="C18" s="1197" t="s">
        <v>1664</v>
      </c>
      <c r="E18" s="1156"/>
      <c r="G18" s="1162"/>
      <c r="H18" s="1211"/>
    </row>
    <row r="19" spans="1:8" x14ac:dyDescent="0.2">
      <c r="A19" s="1207">
        <v>2</v>
      </c>
      <c r="C19" s="1196" t="s">
        <v>1688</v>
      </c>
      <c r="D19" s="1208"/>
      <c r="E19" s="1212">
        <v>17163669</v>
      </c>
      <c r="F19" s="1208"/>
      <c r="G19" s="1162">
        <f>+G16</f>
        <v>2.7799999999999998E-2</v>
      </c>
      <c r="H19" s="1221">
        <f>ROUND(E19*G19,0)</f>
        <v>477150</v>
      </c>
    </row>
    <row r="20" spans="1:8" x14ac:dyDescent="0.2">
      <c r="A20" s="1207"/>
      <c r="C20" s="1208"/>
      <c r="E20" s="1161"/>
      <c r="G20" s="1162"/>
      <c r="H20" s="1211"/>
    </row>
    <row r="21" spans="1:8" x14ac:dyDescent="0.2">
      <c r="A21" s="1207">
        <v>3</v>
      </c>
      <c r="C21" s="1196" t="s">
        <v>1689</v>
      </c>
      <c r="D21" s="1196" t="s">
        <v>1690</v>
      </c>
      <c r="E21" s="1161"/>
      <c r="G21" s="1162"/>
      <c r="H21" s="1222">
        <f>+H19-H16</f>
        <v>356490</v>
      </c>
    </row>
    <row r="22" spans="1:8" x14ac:dyDescent="0.2">
      <c r="A22" s="1207"/>
      <c r="C22" s="1197"/>
      <c r="E22" s="1161"/>
      <c r="G22" s="1162"/>
      <c r="H22" s="1213"/>
    </row>
    <row r="23" spans="1:8" x14ac:dyDescent="0.2">
      <c r="A23" s="1207"/>
      <c r="E23" s="1164"/>
      <c r="G23" s="1164"/>
      <c r="H23" s="1161"/>
    </row>
    <row r="25" spans="1:8" x14ac:dyDescent="0.2">
      <c r="A25" s="1196" t="s">
        <v>1699</v>
      </c>
      <c r="C25" s="1205"/>
    </row>
    <row r="27" spans="1:8" x14ac:dyDescent="0.2">
      <c r="A27" s="1196" t="s">
        <v>1700</v>
      </c>
      <c r="C27" s="1205"/>
      <c r="E27" s="1214"/>
      <c r="G27" s="1214"/>
    </row>
    <row r="28" spans="1:8" x14ac:dyDescent="0.2">
      <c r="C28" s="1214"/>
      <c r="E28" s="1214"/>
      <c r="G28" s="1214"/>
    </row>
    <row r="29" spans="1:8" x14ac:dyDescent="0.2">
      <c r="E29" s="1215"/>
      <c r="G29" s="1215"/>
    </row>
    <row r="30" spans="1:8" x14ac:dyDescent="0.2">
      <c r="E30" s="1215"/>
      <c r="G30" s="1215"/>
    </row>
    <row r="31" spans="1:8" x14ac:dyDescent="0.2">
      <c r="E31" s="1215"/>
      <c r="G31" s="1215"/>
    </row>
    <row r="32" spans="1:8" x14ac:dyDescent="0.2">
      <c r="E32" s="1215"/>
      <c r="G32" s="1215"/>
    </row>
    <row r="33" spans="5:7" x14ac:dyDescent="0.2">
      <c r="E33" s="1215"/>
      <c r="G33" s="1215"/>
    </row>
    <row r="34" spans="5:7" x14ac:dyDescent="0.2">
      <c r="E34" s="1215"/>
      <c r="G34" s="1215"/>
    </row>
    <row r="35" spans="5:7" x14ac:dyDescent="0.2">
      <c r="E35" s="1215"/>
      <c r="G35" s="1215"/>
    </row>
    <row r="36" spans="5:7" x14ac:dyDescent="0.2">
      <c r="E36" s="1215"/>
      <c r="G36" s="1215"/>
    </row>
    <row r="37" spans="5:7" x14ac:dyDescent="0.2">
      <c r="E37" s="1215"/>
      <c r="G37" s="1215"/>
    </row>
    <row r="38" spans="5:7" x14ac:dyDescent="0.2">
      <c r="E38" s="1215"/>
      <c r="G38" s="1215"/>
    </row>
    <row r="39" spans="5:7" x14ac:dyDescent="0.2">
      <c r="E39" s="1215"/>
      <c r="G39" s="1215"/>
    </row>
    <row r="40" spans="5:7" x14ac:dyDescent="0.2">
      <c r="E40" s="1215"/>
      <c r="G40" s="1215"/>
    </row>
    <row r="41" spans="5:7" x14ac:dyDescent="0.2">
      <c r="E41" s="1215"/>
      <c r="G41" s="1215"/>
    </row>
    <row r="42" spans="5:7" x14ac:dyDescent="0.2">
      <c r="E42" s="1215"/>
      <c r="G42" s="1215"/>
    </row>
    <row r="43" spans="5:7" x14ac:dyDescent="0.2">
      <c r="E43" s="1215"/>
      <c r="G43" s="1215"/>
    </row>
    <row r="44" spans="5:7" x14ac:dyDescent="0.2">
      <c r="E44" s="1215"/>
      <c r="G44" s="1215"/>
    </row>
    <row r="45" spans="5:7" x14ac:dyDescent="0.2">
      <c r="E45" s="1215"/>
      <c r="G45" s="1215"/>
    </row>
    <row r="46" spans="5:7" x14ac:dyDescent="0.2">
      <c r="E46" s="1215"/>
      <c r="G46" s="1215"/>
    </row>
    <row r="47" spans="5:7" x14ac:dyDescent="0.2">
      <c r="E47" s="1215"/>
      <c r="G47" s="1215"/>
    </row>
    <row r="48" spans="5:7" x14ac:dyDescent="0.2">
      <c r="E48" s="1215"/>
      <c r="G48" s="1215"/>
    </row>
    <row r="49" spans="5:7" x14ac:dyDescent="0.2">
      <c r="E49" s="1215"/>
      <c r="G49" s="1215"/>
    </row>
    <row r="50" spans="5:7" x14ac:dyDescent="0.2">
      <c r="E50" s="1215"/>
      <c r="G50" s="1215"/>
    </row>
    <row r="51" spans="5:7" x14ac:dyDescent="0.2">
      <c r="E51" s="1215"/>
      <c r="G51" s="1215"/>
    </row>
    <row r="52" spans="5:7" x14ac:dyDescent="0.2">
      <c r="E52" s="1215"/>
      <c r="G52" s="1215"/>
    </row>
    <row r="53" spans="5:7" x14ac:dyDescent="0.2">
      <c r="E53" s="1215"/>
      <c r="G53" s="1215"/>
    </row>
    <row r="54" spans="5:7" x14ac:dyDescent="0.2">
      <c r="E54" s="1215"/>
      <c r="G54" s="1215"/>
    </row>
    <row r="55" spans="5:7" x14ac:dyDescent="0.2">
      <c r="E55" s="1215"/>
      <c r="G55" s="1215"/>
    </row>
    <row r="56" spans="5:7" x14ac:dyDescent="0.2">
      <c r="E56" s="1215"/>
      <c r="G56" s="1215"/>
    </row>
    <row r="57" spans="5:7" x14ac:dyDescent="0.2">
      <c r="E57" s="1215"/>
      <c r="G57" s="1215"/>
    </row>
    <row r="58" spans="5:7" x14ac:dyDescent="0.2">
      <c r="E58" s="1215"/>
      <c r="G58" s="1215"/>
    </row>
    <row r="59" spans="5:7" x14ac:dyDescent="0.2">
      <c r="E59" s="1215"/>
      <c r="G59" s="1215"/>
    </row>
    <row r="60" spans="5:7" x14ac:dyDescent="0.2">
      <c r="E60" s="1215"/>
      <c r="G60" s="1215"/>
    </row>
    <row r="61" spans="5:7" x14ac:dyDescent="0.2">
      <c r="E61" s="1215"/>
      <c r="G61" s="1215"/>
    </row>
    <row r="62" spans="5:7" x14ac:dyDescent="0.2">
      <c r="E62" s="1215"/>
      <c r="G62" s="1215"/>
    </row>
    <row r="63" spans="5:7" x14ac:dyDescent="0.2">
      <c r="E63" s="1215"/>
      <c r="G63" s="1215"/>
    </row>
    <row r="64" spans="5:7" x14ac:dyDescent="0.2">
      <c r="E64" s="1215"/>
      <c r="G64" s="1215"/>
    </row>
    <row r="65" spans="5:7" x14ac:dyDescent="0.2">
      <c r="E65" s="1215"/>
      <c r="G65" s="1215"/>
    </row>
    <row r="66" spans="5:7" x14ac:dyDescent="0.2">
      <c r="E66" s="1215"/>
      <c r="G66" s="1215"/>
    </row>
    <row r="67" spans="5:7" x14ac:dyDescent="0.2">
      <c r="E67" s="1215"/>
      <c r="G67" s="1215"/>
    </row>
    <row r="68" spans="5:7" x14ac:dyDescent="0.2">
      <c r="E68" s="1215"/>
      <c r="G68" s="1215"/>
    </row>
    <row r="69" spans="5:7" x14ac:dyDescent="0.2">
      <c r="E69" s="1215"/>
      <c r="G69" s="1215"/>
    </row>
    <row r="70" spans="5:7" x14ac:dyDescent="0.2">
      <c r="E70" s="1215"/>
      <c r="G70" s="1215"/>
    </row>
    <row r="71" spans="5:7" x14ac:dyDescent="0.2">
      <c r="E71" s="1215"/>
      <c r="G71" s="1215"/>
    </row>
    <row r="72" spans="5:7" x14ac:dyDescent="0.2">
      <c r="E72" s="1215"/>
      <c r="G72" s="1215"/>
    </row>
    <row r="73" spans="5:7" x14ac:dyDescent="0.2">
      <c r="E73" s="1215"/>
      <c r="G73" s="1215"/>
    </row>
    <row r="74" spans="5:7" x14ac:dyDescent="0.2">
      <c r="E74" s="1215"/>
      <c r="G74" s="1215"/>
    </row>
    <row r="75" spans="5:7" x14ac:dyDescent="0.2">
      <c r="E75" s="1215"/>
      <c r="G75" s="1215"/>
    </row>
    <row r="76" spans="5:7" x14ac:dyDescent="0.2">
      <c r="E76" s="1215"/>
      <c r="G76" s="1215"/>
    </row>
    <row r="77" spans="5:7" x14ac:dyDescent="0.2">
      <c r="E77" s="1215"/>
      <c r="G77" s="1215"/>
    </row>
    <row r="78" spans="5:7" x14ac:dyDescent="0.2">
      <c r="E78" s="1215"/>
      <c r="G78" s="1215"/>
    </row>
    <row r="79" spans="5:7" x14ac:dyDescent="0.2">
      <c r="E79" s="1215"/>
      <c r="G79" s="1215"/>
    </row>
    <row r="80" spans="5:7" x14ac:dyDescent="0.2">
      <c r="E80" s="1215"/>
      <c r="G80" s="1215"/>
    </row>
    <row r="81" spans="5:7" x14ac:dyDescent="0.2">
      <c r="E81" s="1215"/>
      <c r="G81" s="1215"/>
    </row>
    <row r="82" spans="5:7" x14ac:dyDescent="0.2">
      <c r="E82" s="1215"/>
      <c r="G82" s="1215"/>
    </row>
    <row r="83" spans="5:7" x14ac:dyDescent="0.2">
      <c r="E83" s="1215"/>
      <c r="G83" s="1215"/>
    </row>
    <row r="84" spans="5:7" x14ac:dyDescent="0.2">
      <c r="E84" s="1215"/>
      <c r="G84" s="1215"/>
    </row>
    <row r="85" spans="5:7" x14ac:dyDescent="0.2">
      <c r="E85" s="1215"/>
      <c r="G85" s="1215"/>
    </row>
    <row r="86" spans="5:7" x14ac:dyDescent="0.2">
      <c r="E86" s="1215"/>
      <c r="G86" s="1215"/>
    </row>
    <row r="87" spans="5:7" x14ac:dyDescent="0.2">
      <c r="E87" s="1215"/>
      <c r="G87" s="1215"/>
    </row>
    <row r="88" spans="5:7" x14ac:dyDescent="0.2">
      <c r="E88" s="1215"/>
      <c r="G88" s="1215"/>
    </row>
    <row r="89" spans="5:7" x14ac:dyDescent="0.2">
      <c r="E89" s="1215"/>
      <c r="G89" s="1215"/>
    </row>
    <row r="90" spans="5:7" x14ac:dyDescent="0.2">
      <c r="E90" s="1215"/>
      <c r="G90" s="1215"/>
    </row>
    <row r="91" spans="5:7" x14ac:dyDescent="0.2">
      <c r="E91" s="1215"/>
      <c r="G91" s="1215"/>
    </row>
    <row r="92" spans="5:7" x14ac:dyDescent="0.2">
      <c r="E92" s="1215"/>
      <c r="G92" s="1215"/>
    </row>
    <row r="93" spans="5:7" x14ac:dyDescent="0.2">
      <c r="E93" s="1215"/>
      <c r="G93" s="1215"/>
    </row>
    <row r="94" spans="5:7" x14ac:dyDescent="0.2">
      <c r="E94" s="1215"/>
      <c r="G94" s="1215"/>
    </row>
    <row r="95" spans="5:7" x14ac:dyDescent="0.2">
      <c r="E95" s="1215"/>
      <c r="G95" s="1215"/>
    </row>
    <row r="96" spans="5:7" x14ac:dyDescent="0.2">
      <c r="E96" s="1215"/>
      <c r="G96" s="1215"/>
    </row>
    <row r="97" spans="5:7" x14ac:dyDescent="0.2">
      <c r="E97" s="1215"/>
      <c r="G97" s="1215"/>
    </row>
    <row r="98" spans="5:7" x14ac:dyDescent="0.2">
      <c r="E98" s="1215"/>
      <c r="G98" s="1215"/>
    </row>
    <row r="99" spans="5:7" x14ac:dyDescent="0.2">
      <c r="E99" s="1215"/>
      <c r="G99" s="1215"/>
    </row>
    <row r="100" spans="5:7" x14ac:dyDescent="0.2">
      <c r="E100" s="1215"/>
      <c r="G100" s="1215"/>
    </row>
    <row r="101" spans="5:7" x14ac:dyDescent="0.2">
      <c r="E101" s="1215"/>
      <c r="G101" s="1215"/>
    </row>
    <row r="102" spans="5:7" x14ac:dyDescent="0.2">
      <c r="E102" s="1215"/>
      <c r="G102" s="1215"/>
    </row>
    <row r="103" spans="5:7" x14ac:dyDescent="0.2">
      <c r="E103" s="1215"/>
      <c r="G103" s="1215"/>
    </row>
    <row r="104" spans="5:7" x14ac:dyDescent="0.2">
      <c r="E104" s="1215"/>
      <c r="G104" s="1215"/>
    </row>
    <row r="105" spans="5:7" x14ac:dyDescent="0.2">
      <c r="E105" s="1215"/>
      <c r="G105" s="1215"/>
    </row>
    <row r="106" spans="5:7" x14ac:dyDescent="0.2">
      <c r="E106" s="1215"/>
      <c r="G106" s="1215"/>
    </row>
  </sheetData>
  <mergeCells count="4">
    <mergeCell ref="A4:H4"/>
    <mergeCell ref="A1:H1"/>
    <mergeCell ref="A2:H2"/>
    <mergeCell ref="A3:H3"/>
  </mergeCells>
  <phoneticPr fontId="49" type="noConversion"/>
  <printOptions horizontalCentered="1"/>
  <pageMargins left="0" right="0" top="0.75" bottom="0.5" header="0.5" footer="0.5"/>
  <pageSetup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20"/>
  <sheetViews>
    <sheetView zoomScaleNormal="100" workbookViewId="0">
      <selection activeCell="A11" sqref="A11"/>
    </sheetView>
  </sheetViews>
  <sheetFormatPr defaultColWidth="10.6640625" defaultRowHeight="12.75" x14ac:dyDescent="0.2"/>
  <cols>
    <col min="1" max="1" width="42.5" style="1115" customWidth="1"/>
    <col min="2" max="2" width="16.6640625" style="1115" bestFit="1" customWidth="1"/>
    <col min="3" max="3" width="21.5" style="1115" bestFit="1" customWidth="1"/>
    <col min="4" max="4" width="16.6640625" style="1115" bestFit="1" customWidth="1"/>
    <col min="5" max="5" width="17.6640625" style="1115" bestFit="1" customWidth="1"/>
    <col min="6" max="6" width="13.5" style="1115" bestFit="1" customWidth="1"/>
    <col min="7" max="7" width="15.5" style="1115" bestFit="1" customWidth="1"/>
    <col min="8" max="16384" width="10.6640625" style="1115"/>
  </cols>
  <sheetData>
    <row r="1" spans="1:9" x14ac:dyDescent="0.2">
      <c r="A1" s="1455" t="s">
        <v>477</v>
      </c>
      <c r="B1" s="1455"/>
      <c r="C1" s="1455"/>
      <c r="D1" s="1455"/>
      <c r="E1" s="1455"/>
      <c r="F1" s="1455"/>
      <c r="G1" s="1455"/>
      <c r="H1" s="1217"/>
      <c r="I1" s="1114"/>
    </row>
    <row r="2" spans="1:9" x14ac:dyDescent="0.2">
      <c r="A2" s="1454" t="str">
        <f>+Input!C4</f>
        <v>CASE NO. 2017-xxxxx</v>
      </c>
      <c r="B2" s="1454"/>
      <c r="C2" s="1454"/>
      <c r="D2" s="1454"/>
      <c r="E2" s="1454"/>
      <c r="F2" s="1454"/>
      <c r="G2" s="1454"/>
      <c r="H2" s="1224"/>
      <c r="I2" s="1114"/>
    </row>
    <row r="3" spans="1:9" x14ac:dyDescent="0.2">
      <c r="A3" s="1455" t="s">
        <v>1500</v>
      </c>
      <c r="B3" s="1455"/>
      <c r="C3" s="1455"/>
      <c r="D3" s="1455"/>
      <c r="E3" s="1455"/>
      <c r="F3" s="1455"/>
      <c r="G3" s="1455"/>
      <c r="H3" s="1217"/>
      <c r="I3" s="1114"/>
    </row>
    <row r="4" spans="1:9" x14ac:dyDescent="0.2">
      <c r="A4" s="1454" t="str">
        <f>+Input!C6</f>
        <v>TWELVE MONTHS ENDED DECEMBER 31, 2017</v>
      </c>
      <c r="B4" s="1454"/>
      <c r="C4" s="1454"/>
      <c r="D4" s="1454"/>
      <c r="E4" s="1454"/>
      <c r="F4" s="1454"/>
      <c r="G4" s="1454"/>
      <c r="H4" s="1224"/>
      <c r="I4" s="1114"/>
    </row>
    <row r="5" spans="1:9" x14ac:dyDescent="0.2">
      <c r="A5" s="572"/>
      <c r="B5" s="572"/>
      <c r="C5" s="572"/>
      <c r="D5" s="572"/>
      <c r="E5" s="572"/>
      <c r="F5" s="572"/>
      <c r="G5" s="1167"/>
      <c r="H5" s="1197"/>
      <c r="I5" s="1114"/>
    </row>
    <row r="6" spans="1:9" x14ac:dyDescent="0.2">
      <c r="A6" s="572"/>
      <c r="B6" s="572"/>
      <c r="C6" s="572"/>
      <c r="D6" s="572"/>
      <c r="E6" s="572"/>
      <c r="F6" s="572"/>
      <c r="G6" s="1216"/>
      <c r="H6" s="1199"/>
      <c r="I6" s="1114"/>
    </row>
    <row r="7" spans="1:9" x14ac:dyDescent="0.2">
      <c r="A7" s="573" t="s">
        <v>839</v>
      </c>
      <c r="B7" s="572"/>
      <c r="C7" s="572"/>
      <c r="D7" s="572"/>
      <c r="E7" s="572"/>
      <c r="F7" s="1167"/>
      <c r="G7" s="575" t="s">
        <v>1712</v>
      </c>
      <c r="I7" s="1114"/>
    </row>
    <row r="8" spans="1:9" x14ac:dyDescent="0.2">
      <c r="A8" s="573" t="s">
        <v>490</v>
      </c>
      <c r="B8" s="572"/>
      <c r="C8" s="572"/>
      <c r="D8" s="572"/>
      <c r="E8" s="572"/>
      <c r="F8" s="1167"/>
      <c r="G8" s="575" t="s">
        <v>288</v>
      </c>
      <c r="I8" s="1114"/>
    </row>
    <row r="9" spans="1:9" x14ac:dyDescent="0.2">
      <c r="A9" s="738" t="s">
        <v>1727</v>
      </c>
      <c r="B9" s="576"/>
      <c r="C9" s="576"/>
      <c r="D9" s="576"/>
      <c r="E9" s="576"/>
      <c r="F9" s="1219"/>
      <c r="G9" s="1218" t="str">
        <f>+Input!E27</f>
        <v>WITNESS:  C. Y. LAI</v>
      </c>
      <c r="I9" s="1114"/>
    </row>
    <row r="10" spans="1:9" x14ac:dyDescent="0.2">
      <c r="B10" s="1116"/>
      <c r="C10" s="1117"/>
      <c r="D10" s="1116"/>
      <c r="E10" s="1116"/>
      <c r="F10" s="1116"/>
      <c r="G10" s="1118"/>
    </row>
    <row r="11" spans="1:9" x14ac:dyDescent="0.2">
      <c r="B11" s="1119" t="s">
        <v>1637</v>
      </c>
      <c r="C11" s="1120" t="s">
        <v>1638</v>
      </c>
      <c r="D11" s="1121" t="s">
        <v>1637</v>
      </c>
      <c r="E11" s="1119" t="s">
        <v>1638</v>
      </c>
      <c r="F11" s="1116"/>
      <c r="G11" s="1119"/>
    </row>
    <row r="12" spans="1:9" x14ac:dyDescent="0.2">
      <c r="B12" s="1119" t="s">
        <v>18</v>
      </c>
      <c r="C12" s="1120" t="s">
        <v>1639</v>
      </c>
      <c r="D12" s="1122" t="s">
        <v>1640</v>
      </c>
      <c r="E12" s="1119" t="s">
        <v>1641</v>
      </c>
      <c r="F12" s="1123" t="s">
        <v>1642</v>
      </c>
      <c r="G12" s="1119"/>
    </row>
    <row r="13" spans="1:9" x14ac:dyDescent="0.2">
      <c r="A13" s="1225" t="s">
        <v>1189</v>
      </c>
      <c r="B13" s="1124" t="s">
        <v>1643</v>
      </c>
      <c r="C13" s="1124" t="s">
        <v>1643</v>
      </c>
      <c r="D13" s="1124" t="s">
        <v>1643</v>
      </c>
      <c r="E13" s="1124" t="s">
        <v>1644</v>
      </c>
      <c r="F13" s="1125" t="s">
        <v>1645</v>
      </c>
      <c r="G13" s="1124" t="s">
        <v>1646</v>
      </c>
    </row>
    <row r="14" spans="1:9" x14ac:dyDescent="0.2">
      <c r="B14" s="1126" t="s">
        <v>870</v>
      </c>
      <c r="C14" s="1127" t="s">
        <v>1647</v>
      </c>
      <c r="D14" s="1126" t="s">
        <v>1648</v>
      </c>
      <c r="E14" s="1126" t="s">
        <v>1649</v>
      </c>
      <c r="F14" s="1128" t="s">
        <v>1650</v>
      </c>
      <c r="G14" s="1129" t="s">
        <v>1651</v>
      </c>
    </row>
    <row r="15" spans="1:9" x14ac:dyDescent="0.2">
      <c r="A15" s="1130" t="s">
        <v>1652</v>
      </c>
      <c r="B15" s="1131">
        <v>2684609.86</v>
      </c>
      <c r="C15" s="1131">
        <v>101520936.99999997</v>
      </c>
      <c r="D15" s="1118">
        <f>+B15/C15</f>
        <v>2.6443903487612615E-2</v>
      </c>
      <c r="E15" s="1132">
        <f>102851452*1.025</f>
        <v>105422738.3</v>
      </c>
      <c r="F15" s="1133">
        <f>+E15*D15</f>
        <v>2787788.7170050419</v>
      </c>
      <c r="G15" s="1134">
        <f>+F15-B15</f>
        <v>103178.85700504202</v>
      </c>
    </row>
    <row r="16" spans="1:9" x14ac:dyDescent="0.2">
      <c r="B16" s="1116"/>
      <c r="C16" s="1117"/>
      <c r="D16" s="1116"/>
      <c r="E16" s="1116"/>
      <c r="F16" s="1116"/>
      <c r="G16" s="1135"/>
    </row>
    <row r="17" spans="1:7" x14ac:dyDescent="0.2">
      <c r="B17" s="1116"/>
      <c r="C17" s="1116"/>
      <c r="D17" s="1116"/>
      <c r="E17" s="1116"/>
      <c r="F17" s="1116"/>
      <c r="G17" s="1118"/>
    </row>
    <row r="18" spans="1:7" x14ac:dyDescent="0.2">
      <c r="A18" s="1225" t="s">
        <v>1701</v>
      </c>
      <c r="B18" s="1116"/>
      <c r="C18" s="1116"/>
      <c r="D18" s="1116"/>
      <c r="E18" s="1116"/>
      <c r="F18" s="1116"/>
      <c r="G18" s="1118"/>
    </row>
    <row r="19" spans="1:7" x14ac:dyDescent="0.2">
      <c r="A19" s="1225" t="s">
        <v>1703</v>
      </c>
      <c r="B19" s="1116"/>
      <c r="C19" s="1116"/>
      <c r="D19" s="1116"/>
      <c r="E19" s="1116"/>
      <c r="F19" s="1116"/>
      <c r="G19" s="1118"/>
    </row>
    <row r="20" spans="1:7" x14ac:dyDescent="0.2">
      <c r="A20" s="1225" t="s">
        <v>1702</v>
      </c>
    </row>
  </sheetData>
  <mergeCells count="4">
    <mergeCell ref="A4:G4"/>
    <mergeCell ref="A1:G1"/>
    <mergeCell ref="A2:G2"/>
    <mergeCell ref="A3:G3"/>
  </mergeCells>
  <phoneticPr fontId="49" type="noConversion"/>
  <printOptions horizontalCentered="1"/>
  <pageMargins left="0" right="0" top="1" bottom="0.75" header="0.5" footer="0.5"/>
  <pageSetup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11"/>
  <sheetViews>
    <sheetView zoomScaleNormal="100" workbookViewId="0">
      <selection activeCell="A11" sqref="A11"/>
    </sheetView>
  </sheetViews>
  <sheetFormatPr defaultColWidth="10.6640625" defaultRowHeight="12.75" x14ac:dyDescent="0.2"/>
  <cols>
    <col min="1" max="1" width="5.5" style="1136" customWidth="1"/>
    <col min="2" max="2" width="4.1640625" style="1136" customWidth="1"/>
    <col min="3" max="3" width="46.6640625" style="1136" customWidth="1"/>
    <col min="4" max="4" width="1.83203125" style="1136" customWidth="1"/>
    <col min="5" max="5" width="26" style="1136" customWidth="1"/>
    <col min="6" max="6" width="14.5" style="1136" bestFit="1" customWidth="1"/>
    <col min="7" max="7" width="19.5" style="1144" customWidth="1"/>
    <col min="8" max="10" width="14.33203125" style="1144" customWidth="1"/>
    <col min="11" max="16384" width="10.6640625" style="1145"/>
  </cols>
  <sheetData>
    <row r="1" spans="1:11" s="1136" customFormat="1" x14ac:dyDescent="0.2">
      <c r="A1" s="1455" t="s">
        <v>477</v>
      </c>
      <c r="B1" s="1455"/>
      <c r="C1" s="1455"/>
      <c r="D1" s="1455"/>
      <c r="E1" s="1455"/>
      <c r="F1" s="1455"/>
      <c r="G1" s="1455"/>
    </row>
    <row r="2" spans="1:11" s="1136" customFormat="1" x14ac:dyDescent="0.2">
      <c r="A2" s="1454" t="str">
        <f>+Input!C4</f>
        <v>CASE NO. 2017-xxxxx</v>
      </c>
      <c r="B2" s="1454"/>
      <c r="C2" s="1454"/>
      <c r="D2" s="1454"/>
      <c r="E2" s="1454"/>
      <c r="F2" s="1454"/>
      <c r="G2" s="1454"/>
    </row>
    <row r="3" spans="1:11" s="1136" customFormat="1" x14ac:dyDescent="0.2">
      <c r="A3" s="1455" t="s">
        <v>1500</v>
      </c>
      <c r="B3" s="1455"/>
      <c r="C3" s="1455"/>
      <c r="D3" s="1455"/>
      <c r="E3" s="1455"/>
      <c r="F3" s="1455"/>
      <c r="G3" s="1455"/>
      <c r="H3" s="1137"/>
      <c r="I3" s="1137"/>
      <c r="J3" s="1137"/>
    </row>
    <row r="4" spans="1:11" s="1136" customFormat="1" x14ac:dyDescent="0.2">
      <c r="A4" s="1454" t="str">
        <f>+Input!C6</f>
        <v>TWELVE MONTHS ENDED DECEMBER 31, 2017</v>
      </c>
      <c r="B4" s="1454"/>
      <c r="C4" s="1454"/>
      <c r="D4" s="1454"/>
      <c r="E4" s="1454"/>
      <c r="F4" s="1454"/>
      <c r="G4" s="1454"/>
      <c r="H4" s="1137"/>
      <c r="I4" s="1137"/>
      <c r="J4" s="1137"/>
    </row>
    <row r="5" spans="1:11" s="1136" customFormat="1" x14ac:dyDescent="0.2">
      <c r="A5" s="572"/>
      <c r="B5" s="572"/>
      <c r="C5" s="572"/>
      <c r="D5" s="572"/>
      <c r="E5" s="572"/>
      <c r="F5" s="1167"/>
      <c r="G5" s="1137"/>
      <c r="H5" s="1137"/>
      <c r="I5" s="1137"/>
      <c r="J5" s="1137"/>
      <c r="K5" s="1137"/>
    </row>
    <row r="6" spans="1:11" s="1136" customFormat="1" x14ac:dyDescent="0.2">
      <c r="A6" s="572"/>
      <c r="B6" s="572"/>
      <c r="C6" s="572"/>
      <c r="D6" s="572"/>
      <c r="E6" s="572"/>
      <c r="F6" s="1216"/>
      <c r="G6" s="1139"/>
    </row>
    <row r="7" spans="1:11" s="1136" customFormat="1" x14ac:dyDescent="0.2">
      <c r="A7" s="573" t="s">
        <v>839</v>
      </c>
      <c r="B7" s="572"/>
      <c r="C7" s="572"/>
      <c r="D7" s="572"/>
      <c r="E7" s="572"/>
      <c r="G7" s="575" t="s">
        <v>1712</v>
      </c>
    </row>
    <row r="8" spans="1:11" s="1136" customFormat="1" x14ac:dyDescent="0.2">
      <c r="A8" s="573" t="s">
        <v>490</v>
      </c>
      <c r="B8" s="572"/>
      <c r="C8" s="572"/>
      <c r="D8" s="572"/>
      <c r="E8" s="572"/>
      <c r="G8" s="575" t="s">
        <v>289</v>
      </c>
    </row>
    <row r="9" spans="1:11" s="1136" customFormat="1" x14ac:dyDescent="0.2">
      <c r="A9" s="738" t="s">
        <v>1416</v>
      </c>
      <c r="B9" s="576"/>
      <c r="C9" s="576"/>
      <c r="D9" s="576"/>
      <c r="E9" s="576"/>
      <c r="F9" s="1226"/>
      <c r="G9" s="1218" t="str">
        <f>+Input!E27</f>
        <v>WITNESS:  C. Y. LAI</v>
      </c>
      <c r="H9" s="1139"/>
      <c r="I9" s="1139"/>
    </row>
    <row r="10" spans="1:11" s="1136" customFormat="1" x14ac:dyDescent="0.2">
      <c r="A10" s="1138"/>
      <c r="B10" s="1138"/>
      <c r="C10" s="1138"/>
      <c r="D10" s="1138"/>
      <c r="E10" s="1138"/>
      <c r="F10" s="1138"/>
      <c r="G10" s="1139"/>
      <c r="H10" s="1139"/>
      <c r="I10" s="1139"/>
    </row>
    <row r="11" spans="1:11" s="1136" customFormat="1" x14ac:dyDescent="0.2">
      <c r="A11" s="1138"/>
      <c r="B11" s="1138"/>
      <c r="C11" s="1138"/>
      <c r="D11" s="1138"/>
      <c r="E11" s="1140" t="s">
        <v>1654</v>
      </c>
      <c r="F11" s="1140" t="s">
        <v>1655</v>
      </c>
      <c r="G11" s="1139"/>
      <c r="H11" s="1139"/>
      <c r="I11" s="1139"/>
    </row>
    <row r="12" spans="1:11" s="1136" customFormat="1" x14ac:dyDescent="0.2">
      <c r="A12" s="1140" t="s">
        <v>1768</v>
      </c>
      <c r="B12" s="1137"/>
      <c r="C12" s="1137"/>
      <c r="D12" s="1137"/>
      <c r="E12" s="1140" t="s">
        <v>1653</v>
      </c>
      <c r="F12" s="1138" t="s">
        <v>1656</v>
      </c>
      <c r="G12" s="1140" t="s">
        <v>1642</v>
      </c>
      <c r="H12" s="1139"/>
      <c r="I12" s="1139"/>
    </row>
    <row r="13" spans="1:11" s="1136" customFormat="1" x14ac:dyDescent="0.2">
      <c r="A13" s="1141" t="s">
        <v>1771</v>
      </c>
      <c r="B13" s="1142"/>
      <c r="C13" s="1143" t="s">
        <v>1772</v>
      </c>
      <c r="D13" s="1142"/>
      <c r="E13" s="1141" t="s">
        <v>1657</v>
      </c>
      <c r="F13" s="1141" t="s">
        <v>1658</v>
      </c>
      <c r="G13" s="1141" t="s">
        <v>1659</v>
      </c>
      <c r="H13" s="1139"/>
      <c r="I13" s="1139"/>
    </row>
    <row r="14" spans="1:11" x14ac:dyDescent="0.2">
      <c r="E14" s="1138" t="s">
        <v>500</v>
      </c>
      <c r="F14" s="1138"/>
      <c r="G14" s="1138" t="s">
        <v>500</v>
      </c>
    </row>
    <row r="15" spans="1:11" x14ac:dyDescent="0.2">
      <c r="A15" s="1137"/>
      <c r="B15" s="1137"/>
      <c r="C15" s="1137" t="s">
        <v>1660</v>
      </c>
      <c r="D15" s="1137"/>
      <c r="E15" s="1146"/>
      <c r="F15" s="1146"/>
    </row>
    <row r="16" spans="1:11" x14ac:dyDescent="0.2">
      <c r="A16" s="1147">
        <v>1</v>
      </c>
      <c r="C16" s="1136" t="s">
        <v>1661</v>
      </c>
      <c r="D16" s="1148"/>
      <c r="E16" s="1149">
        <v>11566436.279999999</v>
      </c>
      <c r="F16" s="1150">
        <v>2.7799999999999998E-2</v>
      </c>
      <c r="G16" s="1151">
        <f>ROUND(E16*F16,0)</f>
        <v>321547</v>
      </c>
    </row>
    <row r="17" spans="1:7" x14ac:dyDescent="0.2">
      <c r="A17" s="1147">
        <v>2</v>
      </c>
      <c r="C17" s="1152" t="s">
        <v>1662</v>
      </c>
      <c r="D17" s="1152"/>
      <c r="E17" s="1153">
        <v>356688</v>
      </c>
      <c r="F17" s="1154">
        <v>2.7799999999999998E-2</v>
      </c>
      <c r="G17" s="1155">
        <f>ROUND(E17*F17,0)</f>
        <v>9916</v>
      </c>
    </row>
    <row r="18" spans="1:7" x14ac:dyDescent="0.2">
      <c r="A18" s="1147">
        <v>3</v>
      </c>
      <c r="C18" s="1136" t="s">
        <v>1663</v>
      </c>
      <c r="E18" s="1156"/>
      <c r="F18" s="1157"/>
      <c r="G18" s="1158">
        <f>SUM(G16:G17)</f>
        <v>331463</v>
      </c>
    </row>
    <row r="19" spans="1:7" x14ac:dyDescent="0.2">
      <c r="A19" s="1147"/>
      <c r="E19" s="1156"/>
      <c r="F19" s="1157"/>
      <c r="G19" s="1158"/>
    </row>
    <row r="20" spans="1:7" x14ac:dyDescent="0.2">
      <c r="A20" s="1147"/>
      <c r="C20" s="1137" t="s">
        <v>1664</v>
      </c>
      <c r="E20" s="1156"/>
      <c r="F20" s="1157"/>
      <c r="G20" s="1158"/>
    </row>
    <row r="21" spans="1:7" x14ac:dyDescent="0.2">
      <c r="A21" s="1147">
        <v>4</v>
      </c>
      <c r="C21" s="1136" t="s">
        <v>1665</v>
      </c>
      <c r="D21" s="1148"/>
      <c r="E21" s="1159">
        <f>6461591+63493+193767+145076</f>
        <v>6863927</v>
      </c>
      <c r="F21" s="1157">
        <f>+F16</f>
        <v>2.7799999999999998E-2</v>
      </c>
      <c r="G21" s="1151">
        <f>ROUND(E21*F21,0)</f>
        <v>190817</v>
      </c>
    </row>
    <row r="22" spans="1:7" x14ac:dyDescent="0.2">
      <c r="A22" s="1147">
        <v>5</v>
      </c>
      <c r="C22" s="1136" t="s">
        <v>1666</v>
      </c>
      <c r="E22" s="1160">
        <v>398478.75</v>
      </c>
      <c r="F22" s="1157">
        <f>+F17</f>
        <v>2.7799999999999998E-2</v>
      </c>
      <c r="G22" s="1155">
        <f>ROUND(E22*F22,0)</f>
        <v>11078</v>
      </c>
    </row>
    <row r="23" spans="1:7" x14ac:dyDescent="0.2">
      <c r="A23" s="1147">
        <v>6</v>
      </c>
      <c r="C23" s="1136" t="s">
        <v>1667</v>
      </c>
      <c r="E23" s="1161"/>
      <c r="F23" s="1162"/>
      <c r="G23" s="1158">
        <f>SUM(G21:G22)</f>
        <v>201895</v>
      </c>
    </row>
    <row r="24" spans="1:7" x14ac:dyDescent="0.2">
      <c r="A24" s="1147"/>
      <c r="C24" s="1148"/>
      <c r="E24" s="1161"/>
      <c r="F24" s="1162"/>
      <c r="G24" s="1158"/>
    </row>
    <row r="25" spans="1:7" ht="13.5" thickBot="1" x14ac:dyDescent="0.25">
      <c r="A25" s="1147">
        <v>7</v>
      </c>
      <c r="C25" s="1137" t="s">
        <v>1668</v>
      </c>
      <c r="E25" s="1136" t="s">
        <v>1669</v>
      </c>
      <c r="F25" s="1162"/>
      <c r="G25" s="1163">
        <f>+G23-G18</f>
        <v>-129568</v>
      </c>
    </row>
    <row r="26" spans="1:7" ht="13.5" thickTop="1" x14ac:dyDescent="0.2">
      <c r="A26" s="1147"/>
      <c r="E26" s="1164"/>
      <c r="F26" s="1164"/>
      <c r="G26" s="1161"/>
    </row>
    <row r="28" spans="1:7" x14ac:dyDescent="0.2">
      <c r="B28" s="1136" t="s">
        <v>1338</v>
      </c>
      <c r="C28" s="1239" t="s">
        <v>1188</v>
      </c>
    </row>
    <row r="29" spans="1:7" x14ac:dyDescent="0.2">
      <c r="C29" s="1239" t="s">
        <v>1187</v>
      </c>
    </row>
    <row r="31" spans="1:7" x14ac:dyDescent="0.2">
      <c r="B31" s="1136" t="s">
        <v>1670</v>
      </c>
      <c r="C31" s="1136" t="s">
        <v>1671</v>
      </c>
      <c r="E31" s="1161"/>
      <c r="F31" s="1161"/>
    </row>
    <row r="32" spans="1:7" x14ac:dyDescent="0.2">
      <c r="C32" s="1165"/>
      <c r="E32" s="1165"/>
      <c r="F32" s="1165"/>
    </row>
    <row r="33" spans="2:6" x14ac:dyDescent="0.2">
      <c r="B33" s="1136" t="s">
        <v>1672</v>
      </c>
      <c r="C33" s="1145" t="s">
        <v>1673</v>
      </c>
      <c r="E33" s="1165"/>
      <c r="F33" s="1165"/>
    </row>
    <row r="34" spans="2:6" x14ac:dyDescent="0.2">
      <c r="C34" s="1165"/>
      <c r="E34" s="1165"/>
      <c r="F34" s="1165"/>
    </row>
    <row r="35" spans="2:6" x14ac:dyDescent="0.2">
      <c r="E35" s="1166"/>
      <c r="F35" s="1166"/>
    </row>
    <row r="36" spans="2:6" x14ac:dyDescent="0.2">
      <c r="E36" s="1166"/>
      <c r="F36" s="1166"/>
    </row>
    <row r="37" spans="2:6" x14ac:dyDescent="0.2">
      <c r="E37" s="1166"/>
      <c r="F37" s="1166"/>
    </row>
    <row r="38" spans="2:6" x14ac:dyDescent="0.2">
      <c r="E38" s="1166"/>
      <c r="F38" s="1166"/>
    </row>
    <row r="39" spans="2:6" x14ac:dyDescent="0.2">
      <c r="E39" s="1166"/>
      <c r="F39" s="1166"/>
    </row>
    <row r="40" spans="2:6" x14ac:dyDescent="0.2">
      <c r="E40" s="1166"/>
      <c r="F40" s="1166"/>
    </row>
    <row r="41" spans="2:6" x14ac:dyDescent="0.2">
      <c r="E41" s="1166"/>
      <c r="F41" s="1166"/>
    </row>
    <row r="42" spans="2:6" x14ac:dyDescent="0.2">
      <c r="E42" s="1166"/>
      <c r="F42" s="1166"/>
    </row>
    <row r="43" spans="2:6" x14ac:dyDescent="0.2">
      <c r="E43" s="1166"/>
      <c r="F43" s="1166"/>
    </row>
    <row r="44" spans="2:6" x14ac:dyDescent="0.2">
      <c r="E44" s="1166"/>
      <c r="F44" s="1166"/>
    </row>
    <row r="45" spans="2:6" x14ac:dyDescent="0.2">
      <c r="E45" s="1166"/>
      <c r="F45" s="1166"/>
    </row>
    <row r="46" spans="2:6" x14ac:dyDescent="0.2">
      <c r="E46" s="1166"/>
      <c r="F46" s="1166"/>
    </row>
    <row r="47" spans="2:6" x14ac:dyDescent="0.2">
      <c r="E47" s="1166"/>
      <c r="F47" s="1166"/>
    </row>
    <row r="48" spans="2:6" x14ac:dyDescent="0.2">
      <c r="E48" s="1166"/>
      <c r="F48" s="1166"/>
    </row>
    <row r="49" spans="5:6" x14ac:dyDescent="0.2">
      <c r="E49" s="1166"/>
      <c r="F49" s="1166"/>
    </row>
    <row r="50" spans="5:6" x14ac:dyDescent="0.2">
      <c r="E50" s="1166"/>
      <c r="F50" s="1166"/>
    </row>
    <row r="51" spans="5:6" x14ac:dyDescent="0.2">
      <c r="E51" s="1166"/>
      <c r="F51" s="1166"/>
    </row>
    <row r="52" spans="5:6" x14ac:dyDescent="0.2">
      <c r="E52" s="1166"/>
      <c r="F52" s="1166"/>
    </row>
    <row r="53" spans="5:6" x14ac:dyDescent="0.2">
      <c r="E53" s="1166"/>
      <c r="F53" s="1166"/>
    </row>
    <row r="54" spans="5:6" x14ac:dyDescent="0.2">
      <c r="E54" s="1166"/>
      <c r="F54" s="1166"/>
    </row>
    <row r="55" spans="5:6" x14ac:dyDescent="0.2">
      <c r="E55" s="1166"/>
      <c r="F55" s="1166"/>
    </row>
    <row r="56" spans="5:6" x14ac:dyDescent="0.2">
      <c r="E56" s="1166"/>
      <c r="F56" s="1166"/>
    </row>
    <row r="57" spans="5:6" x14ac:dyDescent="0.2">
      <c r="E57" s="1166"/>
      <c r="F57" s="1166"/>
    </row>
    <row r="58" spans="5:6" x14ac:dyDescent="0.2">
      <c r="E58" s="1166"/>
      <c r="F58" s="1166"/>
    </row>
    <row r="59" spans="5:6" x14ac:dyDescent="0.2">
      <c r="E59" s="1166"/>
      <c r="F59" s="1166"/>
    </row>
    <row r="60" spans="5:6" x14ac:dyDescent="0.2">
      <c r="E60" s="1166"/>
      <c r="F60" s="1166"/>
    </row>
    <row r="61" spans="5:6" x14ac:dyDescent="0.2">
      <c r="E61" s="1166"/>
      <c r="F61" s="1166"/>
    </row>
    <row r="62" spans="5:6" x14ac:dyDescent="0.2">
      <c r="E62" s="1166"/>
      <c r="F62" s="1166"/>
    </row>
    <row r="63" spans="5:6" x14ac:dyDescent="0.2">
      <c r="E63" s="1166"/>
      <c r="F63" s="1166"/>
    </row>
    <row r="64" spans="5:6" x14ac:dyDescent="0.2">
      <c r="E64" s="1166"/>
      <c r="F64" s="1166"/>
    </row>
    <row r="65" spans="5:6" x14ac:dyDescent="0.2">
      <c r="E65" s="1166"/>
      <c r="F65" s="1166"/>
    </row>
    <row r="66" spans="5:6" x14ac:dyDescent="0.2">
      <c r="E66" s="1166"/>
      <c r="F66" s="1166"/>
    </row>
    <row r="67" spans="5:6" x14ac:dyDescent="0.2">
      <c r="E67" s="1166"/>
      <c r="F67" s="1166"/>
    </row>
    <row r="68" spans="5:6" x14ac:dyDescent="0.2">
      <c r="E68" s="1166"/>
      <c r="F68" s="1166"/>
    </row>
    <row r="69" spans="5:6" x14ac:dyDescent="0.2">
      <c r="E69" s="1166"/>
      <c r="F69" s="1166"/>
    </row>
    <row r="70" spans="5:6" x14ac:dyDescent="0.2">
      <c r="E70" s="1166"/>
      <c r="F70" s="1166"/>
    </row>
    <row r="71" spans="5:6" x14ac:dyDescent="0.2">
      <c r="E71" s="1166"/>
      <c r="F71" s="1166"/>
    </row>
    <row r="72" spans="5:6" x14ac:dyDescent="0.2">
      <c r="E72" s="1166"/>
      <c r="F72" s="1166"/>
    </row>
    <row r="73" spans="5:6" x14ac:dyDescent="0.2">
      <c r="E73" s="1166"/>
      <c r="F73" s="1166"/>
    </row>
    <row r="74" spans="5:6" x14ac:dyDescent="0.2">
      <c r="E74" s="1166"/>
      <c r="F74" s="1166"/>
    </row>
    <row r="75" spans="5:6" x14ac:dyDescent="0.2">
      <c r="E75" s="1166"/>
      <c r="F75" s="1166"/>
    </row>
    <row r="76" spans="5:6" x14ac:dyDescent="0.2">
      <c r="E76" s="1166"/>
      <c r="F76" s="1166"/>
    </row>
    <row r="77" spans="5:6" x14ac:dyDescent="0.2">
      <c r="E77" s="1166"/>
      <c r="F77" s="1166"/>
    </row>
    <row r="78" spans="5:6" x14ac:dyDescent="0.2">
      <c r="E78" s="1166"/>
      <c r="F78" s="1166"/>
    </row>
    <row r="79" spans="5:6" x14ac:dyDescent="0.2">
      <c r="E79" s="1166"/>
      <c r="F79" s="1166"/>
    </row>
    <row r="80" spans="5:6" x14ac:dyDescent="0.2">
      <c r="E80" s="1166"/>
      <c r="F80" s="1166"/>
    </row>
    <row r="81" spans="5:6" x14ac:dyDescent="0.2">
      <c r="E81" s="1166"/>
      <c r="F81" s="1166"/>
    </row>
    <row r="82" spans="5:6" x14ac:dyDescent="0.2">
      <c r="E82" s="1166"/>
      <c r="F82" s="1166"/>
    </row>
    <row r="83" spans="5:6" x14ac:dyDescent="0.2">
      <c r="E83" s="1166"/>
      <c r="F83" s="1166"/>
    </row>
    <row r="84" spans="5:6" x14ac:dyDescent="0.2">
      <c r="E84" s="1166"/>
      <c r="F84" s="1166"/>
    </row>
    <row r="85" spans="5:6" x14ac:dyDescent="0.2">
      <c r="E85" s="1166"/>
      <c r="F85" s="1166"/>
    </row>
    <row r="86" spans="5:6" x14ac:dyDescent="0.2">
      <c r="E86" s="1166"/>
      <c r="F86" s="1166"/>
    </row>
    <row r="87" spans="5:6" x14ac:dyDescent="0.2">
      <c r="E87" s="1166"/>
      <c r="F87" s="1166"/>
    </row>
    <row r="88" spans="5:6" x14ac:dyDescent="0.2">
      <c r="E88" s="1166"/>
      <c r="F88" s="1166"/>
    </row>
    <row r="89" spans="5:6" x14ac:dyDescent="0.2">
      <c r="E89" s="1166"/>
      <c r="F89" s="1166"/>
    </row>
    <row r="90" spans="5:6" x14ac:dyDescent="0.2">
      <c r="E90" s="1166"/>
      <c r="F90" s="1166"/>
    </row>
    <row r="91" spans="5:6" x14ac:dyDescent="0.2">
      <c r="E91" s="1166"/>
      <c r="F91" s="1166"/>
    </row>
    <row r="92" spans="5:6" x14ac:dyDescent="0.2">
      <c r="E92" s="1166"/>
      <c r="F92" s="1166"/>
    </row>
    <row r="93" spans="5:6" x14ac:dyDescent="0.2">
      <c r="E93" s="1166"/>
      <c r="F93" s="1166"/>
    </row>
    <row r="94" spans="5:6" x14ac:dyDescent="0.2">
      <c r="E94" s="1166"/>
      <c r="F94" s="1166"/>
    </row>
    <row r="95" spans="5:6" x14ac:dyDescent="0.2">
      <c r="E95" s="1166"/>
      <c r="F95" s="1166"/>
    </row>
    <row r="96" spans="5:6" x14ac:dyDescent="0.2">
      <c r="E96" s="1166"/>
      <c r="F96" s="1166"/>
    </row>
    <row r="97" spans="5:6" x14ac:dyDescent="0.2">
      <c r="E97" s="1166"/>
      <c r="F97" s="1166"/>
    </row>
    <row r="98" spans="5:6" x14ac:dyDescent="0.2">
      <c r="E98" s="1166"/>
      <c r="F98" s="1166"/>
    </row>
    <row r="99" spans="5:6" x14ac:dyDescent="0.2">
      <c r="E99" s="1166"/>
      <c r="F99" s="1166"/>
    </row>
    <row r="100" spans="5:6" x14ac:dyDescent="0.2">
      <c r="E100" s="1166"/>
      <c r="F100" s="1166"/>
    </row>
    <row r="101" spans="5:6" x14ac:dyDescent="0.2">
      <c r="E101" s="1166"/>
      <c r="F101" s="1166"/>
    </row>
    <row r="102" spans="5:6" x14ac:dyDescent="0.2">
      <c r="E102" s="1166"/>
      <c r="F102" s="1166"/>
    </row>
    <row r="103" spans="5:6" x14ac:dyDescent="0.2">
      <c r="E103" s="1166"/>
      <c r="F103" s="1166"/>
    </row>
    <row r="104" spans="5:6" x14ac:dyDescent="0.2">
      <c r="E104" s="1166"/>
      <c r="F104" s="1166"/>
    </row>
    <row r="105" spans="5:6" x14ac:dyDescent="0.2">
      <c r="E105" s="1166"/>
      <c r="F105" s="1166"/>
    </row>
    <row r="106" spans="5:6" x14ac:dyDescent="0.2">
      <c r="E106" s="1166"/>
      <c r="F106" s="1166"/>
    </row>
    <row r="107" spans="5:6" x14ac:dyDescent="0.2">
      <c r="E107" s="1166"/>
      <c r="F107" s="1166"/>
    </row>
    <row r="108" spans="5:6" x14ac:dyDescent="0.2">
      <c r="E108" s="1166"/>
      <c r="F108" s="1166"/>
    </row>
    <row r="109" spans="5:6" x14ac:dyDescent="0.2">
      <c r="E109" s="1166"/>
      <c r="F109" s="1166"/>
    </row>
    <row r="110" spans="5:6" x14ac:dyDescent="0.2">
      <c r="E110" s="1166"/>
      <c r="F110" s="1166"/>
    </row>
    <row r="111" spans="5:6" x14ac:dyDescent="0.2">
      <c r="E111" s="1166"/>
      <c r="F111" s="1166"/>
    </row>
  </sheetData>
  <mergeCells count="4">
    <mergeCell ref="A4:G4"/>
    <mergeCell ref="A1:G1"/>
    <mergeCell ref="A2:G2"/>
    <mergeCell ref="A3:G3"/>
  </mergeCells>
  <phoneticPr fontId="49" type="noConversion"/>
  <printOptions horizontalCentered="1"/>
  <pageMargins left="0" right="0" top="0.75" bottom="0.75" header="0.5" footer="0.5"/>
  <pageSetup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3"/>
  <sheetViews>
    <sheetView topLeftCell="A7" zoomScaleNormal="100" workbookViewId="0">
      <selection activeCell="C10" sqref="C10"/>
    </sheetView>
  </sheetViews>
  <sheetFormatPr defaultColWidth="10.6640625" defaultRowHeight="12.75" x14ac:dyDescent="0.2"/>
  <cols>
    <col min="1" max="1" width="5.83203125" style="793" bestFit="1" customWidth="1"/>
    <col min="2" max="2" width="2.83203125" style="793" customWidth="1"/>
    <col min="3" max="3" width="45.5" style="793" customWidth="1"/>
    <col min="4" max="4" width="2.83203125" style="793" customWidth="1"/>
    <col min="5" max="5" width="17.5" style="793" customWidth="1"/>
    <col min="6" max="6" width="2.83203125" style="793" customWidth="1"/>
    <col min="7" max="7" width="16.5" style="793" customWidth="1"/>
    <col min="8" max="8" width="2.83203125" style="793" customWidth="1"/>
    <col min="9" max="9" width="14.5" style="793" customWidth="1"/>
    <col min="10" max="10" width="16" style="793" customWidth="1"/>
    <col min="11" max="11" width="15" style="793" customWidth="1"/>
    <col min="12" max="16384" width="10.6640625" style="793"/>
  </cols>
  <sheetData>
    <row r="1" spans="1:13" ht="12.75" customHeight="1" x14ac:dyDescent="0.2">
      <c r="A1" s="1455" t="s">
        <v>477</v>
      </c>
      <c r="B1" s="1455"/>
      <c r="C1" s="1455"/>
      <c r="D1" s="1455"/>
      <c r="E1" s="1455"/>
      <c r="F1" s="1455"/>
      <c r="G1" s="1455"/>
      <c r="H1" s="1455"/>
      <c r="I1" s="1455"/>
      <c r="J1" s="572"/>
      <c r="K1" s="572"/>
      <c r="L1" s="572"/>
      <c r="M1" s="572"/>
    </row>
    <row r="2" spans="1:13" ht="12.75" customHeight="1" x14ac:dyDescent="0.2">
      <c r="A2" s="1455" t="str">
        <f>+Input!C4</f>
        <v>CASE NO. 2017-xxxxx</v>
      </c>
      <c r="B2" s="1455"/>
      <c r="C2" s="1455"/>
      <c r="D2" s="1455"/>
      <c r="E2" s="1455"/>
      <c r="F2" s="1455"/>
      <c r="G2" s="1455"/>
      <c r="H2" s="1455"/>
      <c r="I2" s="1455"/>
      <c r="J2" s="572"/>
      <c r="K2" s="572"/>
      <c r="L2" s="572"/>
      <c r="M2" s="572"/>
    </row>
    <row r="3" spans="1:13" ht="12.75" customHeight="1" x14ac:dyDescent="0.2">
      <c r="A3" s="1455" t="s">
        <v>1500</v>
      </c>
      <c r="B3" s="1455"/>
      <c r="C3" s="1455"/>
      <c r="D3" s="1455"/>
      <c r="E3" s="1455"/>
      <c r="F3" s="1455"/>
      <c r="G3" s="1455"/>
      <c r="H3" s="1455"/>
      <c r="I3" s="1455"/>
      <c r="J3" s="572"/>
      <c r="K3" s="572"/>
      <c r="L3" s="572"/>
      <c r="M3" s="572"/>
    </row>
    <row r="4" spans="1:13" ht="12.75" customHeight="1" x14ac:dyDescent="0.2">
      <c r="A4" s="1456" t="s">
        <v>16</v>
      </c>
      <c r="B4" s="1456"/>
      <c r="C4" s="1456"/>
      <c r="D4" s="1456"/>
      <c r="E4" s="1456"/>
      <c r="F4" s="1456"/>
      <c r="G4" s="1456"/>
      <c r="H4" s="1456"/>
      <c r="I4" s="1456"/>
      <c r="J4" s="572"/>
      <c r="K4" s="572"/>
      <c r="L4" s="572"/>
      <c r="M4" s="572"/>
    </row>
    <row r="5" spans="1:13" ht="12.75" customHeight="1" x14ac:dyDescent="0.2">
      <c r="A5" s="1455" t="str">
        <f>+Input!C6</f>
        <v>TWELVE MONTHS ENDED DECEMBER 31, 2017</v>
      </c>
      <c r="B5" s="1455"/>
      <c r="C5" s="1455"/>
      <c r="D5" s="1455"/>
      <c r="E5" s="1455"/>
      <c r="F5" s="1455"/>
      <c r="G5" s="1455"/>
      <c r="H5" s="1455"/>
      <c r="I5" s="1455"/>
      <c r="J5" s="572"/>
      <c r="K5" s="572"/>
      <c r="L5" s="572"/>
      <c r="M5" s="572"/>
    </row>
    <row r="6" spans="1:13" ht="12.75" customHeight="1" x14ac:dyDescent="0.2">
      <c r="C6" s="572"/>
      <c r="D6" s="572"/>
      <c r="E6" s="572"/>
      <c r="F6" s="572"/>
      <c r="G6" s="572"/>
      <c r="H6" s="572"/>
      <c r="I6" s="572"/>
      <c r="J6" s="572"/>
      <c r="K6" s="572"/>
      <c r="L6" s="572"/>
      <c r="M6" s="572"/>
    </row>
    <row r="7" spans="1:13" ht="12.75" customHeight="1" x14ac:dyDescent="0.2"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</row>
    <row r="8" spans="1:13" ht="12.75" customHeight="1" x14ac:dyDescent="0.2">
      <c r="A8" s="573" t="s">
        <v>839</v>
      </c>
      <c r="D8" s="573"/>
      <c r="E8" s="573"/>
      <c r="F8" s="572"/>
      <c r="G8" s="572"/>
      <c r="I8" s="575" t="s">
        <v>1713</v>
      </c>
      <c r="J8" s="572"/>
      <c r="K8" s="572"/>
      <c r="L8" s="572"/>
      <c r="M8" s="572"/>
    </row>
    <row r="9" spans="1:13" ht="12.75" customHeight="1" x14ac:dyDescent="0.2">
      <c r="A9" s="573" t="s">
        <v>490</v>
      </c>
      <c r="D9" s="573"/>
      <c r="E9" s="573"/>
      <c r="F9" s="572"/>
      <c r="G9" s="572"/>
      <c r="I9" s="575" t="s">
        <v>491</v>
      </c>
      <c r="J9" s="572"/>
      <c r="K9" s="572"/>
      <c r="L9" s="572"/>
      <c r="M9" s="572"/>
    </row>
    <row r="10" spans="1:13" ht="12.75" customHeight="1" x14ac:dyDescent="0.2">
      <c r="A10" s="738" t="s">
        <v>399</v>
      </c>
      <c r="B10" s="794"/>
      <c r="C10" s="794"/>
      <c r="D10" s="738"/>
      <c r="E10" s="738"/>
      <c r="F10" s="576"/>
      <c r="G10" s="576"/>
      <c r="H10" s="794"/>
      <c r="I10" s="577" t="str">
        <f>+Input!E27</f>
        <v>WITNESS:  C. Y. LAI</v>
      </c>
      <c r="J10" s="572"/>
      <c r="K10" s="572"/>
      <c r="L10" s="572"/>
      <c r="M10" s="572"/>
    </row>
    <row r="11" spans="1:13" ht="12.75" customHeight="1" x14ac:dyDescent="0.2">
      <c r="A11" s="744"/>
      <c r="D11" s="744"/>
      <c r="E11" s="744"/>
      <c r="F11" s="739"/>
      <c r="G11" s="739"/>
      <c r="H11" s="795"/>
      <c r="I11" s="745"/>
      <c r="J11" s="572"/>
      <c r="K11" s="572"/>
      <c r="L11" s="572"/>
      <c r="M11" s="572"/>
    </row>
    <row r="12" spans="1:13" ht="12.75" customHeight="1" x14ac:dyDescent="0.2">
      <c r="A12" s="667" t="s">
        <v>493</v>
      </c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</row>
    <row r="13" spans="1:13" ht="12.75" customHeight="1" x14ac:dyDescent="0.2">
      <c r="A13" s="125" t="s">
        <v>496</v>
      </c>
      <c r="B13" s="794"/>
      <c r="C13" s="576" t="s">
        <v>1505</v>
      </c>
      <c r="D13" s="576"/>
      <c r="E13" s="576"/>
      <c r="F13" s="576"/>
      <c r="G13" s="576"/>
      <c r="H13" s="794"/>
      <c r="I13" s="791" t="s">
        <v>1248</v>
      </c>
      <c r="J13" s="572"/>
      <c r="K13" s="572"/>
      <c r="L13" s="572"/>
      <c r="M13" s="572"/>
    </row>
    <row r="14" spans="1:13" ht="12.75" customHeight="1" x14ac:dyDescent="0.2"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</row>
    <row r="15" spans="1:13" ht="12.75" customHeight="1" x14ac:dyDescent="0.2">
      <c r="C15" s="572" t="s">
        <v>1586</v>
      </c>
      <c r="D15" s="572"/>
      <c r="E15" s="572"/>
      <c r="F15" s="572"/>
      <c r="G15" s="572"/>
      <c r="H15" s="572"/>
      <c r="I15" s="572"/>
      <c r="J15" s="572"/>
      <c r="K15" s="572"/>
      <c r="L15" s="572"/>
      <c r="M15" s="572"/>
    </row>
    <row r="16" spans="1:13" ht="12.75" customHeight="1" x14ac:dyDescent="0.2">
      <c r="C16" s="572" t="s">
        <v>115</v>
      </c>
      <c r="D16" s="572"/>
      <c r="E16" s="572"/>
      <c r="F16" s="572"/>
      <c r="G16" s="572"/>
      <c r="H16" s="572"/>
      <c r="I16" s="572"/>
      <c r="J16" s="572"/>
      <c r="K16" s="572"/>
      <c r="L16" s="572"/>
      <c r="M16" s="572"/>
    </row>
    <row r="17" spans="1:13" ht="12.75" customHeight="1" x14ac:dyDescent="0.2">
      <c r="C17" s="572" t="s">
        <v>1288</v>
      </c>
      <c r="D17" s="572"/>
      <c r="E17" s="572"/>
      <c r="F17" s="572"/>
      <c r="G17" s="572"/>
      <c r="H17" s="572"/>
      <c r="I17" s="572"/>
      <c r="J17" s="572"/>
      <c r="K17" s="572"/>
      <c r="L17" s="572"/>
      <c r="M17" s="572"/>
    </row>
    <row r="18" spans="1:13" ht="12.75" customHeight="1" x14ac:dyDescent="0.2"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</row>
    <row r="19" spans="1:13" ht="12.75" customHeight="1" x14ac:dyDescent="0.2">
      <c r="C19" s="572"/>
      <c r="E19" s="578" t="s">
        <v>17</v>
      </c>
      <c r="F19" s="578"/>
      <c r="G19" s="578" t="s">
        <v>18</v>
      </c>
      <c r="H19" s="578"/>
      <c r="I19" s="578"/>
      <c r="J19" s="572"/>
      <c r="K19" s="572"/>
      <c r="L19" s="572"/>
      <c r="M19" s="572"/>
    </row>
    <row r="20" spans="1:13" ht="12.75" customHeight="1" x14ac:dyDescent="0.2">
      <c r="A20" s="796"/>
      <c r="C20" s="572"/>
      <c r="E20" s="719" t="s">
        <v>15</v>
      </c>
      <c r="F20" s="719"/>
      <c r="G20" s="719" t="s">
        <v>15</v>
      </c>
      <c r="H20" s="719"/>
      <c r="I20" s="719" t="s">
        <v>1573</v>
      </c>
      <c r="J20" s="572"/>
      <c r="K20" s="572"/>
      <c r="L20" s="572"/>
      <c r="M20" s="572"/>
    </row>
    <row r="21" spans="1:13" ht="12.75" customHeight="1" x14ac:dyDescent="0.2">
      <c r="A21" s="796"/>
      <c r="C21" s="572"/>
      <c r="E21" s="717" t="s">
        <v>532</v>
      </c>
      <c r="F21" s="717"/>
      <c r="G21" s="717" t="s">
        <v>533</v>
      </c>
      <c r="H21" s="717"/>
      <c r="I21" s="717" t="s">
        <v>20</v>
      </c>
      <c r="J21" s="572"/>
      <c r="K21" s="572"/>
      <c r="L21" s="572"/>
      <c r="M21" s="572"/>
    </row>
    <row r="22" spans="1:13" ht="12.75" customHeight="1" x14ac:dyDescent="0.2">
      <c r="A22" s="796"/>
      <c r="C22" s="572"/>
      <c r="E22" s="578" t="s">
        <v>500</v>
      </c>
      <c r="F22" s="578"/>
      <c r="G22" s="578" t="s">
        <v>500</v>
      </c>
      <c r="H22" s="578"/>
      <c r="I22" s="578" t="s">
        <v>500</v>
      </c>
      <c r="J22" s="572"/>
      <c r="K22" s="572"/>
      <c r="L22" s="572"/>
      <c r="M22" s="572"/>
    </row>
    <row r="23" spans="1:13" ht="12.75" customHeight="1" x14ac:dyDescent="0.2">
      <c r="A23" s="796">
        <v>1</v>
      </c>
      <c r="C23" s="572" t="s">
        <v>51</v>
      </c>
      <c r="E23" s="578"/>
      <c r="F23" s="578"/>
      <c r="G23" s="578"/>
      <c r="H23" s="578"/>
      <c r="I23" s="578"/>
      <c r="J23" s="572"/>
      <c r="K23" s="572"/>
      <c r="L23" s="572"/>
      <c r="M23" s="572"/>
    </row>
    <row r="24" spans="1:13" ht="12.75" customHeight="1" x14ac:dyDescent="0.2">
      <c r="A24" s="796">
        <f>1+A23</f>
        <v>2</v>
      </c>
      <c r="C24" s="756" t="s">
        <v>615</v>
      </c>
      <c r="E24" s="1084">
        <f>ROUND(5720*12,0)</f>
        <v>68640</v>
      </c>
      <c r="F24" s="572"/>
      <c r="G24" s="1084">
        <v>75397</v>
      </c>
      <c r="H24" s="572"/>
      <c r="I24" s="572">
        <f>+E24-G24</f>
        <v>-6757</v>
      </c>
      <c r="J24" s="572"/>
      <c r="K24" s="572"/>
      <c r="L24" s="572"/>
      <c r="M24" s="572"/>
    </row>
    <row r="25" spans="1:13" ht="12.75" customHeight="1" x14ac:dyDescent="0.2">
      <c r="A25" s="796">
        <f t="shared" ref="A25:A32" si="0">1+A24</f>
        <v>3</v>
      </c>
      <c r="C25" s="756" t="s">
        <v>616</v>
      </c>
      <c r="E25" s="1084">
        <f>ROUND(2371*12,0)</f>
        <v>28452</v>
      </c>
      <c r="F25" s="572"/>
      <c r="G25" s="1084">
        <v>41448</v>
      </c>
      <c r="H25" s="572"/>
      <c r="I25" s="572">
        <f>+E25-G25</f>
        <v>-12996</v>
      </c>
      <c r="J25" s="572"/>
      <c r="K25" s="572"/>
      <c r="L25" s="572"/>
      <c r="M25" s="572"/>
    </row>
    <row r="26" spans="1:13" ht="12.75" customHeight="1" x14ac:dyDescent="0.2">
      <c r="A26" s="796">
        <f t="shared" si="0"/>
        <v>4</v>
      </c>
      <c r="C26" s="572" t="s">
        <v>52</v>
      </c>
      <c r="E26" s="914"/>
      <c r="F26" s="572"/>
      <c r="G26" s="914"/>
      <c r="H26" s="572"/>
      <c r="I26" s="572"/>
      <c r="J26" s="572"/>
      <c r="K26" s="572"/>
      <c r="L26" s="572"/>
      <c r="M26" s="572"/>
    </row>
    <row r="27" spans="1:13" ht="12.75" customHeight="1" x14ac:dyDescent="0.2">
      <c r="A27" s="796">
        <f t="shared" si="0"/>
        <v>5</v>
      </c>
      <c r="C27" s="756" t="s">
        <v>615</v>
      </c>
      <c r="E27" s="1084">
        <f>ROUND(2566*12,0)</f>
        <v>30792</v>
      </c>
      <c r="F27" s="572"/>
      <c r="G27" s="1084">
        <v>31802</v>
      </c>
      <c r="H27" s="572"/>
      <c r="I27" s="572">
        <f>+E27-G27</f>
        <v>-1010</v>
      </c>
      <c r="J27" s="572"/>
      <c r="K27" s="572"/>
      <c r="L27" s="572"/>
      <c r="M27" s="572"/>
    </row>
    <row r="28" spans="1:13" ht="12.75" customHeight="1" x14ac:dyDescent="0.2">
      <c r="A28" s="796">
        <f t="shared" si="0"/>
        <v>6</v>
      </c>
      <c r="C28" s="756" t="s">
        <v>616</v>
      </c>
      <c r="E28" s="1085">
        <f>ROUND(8675*12,0)</f>
        <v>104100</v>
      </c>
      <c r="F28" s="739"/>
      <c r="G28" s="1085">
        <v>102076</v>
      </c>
      <c r="H28" s="739"/>
      <c r="I28" s="572">
        <f>+E28-G28</f>
        <v>2024</v>
      </c>
      <c r="J28" s="572"/>
      <c r="K28" s="572"/>
      <c r="L28" s="572"/>
      <c r="M28" s="572"/>
    </row>
    <row r="29" spans="1:13" ht="12.75" customHeight="1" x14ac:dyDescent="0.2">
      <c r="A29" s="796">
        <f t="shared" si="0"/>
        <v>7</v>
      </c>
      <c r="C29" s="756" t="s">
        <v>617</v>
      </c>
      <c r="E29" s="1086">
        <f>ROUND((E27)*-0.3706,0)+ROUND(E28*-0.3706,0)</f>
        <v>-49991</v>
      </c>
      <c r="F29" s="739"/>
      <c r="G29" s="1085">
        <v>-49640</v>
      </c>
      <c r="H29" s="739"/>
      <c r="I29" s="572">
        <f>+E29-G29</f>
        <v>-351</v>
      </c>
      <c r="J29" s="572"/>
      <c r="K29" s="572"/>
      <c r="L29" s="572"/>
      <c r="M29" s="572"/>
    </row>
    <row r="30" spans="1:13" ht="12.75" customHeight="1" x14ac:dyDescent="0.2">
      <c r="A30" s="796"/>
      <c r="E30" s="1086"/>
      <c r="F30" s="739"/>
      <c r="G30" s="1086"/>
      <c r="H30" s="739"/>
      <c r="I30" s="739"/>
      <c r="J30" s="572"/>
      <c r="K30" s="572"/>
      <c r="L30" s="572"/>
      <c r="M30" s="572"/>
    </row>
    <row r="31" spans="1:13" ht="12.75" customHeight="1" x14ac:dyDescent="0.2">
      <c r="A31" s="796">
        <f>A29+1</f>
        <v>8</v>
      </c>
      <c r="C31" s="572" t="s">
        <v>761</v>
      </c>
      <c r="E31" s="1087">
        <f>ROUND(SUM((27175+524+351+10954)*12)+9452+62,0)</f>
        <v>477562</v>
      </c>
      <c r="F31" s="739"/>
      <c r="G31" s="1087">
        <f>395263+9452+214602-G27-G28+62</f>
        <v>485501</v>
      </c>
      <c r="H31" s="739"/>
      <c r="I31" s="576">
        <f>+E31-G31</f>
        <v>-7939</v>
      </c>
      <c r="J31" s="572"/>
      <c r="K31" s="572"/>
      <c r="L31" s="572"/>
      <c r="M31" s="572"/>
    </row>
    <row r="32" spans="1:13" ht="12.75" customHeight="1" x14ac:dyDescent="0.2">
      <c r="A32" s="796">
        <f t="shared" si="0"/>
        <v>9</v>
      </c>
      <c r="C32" s="572" t="s">
        <v>19</v>
      </c>
      <c r="E32" s="739">
        <f>SUM(E24:E31)</f>
        <v>659555</v>
      </c>
      <c r="F32" s="739"/>
      <c r="G32" s="739">
        <f>SUM(G24:G31)</f>
        <v>686584</v>
      </c>
      <c r="H32" s="739"/>
      <c r="I32" s="739">
        <f>SUM(I24:I31)</f>
        <v>-27029</v>
      </c>
      <c r="J32" s="572"/>
      <c r="K32" s="572"/>
      <c r="L32" s="572"/>
      <c r="M32" s="572"/>
    </row>
    <row r="33" spans="1:13" ht="12.75" customHeight="1" x14ac:dyDescent="0.2">
      <c r="A33" s="796"/>
      <c r="C33" s="572"/>
      <c r="E33" s="739"/>
      <c r="F33" s="739"/>
      <c r="G33" s="739"/>
      <c r="H33" s="739"/>
      <c r="I33" s="739"/>
      <c r="J33" s="572"/>
      <c r="K33" s="572"/>
      <c r="L33" s="572"/>
      <c r="M33" s="572"/>
    </row>
    <row r="34" spans="1:13" ht="12.75" customHeight="1" x14ac:dyDescent="0.2">
      <c r="A34" s="796">
        <f>1+A32</f>
        <v>10</v>
      </c>
      <c r="C34" s="572" t="s">
        <v>1574</v>
      </c>
      <c r="E34" s="572"/>
      <c r="F34" s="572"/>
      <c r="G34" s="572"/>
      <c r="H34" s="572"/>
      <c r="I34" s="1090">
        <v>1</v>
      </c>
      <c r="J34" s="572"/>
      <c r="K34" s="572"/>
      <c r="L34" s="572"/>
      <c r="M34" s="572"/>
    </row>
    <row r="35" spans="1:13" ht="12.75" customHeight="1" x14ac:dyDescent="0.2">
      <c r="A35" s="796"/>
      <c r="C35" s="572"/>
      <c r="E35" s="572"/>
      <c r="F35" s="572"/>
      <c r="G35" s="572"/>
      <c r="H35" s="572"/>
      <c r="I35" s="572"/>
      <c r="J35" s="572"/>
      <c r="K35" s="572"/>
      <c r="L35" s="572"/>
      <c r="M35" s="572"/>
    </row>
    <row r="36" spans="1:13" ht="12.75" customHeight="1" x14ac:dyDescent="0.2">
      <c r="A36" s="796">
        <f>1+A34</f>
        <v>11</v>
      </c>
      <c r="C36" s="572" t="s">
        <v>1575</v>
      </c>
      <c r="E36" s="718" t="s">
        <v>418</v>
      </c>
      <c r="F36" s="718"/>
      <c r="G36" s="572"/>
      <c r="H36" s="572"/>
      <c r="I36" s="715">
        <f>ROUND(I32*I34,0)</f>
        <v>-27029</v>
      </c>
      <c r="J36" s="572"/>
      <c r="K36" s="572"/>
      <c r="L36" s="572"/>
      <c r="M36" s="572"/>
    </row>
    <row r="37" spans="1:13" ht="12.75" customHeight="1" x14ac:dyDescent="0.2">
      <c r="A37" s="796"/>
      <c r="C37" s="572"/>
      <c r="E37" s="718"/>
      <c r="F37" s="718"/>
      <c r="G37" s="572"/>
      <c r="H37" s="572"/>
      <c r="I37" s="715"/>
      <c r="J37" s="572"/>
      <c r="K37" s="572"/>
      <c r="L37" s="572"/>
      <c r="M37" s="572"/>
    </row>
    <row r="38" spans="1:13" ht="12.75" customHeight="1" x14ac:dyDescent="0.2">
      <c r="A38" s="796"/>
      <c r="C38" s="572"/>
      <c r="E38" s="718"/>
      <c r="F38" s="718"/>
      <c r="G38" s="572"/>
      <c r="H38" s="572"/>
      <c r="I38" s="715"/>
      <c r="J38" s="572"/>
      <c r="K38" s="572"/>
      <c r="L38" s="572"/>
      <c r="M38" s="572"/>
    </row>
    <row r="39" spans="1:13" ht="12.75" customHeight="1" x14ac:dyDescent="0.2">
      <c r="A39" s="796"/>
      <c r="C39" s="572"/>
      <c r="E39" s="718"/>
      <c r="F39" s="718"/>
      <c r="G39" s="572"/>
      <c r="H39" s="572"/>
      <c r="I39" s="715"/>
      <c r="J39" s="572"/>
      <c r="K39" s="572"/>
      <c r="L39" s="572"/>
      <c r="M39" s="572"/>
    </row>
    <row r="40" spans="1:13" ht="12.75" customHeight="1" x14ac:dyDescent="0.2">
      <c r="A40" s="796"/>
      <c r="C40" s="572"/>
      <c r="E40" s="718"/>
      <c r="F40" s="718"/>
      <c r="G40" s="572"/>
      <c r="H40" s="572"/>
      <c r="I40" s="715"/>
      <c r="J40" s="572"/>
      <c r="K40" s="572"/>
      <c r="L40" s="572"/>
      <c r="M40" s="572"/>
    </row>
    <row r="41" spans="1:13" ht="12.75" customHeight="1" x14ac:dyDescent="0.2">
      <c r="A41" s="796"/>
      <c r="C41" s="572"/>
      <c r="E41" s="718"/>
      <c r="F41" s="718"/>
      <c r="G41" s="572"/>
      <c r="H41" s="572"/>
      <c r="I41" s="715"/>
      <c r="J41" s="572"/>
      <c r="K41" s="572"/>
      <c r="L41" s="572"/>
      <c r="M41" s="572"/>
    </row>
    <row r="42" spans="1:13" ht="12.75" customHeight="1" x14ac:dyDescent="0.2">
      <c r="A42" s="796"/>
      <c r="C42" s="572"/>
      <c r="E42" s="718"/>
      <c r="F42" s="718"/>
      <c r="G42" s="572"/>
      <c r="H42" s="572"/>
      <c r="I42" s="715"/>
      <c r="J42" s="572"/>
      <c r="K42" s="572"/>
      <c r="L42" s="572"/>
      <c r="M42" s="572"/>
    </row>
    <row r="43" spans="1:13" ht="12.75" customHeight="1" x14ac:dyDescent="0.2">
      <c r="L43" s="572"/>
      <c r="M43" s="572"/>
    </row>
    <row r="44" spans="1:13" ht="12.75" customHeight="1" x14ac:dyDescent="0.2">
      <c r="L44" s="572"/>
      <c r="M44" s="572"/>
    </row>
    <row r="45" spans="1:13" ht="12.75" customHeight="1" x14ac:dyDescent="0.2">
      <c r="L45" s="572"/>
      <c r="M45" s="572"/>
    </row>
    <row r="46" spans="1:13" ht="12.75" customHeight="1" x14ac:dyDescent="0.2">
      <c r="L46" s="572"/>
      <c r="M46" s="572"/>
    </row>
    <row r="47" spans="1:13" ht="12.75" customHeight="1" x14ac:dyDescent="0.2">
      <c r="L47" s="572"/>
      <c r="M47" s="572"/>
    </row>
    <row r="48" spans="1:13" ht="12.75" customHeight="1" x14ac:dyDescent="0.2">
      <c r="L48" s="572"/>
      <c r="M48" s="572"/>
    </row>
    <row r="49" spans="1:14" ht="12.75" customHeight="1" x14ac:dyDescent="0.2">
      <c r="L49" s="572"/>
      <c r="M49" s="572"/>
    </row>
    <row r="50" spans="1:14" ht="12.75" customHeight="1" x14ac:dyDescent="0.2">
      <c r="L50" s="572"/>
      <c r="M50" s="572"/>
    </row>
    <row r="51" spans="1:14" ht="12.75" customHeight="1" x14ac:dyDescent="0.2">
      <c r="L51" s="572"/>
      <c r="M51" s="572"/>
    </row>
    <row r="52" spans="1:14" ht="12.75" customHeight="1" x14ac:dyDescent="0.2">
      <c r="L52" s="572"/>
      <c r="M52" s="572"/>
    </row>
    <row r="53" spans="1:14" ht="12.75" customHeight="1" x14ac:dyDescent="0.2">
      <c r="L53" s="572"/>
      <c r="M53" s="572"/>
    </row>
    <row r="54" spans="1:14" ht="12.75" customHeight="1" x14ac:dyDescent="0.2">
      <c r="L54" s="572"/>
      <c r="M54" s="572"/>
    </row>
    <row r="55" spans="1:14" ht="12.75" customHeight="1" x14ac:dyDescent="0.2">
      <c r="L55" s="572"/>
      <c r="M55" s="572"/>
    </row>
    <row r="56" spans="1:14" ht="12.75" customHeight="1" x14ac:dyDescent="0.2">
      <c r="L56" s="572"/>
      <c r="M56" s="572"/>
    </row>
    <row r="57" spans="1:14" ht="12.75" customHeight="1" x14ac:dyDescent="0.2">
      <c r="L57" s="572"/>
      <c r="M57" s="572"/>
    </row>
    <row r="58" spans="1:14" ht="12.75" customHeight="1" x14ac:dyDescent="0.2">
      <c r="L58" s="572"/>
      <c r="M58" s="572"/>
    </row>
    <row r="59" spans="1:14" ht="12.75" customHeight="1" x14ac:dyDescent="0.2">
      <c r="L59" s="572"/>
      <c r="M59" s="572"/>
    </row>
    <row r="60" spans="1:14" ht="12.75" customHeight="1" x14ac:dyDescent="0.2">
      <c r="A60" s="796"/>
      <c r="C60" s="572"/>
      <c r="D60" s="572"/>
      <c r="E60" s="572"/>
      <c r="F60" s="572"/>
      <c r="G60" s="572"/>
      <c r="H60" s="572"/>
      <c r="I60" s="572"/>
      <c r="J60" s="572"/>
      <c r="K60" s="572"/>
      <c r="L60" s="572"/>
      <c r="M60" s="572"/>
    </row>
    <row r="61" spans="1:14" ht="12.75" customHeight="1" x14ac:dyDescent="0.2">
      <c r="A61" s="796"/>
      <c r="C61" s="572"/>
      <c r="D61" s="572"/>
      <c r="E61" s="572"/>
      <c r="F61" s="572"/>
      <c r="G61" s="572"/>
      <c r="H61" s="572"/>
      <c r="I61" s="572"/>
      <c r="J61" s="572"/>
      <c r="L61" s="572"/>
      <c r="M61" s="572"/>
    </row>
    <row r="62" spans="1:14" ht="12.75" customHeight="1" x14ac:dyDescent="0.2">
      <c r="A62" s="796"/>
      <c r="C62" s="739"/>
      <c r="D62" s="795"/>
      <c r="E62" s="818"/>
      <c r="F62" s="739"/>
      <c r="G62" s="739"/>
      <c r="H62" s="739"/>
      <c r="I62" s="739"/>
      <c r="J62" s="739"/>
      <c r="K62" s="739"/>
      <c r="L62" s="739"/>
      <c r="M62" s="739"/>
      <c r="N62" s="795"/>
    </row>
    <row r="63" spans="1:14" ht="12.75" customHeight="1" x14ac:dyDescent="0.2">
      <c r="A63" s="796"/>
      <c r="C63" s="739"/>
      <c r="D63" s="795"/>
      <c r="E63" s="818"/>
      <c r="F63" s="739"/>
      <c r="G63" s="739"/>
      <c r="H63" s="739"/>
      <c r="I63" s="739"/>
      <c r="J63" s="739"/>
      <c r="K63" s="739"/>
      <c r="L63" s="739"/>
      <c r="M63" s="739"/>
      <c r="N63" s="795"/>
    </row>
    <row r="64" spans="1:14" ht="12.75" customHeight="1" x14ac:dyDescent="0.2">
      <c r="A64" s="796"/>
      <c r="C64" s="739"/>
      <c r="D64" s="795"/>
      <c r="E64" s="818"/>
      <c r="F64" s="739"/>
      <c r="G64" s="739"/>
      <c r="H64" s="739"/>
      <c r="I64" s="739"/>
      <c r="J64" s="739"/>
      <c r="K64" s="739"/>
      <c r="L64" s="739"/>
      <c r="M64" s="739"/>
      <c r="N64" s="795"/>
    </row>
    <row r="65" spans="1:14" ht="12.75" customHeight="1" x14ac:dyDescent="0.2">
      <c r="A65" s="796"/>
      <c r="C65" s="739"/>
      <c r="D65" s="795"/>
      <c r="E65" s="818"/>
      <c r="F65" s="739"/>
      <c r="G65" s="739"/>
      <c r="H65" s="739"/>
      <c r="I65" s="739"/>
      <c r="J65" s="739"/>
      <c r="K65" s="739"/>
      <c r="L65" s="739"/>
      <c r="M65" s="739"/>
      <c r="N65" s="795"/>
    </row>
    <row r="66" spans="1:14" ht="12.75" customHeight="1" x14ac:dyDescent="0.2">
      <c r="A66" s="796"/>
      <c r="C66" s="739"/>
      <c r="D66" s="795"/>
      <c r="E66" s="818"/>
      <c r="F66" s="739"/>
      <c r="G66" s="739"/>
      <c r="H66" s="739"/>
      <c r="I66" s="739"/>
      <c r="J66" s="739"/>
      <c r="K66" s="739"/>
      <c r="L66" s="739"/>
      <c r="M66" s="739"/>
      <c r="N66" s="795"/>
    </row>
    <row r="67" spans="1:14" ht="12.75" customHeight="1" x14ac:dyDescent="0.2">
      <c r="A67" s="796"/>
      <c r="C67" s="739"/>
      <c r="D67" s="795"/>
      <c r="E67" s="818"/>
      <c r="F67" s="739"/>
      <c r="G67" s="739"/>
      <c r="H67" s="739"/>
      <c r="I67" s="739"/>
      <c r="J67" s="739"/>
      <c r="K67" s="739"/>
      <c r="L67" s="739"/>
      <c r="M67" s="739"/>
      <c r="N67" s="795"/>
    </row>
    <row r="68" spans="1:14" ht="12.75" customHeight="1" x14ac:dyDescent="0.2">
      <c r="A68" s="796"/>
      <c r="C68" s="739"/>
      <c r="D68" s="795"/>
      <c r="E68" s="818"/>
      <c r="F68" s="739"/>
      <c r="G68" s="739"/>
      <c r="H68" s="739"/>
      <c r="I68" s="739"/>
      <c r="J68" s="739"/>
      <c r="K68" s="739"/>
      <c r="L68" s="739"/>
      <c r="M68" s="739"/>
      <c r="N68" s="795"/>
    </row>
    <row r="69" spans="1:14" ht="12.75" customHeight="1" x14ac:dyDescent="0.2">
      <c r="A69" s="796"/>
      <c r="C69" s="739"/>
      <c r="D69" s="795"/>
      <c r="E69" s="739"/>
      <c r="F69" s="739"/>
      <c r="G69" s="739"/>
      <c r="H69" s="739"/>
      <c r="I69" s="739"/>
      <c r="J69" s="739"/>
      <c r="K69" s="739"/>
      <c r="L69" s="739"/>
      <c r="M69" s="739"/>
      <c r="N69" s="795"/>
    </row>
    <row r="70" spans="1:14" ht="12.75" customHeight="1" x14ac:dyDescent="0.2">
      <c r="A70" s="796"/>
      <c r="C70" s="739"/>
      <c r="D70" s="739"/>
      <c r="E70" s="739"/>
      <c r="F70" s="739"/>
      <c r="G70" s="739"/>
      <c r="H70" s="739"/>
      <c r="I70" s="739"/>
      <c r="J70" s="739"/>
      <c r="K70" s="739"/>
      <c r="L70" s="739"/>
      <c r="M70" s="739"/>
      <c r="N70" s="795"/>
    </row>
    <row r="71" spans="1:14" ht="12.75" customHeight="1" x14ac:dyDescent="0.2">
      <c r="A71" s="796"/>
      <c r="C71" s="739"/>
      <c r="D71" s="795"/>
      <c r="E71" s="1088"/>
      <c r="F71" s="739"/>
      <c r="G71" s="1088"/>
      <c r="H71" s="739"/>
      <c r="I71" s="1088"/>
      <c r="J71" s="739"/>
      <c r="K71" s="739"/>
      <c r="L71" s="739"/>
      <c r="M71" s="739"/>
      <c r="N71" s="795"/>
    </row>
    <row r="72" spans="1:14" ht="12.75" customHeight="1" x14ac:dyDescent="0.2">
      <c r="A72" s="796"/>
      <c r="C72" s="1089"/>
      <c r="D72" s="795"/>
      <c r="E72" s="818"/>
      <c r="F72" s="739"/>
      <c r="G72" s="818"/>
      <c r="H72" s="739"/>
      <c r="I72" s="739"/>
      <c r="J72" s="739"/>
      <c r="K72" s="739"/>
      <c r="L72" s="739"/>
      <c r="M72" s="739"/>
      <c r="N72" s="795"/>
    </row>
    <row r="73" spans="1:14" ht="12.75" customHeight="1" x14ac:dyDescent="0.2">
      <c r="A73" s="796"/>
      <c r="C73" s="1089"/>
      <c r="D73" s="795"/>
      <c r="E73" s="818"/>
      <c r="F73" s="739"/>
      <c r="G73" s="818"/>
      <c r="H73" s="739"/>
      <c r="I73" s="739"/>
      <c r="J73" s="739"/>
      <c r="K73" s="739"/>
      <c r="L73" s="739"/>
      <c r="M73" s="739"/>
      <c r="N73" s="795"/>
    </row>
    <row r="74" spans="1:14" ht="12.75" customHeight="1" x14ac:dyDescent="0.2">
      <c r="A74" s="796"/>
      <c r="C74" s="1089"/>
      <c r="D74" s="795"/>
      <c r="E74" s="818"/>
      <c r="F74" s="739"/>
      <c r="G74" s="818"/>
      <c r="H74" s="739"/>
      <c r="I74" s="739"/>
      <c r="J74" s="739"/>
      <c r="K74" s="739"/>
      <c r="L74" s="739"/>
      <c r="M74" s="739"/>
      <c r="N74" s="795"/>
    </row>
    <row r="75" spans="1:14" ht="12.75" customHeight="1" x14ac:dyDescent="0.2">
      <c r="A75" s="796"/>
      <c r="C75" s="1089"/>
      <c r="D75" s="795"/>
      <c r="E75" s="818"/>
      <c r="F75" s="739"/>
      <c r="G75" s="818"/>
      <c r="H75" s="739"/>
      <c r="I75" s="739"/>
      <c r="J75" s="739"/>
      <c r="K75" s="739"/>
      <c r="L75" s="739"/>
      <c r="M75" s="739"/>
      <c r="N75" s="795"/>
    </row>
    <row r="76" spans="1:14" ht="12.75" customHeight="1" x14ac:dyDescent="0.2">
      <c r="A76" s="796"/>
      <c r="C76" s="1089"/>
      <c r="D76" s="795"/>
      <c r="E76" s="818"/>
      <c r="F76" s="739"/>
      <c r="G76" s="818"/>
      <c r="H76" s="739"/>
      <c r="I76" s="739"/>
      <c r="J76" s="739"/>
      <c r="K76" s="739"/>
      <c r="L76" s="739"/>
      <c r="M76" s="739"/>
      <c r="N76" s="795"/>
    </row>
    <row r="77" spans="1:14" ht="12.75" customHeight="1" x14ac:dyDescent="0.2">
      <c r="A77" s="796"/>
      <c r="C77" s="1089"/>
      <c r="D77" s="795"/>
      <c r="E77" s="818"/>
      <c r="F77" s="739"/>
      <c r="G77" s="818"/>
      <c r="H77" s="739"/>
      <c r="I77" s="739"/>
      <c r="J77" s="739"/>
      <c r="K77" s="739"/>
      <c r="L77" s="739"/>
      <c r="M77" s="739"/>
      <c r="N77" s="795"/>
    </row>
    <row r="78" spans="1:14" ht="12.75" customHeight="1" x14ac:dyDescent="0.2">
      <c r="A78" s="796"/>
      <c r="C78" s="1089"/>
      <c r="D78" s="795"/>
      <c r="E78" s="818"/>
      <c r="F78" s="739"/>
      <c r="G78" s="818"/>
      <c r="H78" s="739"/>
      <c r="I78" s="739"/>
      <c r="J78" s="739"/>
      <c r="K78" s="739"/>
      <c r="L78" s="739"/>
      <c r="M78" s="739"/>
      <c r="N78" s="795"/>
    </row>
    <row r="79" spans="1:14" ht="12.75" customHeight="1" x14ac:dyDescent="0.2">
      <c r="A79" s="796"/>
      <c r="C79" s="1089"/>
      <c r="D79" s="795"/>
      <c r="E79" s="818"/>
      <c r="F79" s="739"/>
      <c r="G79" s="818"/>
      <c r="H79" s="739"/>
      <c r="I79" s="739"/>
      <c r="J79" s="739"/>
      <c r="K79" s="739"/>
      <c r="L79" s="739"/>
      <c r="M79" s="739"/>
      <c r="N79" s="795"/>
    </row>
    <row r="80" spans="1:14" ht="12.75" customHeight="1" x14ac:dyDescent="0.2">
      <c r="A80" s="796"/>
      <c r="C80" s="1089"/>
      <c r="D80" s="795"/>
      <c r="E80" s="818"/>
      <c r="F80" s="739"/>
      <c r="G80" s="818"/>
      <c r="H80" s="739"/>
      <c r="I80" s="739"/>
      <c r="J80" s="739"/>
      <c r="K80" s="739"/>
      <c r="L80" s="739"/>
      <c r="M80" s="739"/>
      <c r="N80" s="795"/>
    </row>
    <row r="81" spans="1:14" ht="12.75" customHeight="1" x14ac:dyDescent="0.2">
      <c r="A81" s="796"/>
      <c r="C81" s="1089"/>
      <c r="D81" s="795"/>
      <c r="E81" s="818"/>
      <c r="F81" s="739"/>
      <c r="G81" s="818"/>
      <c r="H81" s="739"/>
      <c r="I81" s="739"/>
      <c r="J81" s="739"/>
      <c r="K81" s="739"/>
      <c r="L81" s="739"/>
      <c r="M81" s="739"/>
      <c r="N81" s="795"/>
    </row>
    <row r="82" spans="1:14" ht="12.75" customHeight="1" x14ac:dyDescent="0.2">
      <c r="A82" s="796"/>
      <c r="C82" s="1089"/>
      <c r="D82" s="795"/>
      <c r="E82" s="818"/>
      <c r="F82" s="739"/>
      <c r="G82" s="818"/>
      <c r="H82" s="739"/>
      <c r="I82" s="739"/>
      <c r="J82" s="739"/>
      <c r="K82" s="739"/>
      <c r="L82" s="739"/>
      <c r="M82" s="739"/>
      <c r="N82" s="795"/>
    </row>
    <row r="83" spans="1:14" ht="12.75" customHeight="1" x14ac:dyDescent="0.2">
      <c r="A83" s="796"/>
      <c r="C83" s="1089"/>
      <c r="D83" s="795"/>
      <c r="E83" s="818"/>
      <c r="F83" s="739"/>
      <c r="G83" s="818"/>
      <c r="H83" s="739"/>
      <c r="I83" s="739"/>
      <c r="J83" s="739"/>
      <c r="K83" s="739"/>
      <c r="L83" s="739"/>
      <c r="M83" s="739"/>
      <c r="N83" s="795"/>
    </row>
    <row r="84" spans="1:14" ht="12.75" customHeight="1" x14ac:dyDescent="0.2">
      <c r="A84" s="796"/>
      <c r="C84" s="1089"/>
      <c r="D84" s="795"/>
      <c r="E84" s="739"/>
      <c r="F84" s="739"/>
      <c r="G84" s="739"/>
      <c r="H84" s="739"/>
      <c r="I84" s="739"/>
      <c r="J84" s="739"/>
      <c r="K84" s="739"/>
      <c r="L84" s="739"/>
      <c r="M84" s="739"/>
      <c r="N84" s="795"/>
    </row>
    <row r="85" spans="1:14" ht="12.75" customHeight="1" x14ac:dyDescent="0.2">
      <c r="A85" s="796"/>
      <c r="C85" s="795"/>
      <c r="D85" s="795"/>
      <c r="E85" s="795"/>
      <c r="F85" s="795"/>
      <c r="G85" s="795"/>
      <c r="H85" s="795"/>
      <c r="I85" s="795"/>
      <c r="J85" s="795"/>
      <c r="K85" s="795"/>
      <c r="L85" s="795"/>
      <c r="M85" s="795"/>
      <c r="N85" s="795"/>
    </row>
    <row r="86" spans="1:14" ht="12.75" customHeight="1" x14ac:dyDescent="0.2">
      <c r="A86" s="796"/>
      <c r="C86" s="795"/>
      <c r="D86" s="795"/>
      <c r="E86" s="795"/>
      <c r="F86" s="795"/>
      <c r="G86" s="795"/>
      <c r="H86" s="795"/>
      <c r="I86" s="795"/>
      <c r="J86" s="795"/>
      <c r="K86" s="795"/>
      <c r="L86" s="795"/>
      <c r="M86" s="795"/>
      <c r="N86" s="795"/>
    </row>
    <row r="87" spans="1:14" ht="12.75" customHeight="1" x14ac:dyDescent="0.2">
      <c r="A87" s="796"/>
    </row>
    <row r="88" spans="1:14" ht="12.75" customHeight="1" x14ac:dyDescent="0.2">
      <c r="A88" s="796"/>
    </row>
    <row r="89" spans="1:14" ht="12.75" customHeight="1" x14ac:dyDescent="0.2">
      <c r="A89" s="796"/>
    </row>
    <row r="90" spans="1:14" ht="12.75" customHeight="1" x14ac:dyDescent="0.2">
      <c r="A90" s="796"/>
    </row>
    <row r="91" spans="1:14" ht="12.75" customHeight="1" x14ac:dyDescent="0.2">
      <c r="A91" s="796"/>
    </row>
    <row r="92" spans="1:14" ht="12.75" customHeight="1" x14ac:dyDescent="0.2">
      <c r="A92" s="796"/>
    </row>
    <row r="93" spans="1:14" ht="12.75" customHeight="1" x14ac:dyDescent="0.2">
      <c r="A93" s="796"/>
    </row>
    <row r="94" spans="1:14" ht="12.75" customHeight="1" x14ac:dyDescent="0.2"/>
    <row r="95" spans="1:14" ht="12.75" customHeight="1" x14ac:dyDescent="0.2"/>
    <row r="96" spans="1:14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</sheetData>
  <mergeCells count="5">
    <mergeCell ref="A5:I5"/>
    <mergeCell ref="A1:I1"/>
    <mergeCell ref="A2:I2"/>
    <mergeCell ref="A3:I3"/>
    <mergeCell ref="A4:I4"/>
  </mergeCells>
  <phoneticPr fontId="3" type="noConversion"/>
  <printOptions horizontalCentered="1"/>
  <pageMargins left="0.25" right="0.25" top="1" bottom="0.25" header="0.5" footer="0.5"/>
  <pageSetup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5"/>
  <sheetViews>
    <sheetView workbookViewId="0">
      <selection activeCell="D26" sqref="D26"/>
    </sheetView>
  </sheetViews>
  <sheetFormatPr defaultColWidth="10.6640625" defaultRowHeight="10.5" x14ac:dyDescent="0.15"/>
  <cols>
    <col min="1" max="1" width="5.83203125" style="46" bestFit="1" customWidth="1"/>
    <col min="2" max="2" width="2.83203125" style="46" customWidth="1"/>
    <col min="3" max="3" width="63" style="46" bestFit="1" customWidth="1"/>
    <col min="4" max="4" width="27.33203125" style="46" customWidth="1"/>
    <col min="5" max="5" width="16.5" style="46" customWidth="1"/>
    <col min="6" max="16384" width="10.6640625" style="46"/>
  </cols>
  <sheetData>
    <row r="1" spans="1:5" ht="12.75" customHeight="1" x14ac:dyDescent="0.2">
      <c r="A1" s="1455" t="s">
        <v>477</v>
      </c>
      <c r="B1" s="1455"/>
      <c r="C1" s="1455"/>
      <c r="D1" s="1455"/>
      <c r="E1" s="1455"/>
    </row>
    <row r="2" spans="1:5" ht="12.75" customHeight="1" x14ac:dyDescent="0.2">
      <c r="A2" s="1455" t="str">
        <f>+Input!C4</f>
        <v>CASE NO. 2017-xxxxx</v>
      </c>
      <c r="B2" s="1455"/>
      <c r="C2" s="1455"/>
      <c r="D2" s="1455"/>
      <c r="E2" s="1455"/>
    </row>
    <row r="3" spans="1:5" ht="12.75" customHeight="1" x14ac:dyDescent="0.2">
      <c r="A3" s="1455" t="s">
        <v>1500</v>
      </c>
      <c r="B3" s="1455"/>
      <c r="C3" s="1455"/>
      <c r="D3" s="1455"/>
      <c r="E3" s="1455"/>
    </row>
    <row r="4" spans="1:5" ht="12.75" customHeight="1" x14ac:dyDescent="0.2">
      <c r="A4" s="1456" t="s">
        <v>1730</v>
      </c>
      <c r="B4" s="1456"/>
      <c r="C4" s="1456"/>
      <c r="D4" s="1456"/>
      <c r="E4" s="1456"/>
    </row>
    <row r="5" spans="1:5" ht="12.75" customHeight="1" x14ac:dyDescent="0.2">
      <c r="A5" s="1455" t="str">
        <f>+Input!C6</f>
        <v>TWELVE MONTHS ENDED DECEMBER 31, 2017</v>
      </c>
      <c r="B5" s="1455"/>
      <c r="C5" s="1455"/>
      <c r="D5" s="1455"/>
      <c r="E5" s="1455"/>
    </row>
    <row r="6" spans="1:5" ht="12.75" customHeight="1" x14ac:dyDescent="0.2">
      <c r="A6" s="572"/>
      <c r="B6" s="572"/>
      <c r="C6" s="572"/>
      <c r="D6" s="572"/>
      <c r="E6" s="572"/>
    </row>
    <row r="7" spans="1:5" ht="12.75" customHeight="1" x14ac:dyDescent="0.2">
      <c r="A7" s="572"/>
      <c r="B7" s="572"/>
      <c r="C7" s="572"/>
      <c r="D7" s="572"/>
      <c r="E7" s="572"/>
    </row>
    <row r="8" spans="1:5" ht="12.75" customHeight="1" x14ac:dyDescent="0.2">
      <c r="A8" s="573" t="s">
        <v>839</v>
      </c>
      <c r="B8" s="572"/>
      <c r="C8" s="572"/>
      <c r="D8" s="572"/>
      <c r="E8" s="575" t="s">
        <v>1715</v>
      </c>
    </row>
    <row r="9" spans="1:5" ht="12.75" customHeight="1" x14ac:dyDescent="0.2">
      <c r="A9" s="573" t="s">
        <v>490</v>
      </c>
      <c r="B9" s="572"/>
      <c r="C9" s="572"/>
      <c r="D9" s="572"/>
      <c r="E9" s="575" t="s">
        <v>491</v>
      </c>
    </row>
    <row r="10" spans="1:5" ht="12.75" customHeight="1" x14ac:dyDescent="0.2">
      <c r="A10" s="738" t="s">
        <v>400</v>
      </c>
      <c r="B10" s="576"/>
      <c r="C10" s="576"/>
      <c r="D10" s="576"/>
      <c r="E10" s="577" t="str">
        <f>+Input!E27</f>
        <v>WITNESS:  C. Y. LAI</v>
      </c>
    </row>
    <row r="11" spans="1:5" ht="12.75" customHeight="1" x14ac:dyDescent="0.2">
      <c r="A11" s="744"/>
      <c r="B11" s="572"/>
      <c r="C11" s="572"/>
      <c r="D11" s="739"/>
      <c r="E11" s="745"/>
    </row>
    <row r="12" spans="1:5" ht="12.75" customHeight="1" x14ac:dyDescent="0.2">
      <c r="A12" s="667" t="s">
        <v>493</v>
      </c>
      <c r="B12" s="572"/>
      <c r="C12" s="744"/>
      <c r="D12" s="739"/>
      <c r="E12" s="745"/>
    </row>
    <row r="13" spans="1:5" ht="12.75" customHeight="1" x14ac:dyDescent="0.2">
      <c r="A13" s="125" t="s">
        <v>496</v>
      </c>
      <c r="B13" s="576"/>
      <c r="C13" s="576" t="s">
        <v>1505</v>
      </c>
      <c r="D13" s="576"/>
      <c r="E13" s="791" t="s">
        <v>1248</v>
      </c>
    </row>
    <row r="14" spans="1:5" ht="12.75" customHeight="1" x14ac:dyDescent="0.2">
      <c r="A14" s="572"/>
      <c r="B14" s="572"/>
      <c r="C14" s="744"/>
      <c r="D14" s="739"/>
      <c r="E14" s="92" t="s">
        <v>500</v>
      </c>
    </row>
    <row r="15" spans="1:5" ht="12.75" customHeight="1" x14ac:dyDescent="0.2">
      <c r="A15" s="572"/>
      <c r="B15" s="572"/>
      <c r="C15" s="572" t="s">
        <v>1586</v>
      </c>
      <c r="D15" s="572"/>
      <c r="E15" s="572"/>
    </row>
    <row r="16" spans="1:5" ht="12.75" customHeight="1" x14ac:dyDescent="0.2">
      <c r="A16" s="572"/>
      <c r="B16" s="572"/>
      <c r="C16" s="572" t="s">
        <v>1289</v>
      </c>
      <c r="D16" s="572"/>
      <c r="E16" s="572"/>
    </row>
    <row r="17" spans="1:6" ht="12.75" customHeight="1" x14ac:dyDescent="0.2">
      <c r="A17" s="572"/>
      <c r="B17" s="572"/>
      <c r="C17" s="572"/>
      <c r="D17" s="572"/>
      <c r="E17" s="572"/>
    </row>
    <row r="18" spans="1:6" ht="12.75" customHeight="1" x14ac:dyDescent="0.2">
      <c r="A18" s="769">
        <v>1</v>
      </c>
      <c r="B18" s="525"/>
      <c r="C18" s="525" t="s">
        <v>165</v>
      </c>
      <c r="D18" s="769" t="s">
        <v>166</v>
      </c>
      <c r="E18" s="965">
        <v>41016</v>
      </c>
      <c r="F18" s="525"/>
    </row>
    <row r="19" spans="1:6" ht="12.75" customHeight="1" x14ac:dyDescent="0.2">
      <c r="A19" s="769"/>
      <c r="B19" s="525"/>
      <c r="C19" s="525"/>
      <c r="D19" s="525"/>
      <c r="E19" s="525"/>
    </row>
    <row r="20" spans="1:6" ht="12.75" customHeight="1" x14ac:dyDescent="0.2">
      <c r="A20" s="769">
        <f>1+A18</f>
        <v>2</v>
      </c>
      <c r="B20" s="525"/>
      <c r="C20" s="525" t="s">
        <v>1574</v>
      </c>
      <c r="D20" s="525"/>
      <c r="E20" s="533">
        <v>1</v>
      </c>
    </row>
    <row r="21" spans="1:6" ht="12.75" customHeight="1" x14ac:dyDescent="0.2">
      <c r="A21" s="769"/>
      <c r="B21" s="525"/>
      <c r="C21" s="525"/>
      <c r="D21" s="525"/>
      <c r="E21" s="525"/>
    </row>
    <row r="22" spans="1:6" ht="12.75" customHeight="1" x14ac:dyDescent="0.2">
      <c r="A22" s="769">
        <f>1+A20</f>
        <v>3</v>
      </c>
      <c r="B22" s="525"/>
      <c r="C22" s="525" t="s">
        <v>1575</v>
      </c>
      <c r="D22" s="526" t="s">
        <v>418</v>
      </c>
      <c r="E22" s="579">
        <f>E18</f>
        <v>41016</v>
      </c>
    </row>
    <row r="23" spans="1:6" ht="12.75" customHeight="1" x14ac:dyDescent="0.2">
      <c r="A23" s="21"/>
      <c r="B23" s="525"/>
      <c r="C23" s="525"/>
    </row>
    <row r="24" spans="1:6" ht="12.75" customHeight="1" x14ac:dyDescent="0.2">
      <c r="A24" s="792"/>
      <c r="C24" s="572"/>
      <c r="D24" s="572"/>
      <c r="E24" s="572"/>
    </row>
    <row r="25" spans="1:6" ht="12.75" customHeight="1" x14ac:dyDescent="0.2">
      <c r="A25" s="792"/>
      <c r="C25" s="90"/>
      <c r="D25" s="572"/>
      <c r="E25" s="572"/>
    </row>
    <row r="26" spans="1:6" ht="12.75" customHeight="1" x14ac:dyDescent="0.2">
      <c r="A26" s="792"/>
      <c r="C26" s="131"/>
      <c r="D26" s="572"/>
      <c r="E26" s="572"/>
    </row>
    <row r="27" spans="1:6" ht="12.75" customHeight="1" x14ac:dyDescent="0.2">
      <c r="A27" s="792"/>
      <c r="C27" s="572"/>
      <c r="D27" s="572"/>
      <c r="E27" s="572"/>
    </row>
    <row r="28" spans="1:6" ht="12.75" customHeight="1" x14ac:dyDescent="0.2">
      <c r="A28" s="792"/>
      <c r="C28" s="572"/>
      <c r="D28" s="572"/>
      <c r="E28" s="572"/>
    </row>
    <row r="29" spans="1:6" ht="12.75" customHeight="1" x14ac:dyDescent="0.2">
      <c r="A29" s="792"/>
      <c r="C29" s="572"/>
      <c r="D29" s="572"/>
      <c r="E29" s="572"/>
    </row>
    <row r="30" spans="1:6" ht="12.75" customHeight="1" x14ac:dyDescent="0.2">
      <c r="A30" s="792"/>
      <c r="C30" s="572"/>
      <c r="D30" s="572"/>
      <c r="E30" s="572"/>
    </row>
    <row r="31" spans="1:6" ht="12.75" customHeight="1" x14ac:dyDescent="0.2">
      <c r="A31" s="792"/>
      <c r="C31" s="572"/>
      <c r="D31" s="572"/>
      <c r="E31" s="572"/>
    </row>
    <row r="32" spans="1:6" ht="12.75" customHeight="1" x14ac:dyDescent="0.2">
      <c r="A32" s="792"/>
      <c r="C32" s="572"/>
      <c r="D32" s="572"/>
      <c r="E32" s="572"/>
    </row>
    <row r="33" spans="1:5" ht="12.75" customHeight="1" x14ac:dyDescent="0.2">
      <c r="A33" s="792"/>
      <c r="C33" s="572"/>
      <c r="D33" s="572"/>
      <c r="E33" s="572"/>
    </row>
    <row r="34" spans="1:5" ht="12.75" customHeight="1" x14ac:dyDescent="0.2">
      <c r="A34" s="792"/>
      <c r="C34" s="572"/>
      <c r="D34" s="572"/>
      <c r="E34" s="572"/>
    </row>
    <row r="35" spans="1:5" ht="12.75" customHeight="1" x14ac:dyDescent="0.2">
      <c r="A35" s="792"/>
      <c r="C35" s="572"/>
      <c r="D35" s="572"/>
      <c r="E35" s="572"/>
    </row>
    <row r="36" spans="1:5" ht="12.75" customHeight="1" x14ac:dyDescent="0.2">
      <c r="A36" s="792"/>
      <c r="C36" s="572"/>
      <c r="D36" s="572"/>
      <c r="E36" s="572"/>
    </row>
    <row r="37" spans="1:5" ht="12.75" customHeight="1" x14ac:dyDescent="0.2">
      <c r="A37" s="792"/>
      <c r="C37" s="572"/>
      <c r="D37" s="572"/>
      <c r="E37" s="572"/>
    </row>
    <row r="38" spans="1:5" ht="12.75" customHeight="1" x14ac:dyDescent="0.2">
      <c r="A38" s="792"/>
      <c r="C38" s="572"/>
      <c r="D38" s="572"/>
      <c r="E38" s="572"/>
    </row>
    <row r="39" spans="1:5" ht="12.75" customHeight="1" x14ac:dyDescent="0.2">
      <c r="A39" s="792"/>
      <c r="C39" s="572"/>
      <c r="D39" s="572"/>
      <c r="E39" s="572"/>
    </row>
    <row r="40" spans="1:5" ht="12.75" customHeight="1" x14ac:dyDescent="0.2">
      <c r="A40" s="792"/>
      <c r="C40" s="572"/>
      <c r="D40" s="572"/>
      <c r="E40" s="572"/>
    </row>
    <row r="41" spans="1:5" ht="12.75" customHeight="1" x14ac:dyDescent="0.2">
      <c r="A41" s="792"/>
      <c r="C41" s="572"/>
      <c r="D41" s="572"/>
      <c r="E41" s="572"/>
    </row>
    <row r="42" spans="1:5" ht="12.75" customHeight="1" x14ac:dyDescent="0.2">
      <c r="A42" s="792"/>
      <c r="C42" s="572"/>
      <c r="D42" s="572"/>
      <c r="E42" s="572"/>
    </row>
    <row r="43" spans="1:5" ht="12.75" customHeight="1" x14ac:dyDescent="0.2">
      <c r="A43" s="792"/>
      <c r="C43" s="572"/>
      <c r="D43" s="572"/>
      <c r="E43" s="572"/>
    </row>
    <row r="44" spans="1:5" ht="12.75" customHeight="1" x14ac:dyDescent="0.2">
      <c r="A44" s="792"/>
      <c r="C44" s="572"/>
      <c r="D44" s="572"/>
      <c r="E44" s="572"/>
    </row>
    <row r="45" spans="1:5" ht="12.75" customHeight="1" x14ac:dyDescent="0.2">
      <c r="A45" s="792"/>
      <c r="C45" s="572"/>
      <c r="D45" s="572"/>
      <c r="E45" s="572"/>
    </row>
    <row r="46" spans="1:5" ht="12.75" customHeight="1" x14ac:dyDescent="0.2">
      <c r="A46" s="792"/>
      <c r="C46" s="572"/>
      <c r="D46" s="572"/>
      <c r="E46" s="572"/>
    </row>
    <row r="47" spans="1:5" ht="12.75" customHeight="1" x14ac:dyDescent="0.2">
      <c r="A47" s="792"/>
      <c r="C47" s="572"/>
      <c r="D47" s="572"/>
      <c r="E47" s="572"/>
    </row>
    <row r="48" spans="1:5" ht="12.75" customHeight="1" x14ac:dyDescent="0.2">
      <c r="A48" s="792"/>
      <c r="C48" s="572"/>
      <c r="D48" s="572"/>
      <c r="E48" s="572"/>
    </row>
    <row r="49" spans="1:5" ht="12.75" customHeight="1" x14ac:dyDescent="0.2">
      <c r="A49" s="792"/>
      <c r="C49" s="572"/>
      <c r="D49" s="572"/>
      <c r="E49" s="572"/>
    </row>
    <row r="50" spans="1:5" ht="12.75" customHeight="1" x14ac:dyDescent="0.2">
      <c r="A50" s="792"/>
      <c r="C50" s="572"/>
      <c r="D50" s="572"/>
      <c r="E50" s="572"/>
    </row>
    <row r="51" spans="1:5" ht="12.75" customHeight="1" x14ac:dyDescent="0.2">
      <c r="A51" s="792"/>
      <c r="C51" s="572"/>
      <c r="D51" s="572"/>
      <c r="E51" s="572"/>
    </row>
    <row r="52" spans="1:5" ht="12.75" customHeight="1" x14ac:dyDescent="0.2">
      <c r="A52" s="792"/>
      <c r="C52" s="572"/>
      <c r="D52" s="572"/>
      <c r="E52" s="572"/>
    </row>
    <row r="53" spans="1:5" ht="12.75" customHeight="1" x14ac:dyDescent="0.2">
      <c r="A53" s="792"/>
      <c r="C53" s="572"/>
      <c r="D53" s="572"/>
      <c r="E53" s="572"/>
    </row>
    <row r="54" spans="1:5" ht="12.75" customHeight="1" x14ac:dyDescent="0.2">
      <c r="A54" s="792"/>
      <c r="C54" s="572"/>
      <c r="D54" s="572"/>
      <c r="E54" s="572"/>
    </row>
    <row r="55" spans="1:5" ht="12.75" customHeight="1" x14ac:dyDescent="0.2">
      <c r="A55" s="792"/>
      <c r="C55" s="572"/>
      <c r="D55" s="572"/>
      <c r="E55" s="572"/>
    </row>
    <row r="56" spans="1:5" ht="12.75" customHeight="1" x14ac:dyDescent="0.2">
      <c r="A56" s="792"/>
      <c r="C56" s="572"/>
      <c r="D56" s="572"/>
      <c r="E56" s="572"/>
    </row>
    <row r="57" spans="1:5" ht="12.75" customHeight="1" x14ac:dyDescent="0.2">
      <c r="A57" s="792"/>
      <c r="C57" s="572"/>
      <c r="D57" s="572"/>
      <c r="E57" s="572"/>
    </row>
    <row r="58" spans="1:5" ht="12.75" customHeight="1" x14ac:dyDescent="0.2">
      <c r="A58" s="792"/>
      <c r="C58" s="572"/>
      <c r="D58" s="572"/>
      <c r="E58" s="572"/>
    </row>
    <row r="59" spans="1:5" ht="12.75" customHeight="1" x14ac:dyDescent="0.2">
      <c r="A59" s="792"/>
      <c r="C59" s="572"/>
      <c r="D59" s="572"/>
      <c r="E59" s="572"/>
    </row>
    <row r="60" spans="1:5" ht="12.75" customHeight="1" x14ac:dyDescent="0.2">
      <c r="A60" s="792"/>
      <c r="C60" s="572"/>
      <c r="D60" s="572"/>
      <c r="E60" s="572"/>
    </row>
    <row r="61" spans="1:5" ht="12.75" customHeight="1" x14ac:dyDescent="0.2">
      <c r="A61" s="792"/>
      <c r="C61" s="572"/>
      <c r="D61" s="572"/>
      <c r="E61" s="572"/>
    </row>
    <row r="62" spans="1:5" ht="12.75" customHeight="1" x14ac:dyDescent="0.2">
      <c r="A62" s="792"/>
      <c r="C62" s="572"/>
      <c r="D62" s="572"/>
      <c r="E62" s="572"/>
    </row>
    <row r="63" spans="1:5" ht="12.75" customHeight="1" x14ac:dyDescent="0.2">
      <c r="A63" s="792"/>
      <c r="C63" s="572"/>
      <c r="D63" s="572"/>
      <c r="E63" s="572"/>
    </row>
    <row r="64" spans="1:5" ht="12.75" customHeight="1" x14ac:dyDescent="0.2">
      <c r="A64" s="792"/>
      <c r="C64" s="572"/>
      <c r="D64" s="572"/>
      <c r="E64" s="572"/>
    </row>
    <row r="65" spans="1:5" ht="12.75" customHeight="1" x14ac:dyDescent="0.2">
      <c r="A65" s="792"/>
      <c r="C65" s="572"/>
      <c r="D65" s="572"/>
      <c r="E65" s="572"/>
    </row>
    <row r="66" spans="1:5" ht="12.75" customHeight="1" x14ac:dyDescent="0.2">
      <c r="A66" s="792"/>
      <c r="C66" s="572"/>
      <c r="D66" s="572"/>
      <c r="E66" s="572"/>
    </row>
    <row r="67" spans="1:5" ht="12.75" customHeight="1" x14ac:dyDescent="0.2">
      <c r="A67" s="792"/>
      <c r="C67" s="572"/>
      <c r="D67" s="572"/>
      <c r="E67" s="572"/>
    </row>
    <row r="68" spans="1:5" ht="12.75" customHeight="1" x14ac:dyDescent="0.2">
      <c r="C68" s="572"/>
      <c r="D68" s="572"/>
      <c r="E68" s="572"/>
    </row>
    <row r="69" spans="1:5" ht="12.75" customHeight="1" x14ac:dyDescent="0.2">
      <c r="C69" s="572"/>
      <c r="D69" s="572"/>
      <c r="E69" s="572"/>
    </row>
    <row r="70" spans="1:5" ht="12.75" customHeight="1" x14ac:dyDescent="0.2">
      <c r="C70" s="572"/>
      <c r="D70" s="572"/>
      <c r="E70" s="572"/>
    </row>
    <row r="71" spans="1:5" ht="12.75" customHeight="1" x14ac:dyDescent="0.2">
      <c r="C71" s="572"/>
      <c r="D71" s="572"/>
      <c r="E71" s="572"/>
    </row>
    <row r="72" spans="1:5" ht="12.75" customHeight="1" x14ac:dyDescent="0.2">
      <c r="C72" s="572"/>
      <c r="D72" s="572"/>
      <c r="E72" s="572"/>
    </row>
    <row r="73" spans="1:5" ht="12.75" customHeight="1" x14ac:dyDescent="0.2">
      <c r="C73" s="572"/>
      <c r="D73" s="572"/>
      <c r="E73" s="572"/>
    </row>
    <row r="74" spans="1:5" ht="12.75" customHeight="1" x14ac:dyDescent="0.2">
      <c r="C74" s="572"/>
      <c r="D74" s="572"/>
      <c r="E74" s="572"/>
    </row>
    <row r="75" spans="1:5" ht="12.75" customHeight="1" x14ac:dyDescent="0.2">
      <c r="C75" s="572"/>
      <c r="D75" s="572"/>
      <c r="E75" s="572"/>
    </row>
    <row r="76" spans="1:5" ht="12.75" customHeight="1" x14ac:dyDescent="0.2">
      <c r="C76" s="572"/>
      <c r="D76" s="572"/>
      <c r="E76" s="572"/>
    </row>
    <row r="77" spans="1:5" ht="12.75" customHeight="1" x14ac:dyDescent="0.2">
      <c r="C77" s="572"/>
      <c r="D77" s="572"/>
      <c r="E77" s="572"/>
    </row>
    <row r="78" spans="1:5" ht="12.75" customHeight="1" x14ac:dyDescent="0.2">
      <c r="C78" s="572"/>
      <c r="D78" s="572"/>
      <c r="E78" s="572"/>
    </row>
    <row r="79" spans="1:5" ht="12.75" customHeight="1" x14ac:dyDescent="0.2">
      <c r="C79" s="572"/>
      <c r="D79" s="572"/>
      <c r="E79" s="572"/>
    </row>
    <row r="80" spans="1:5" ht="12.75" customHeight="1" x14ac:dyDescent="0.2">
      <c r="C80" s="572"/>
      <c r="D80" s="572"/>
      <c r="E80" s="572"/>
    </row>
    <row r="81" spans="3:5" ht="12.75" customHeight="1" x14ac:dyDescent="0.2">
      <c r="C81" s="572"/>
      <c r="D81" s="572"/>
      <c r="E81" s="572"/>
    </row>
    <row r="82" spans="3:5" ht="12.75" customHeight="1" x14ac:dyDescent="0.2">
      <c r="C82" s="572"/>
      <c r="D82" s="572"/>
      <c r="E82" s="572"/>
    </row>
    <row r="83" spans="3:5" ht="12.75" customHeight="1" x14ac:dyDescent="0.2">
      <c r="C83" s="572"/>
      <c r="D83" s="572"/>
      <c r="E83" s="572"/>
    </row>
    <row r="84" spans="3:5" ht="12.75" customHeight="1" x14ac:dyDescent="0.2">
      <c r="C84" s="572"/>
      <c r="D84" s="572"/>
      <c r="E84" s="572"/>
    </row>
    <row r="85" spans="3:5" ht="12.75" customHeight="1" x14ac:dyDescent="0.2">
      <c r="C85" s="572"/>
      <c r="D85" s="572"/>
      <c r="E85" s="572"/>
    </row>
    <row r="86" spans="3:5" ht="12.75" customHeight="1" x14ac:dyDescent="0.2">
      <c r="C86" s="572"/>
      <c r="D86" s="572"/>
      <c r="E86" s="572"/>
    </row>
    <row r="87" spans="3:5" ht="12.75" customHeight="1" x14ac:dyDescent="0.2">
      <c r="C87" s="572"/>
      <c r="D87" s="572"/>
      <c r="E87" s="572"/>
    </row>
    <row r="88" spans="3:5" ht="12.75" customHeight="1" x14ac:dyDescent="0.2">
      <c r="C88" s="572"/>
      <c r="D88" s="572"/>
      <c r="E88" s="572"/>
    </row>
    <row r="89" spans="3:5" ht="12.75" customHeight="1" x14ac:dyDescent="0.2">
      <c r="C89" s="572"/>
      <c r="D89" s="572"/>
      <c r="E89" s="572"/>
    </row>
    <row r="90" spans="3:5" ht="12.75" customHeight="1" x14ac:dyDescent="0.2">
      <c r="C90" s="574"/>
      <c r="D90" s="574"/>
      <c r="E90" s="574"/>
    </row>
    <row r="91" spans="3:5" ht="12.75" customHeight="1" x14ac:dyDescent="0.2">
      <c r="C91" s="574"/>
      <c r="D91" s="574"/>
      <c r="E91" s="574"/>
    </row>
    <row r="92" spans="3:5" ht="12.75" customHeight="1" x14ac:dyDescent="0.2">
      <c r="C92" s="574"/>
      <c r="D92" s="574"/>
      <c r="E92" s="574"/>
    </row>
    <row r="93" spans="3:5" ht="12.75" customHeight="1" x14ac:dyDescent="0.2">
      <c r="C93" s="574"/>
      <c r="D93" s="574"/>
      <c r="E93" s="574"/>
    </row>
    <row r="94" spans="3:5" ht="12.75" customHeight="1" x14ac:dyDescent="0.2">
      <c r="C94" s="574"/>
      <c r="D94" s="574"/>
      <c r="E94" s="574"/>
    </row>
    <row r="95" spans="3:5" ht="12.75" customHeight="1" x14ac:dyDescent="0.2">
      <c r="C95" s="574"/>
      <c r="D95" s="574"/>
      <c r="E95" s="574"/>
    </row>
    <row r="96" spans="3:5" ht="12.75" customHeight="1" x14ac:dyDescent="0.2">
      <c r="C96" s="574"/>
      <c r="D96" s="574"/>
      <c r="E96" s="574"/>
    </row>
    <row r="97" spans="3:5" ht="12.75" customHeight="1" x14ac:dyDescent="0.2">
      <c r="C97" s="574"/>
      <c r="D97" s="574"/>
      <c r="E97" s="574"/>
    </row>
    <row r="98" spans="3:5" ht="12.75" customHeight="1" x14ac:dyDescent="0.2">
      <c r="C98" s="574"/>
      <c r="D98" s="574"/>
      <c r="E98" s="574"/>
    </row>
    <row r="99" spans="3:5" ht="12.75" customHeight="1" x14ac:dyDescent="0.2">
      <c r="C99" s="574"/>
      <c r="D99" s="574"/>
      <c r="E99" s="574"/>
    </row>
    <row r="100" spans="3:5" ht="12.75" customHeight="1" x14ac:dyDescent="0.2">
      <c r="C100" s="574"/>
      <c r="D100" s="574"/>
      <c r="E100" s="574"/>
    </row>
    <row r="101" spans="3:5" ht="12.75" customHeight="1" x14ac:dyDescent="0.2">
      <c r="C101" s="574"/>
      <c r="D101" s="574"/>
      <c r="E101" s="574"/>
    </row>
    <row r="102" spans="3:5" ht="12.75" customHeight="1" x14ac:dyDescent="0.2">
      <c r="C102" s="574"/>
      <c r="D102" s="574"/>
      <c r="E102" s="574"/>
    </row>
    <row r="103" spans="3:5" ht="12.75" customHeight="1" x14ac:dyDescent="0.2">
      <c r="C103" s="574"/>
      <c r="D103" s="574"/>
      <c r="E103" s="574"/>
    </row>
    <row r="104" spans="3:5" ht="12.75" customHeight="1" x14ac:dyDescent="0.2">
      <c r="C104" s="574"/>
      <c r="D104" s="574"/>
      <c r="E104" s="574"/>
    </row>
    <row r="105" spans="3:5" ht="12.75" customHeight="1" x14ac:dyDescent="0.2">
      <c r="C105" s="574"/>
      <c r="D105" s="574"/>
      <c r="E105" s="574"/>
    </row>
    <row r="106" spans="3:5" ht="12.75" customHeight="1" x14ac:dyDescent="0.2">
      <c r="C106" s="574"/>
      <c r="D106" s="574"/>
      <c r="E106" s="574"/>
    </row>
    <row r="107" spans="3:5" ht="12.75" customHeight="1" x14ac:dyDescent="0.2">
      <c r="C107" s="574"/>
      <c r="D107" s="574"/>
      <c r="E107" s="574"/>
    </row>
    <row r="108" spans="3:5" ht="12.75" customHeight="1" x14ac:dyDescent="0.2">
      <c r="C108" s="574"/>
      <c r="D108" s="574"/>
      <c r="E108" s="574"/>
    </row>
    <row r="109" spans="3:5" ht="12.75" customHeight="1" x14ac:dyDescent="0.2">
      <c r="C109" s="574"/>
      <c r="D109" s="574"/>
      <c r="E109" s="574"/>
    </row>
    <row r="110" spans="3:5" ht="12.75" customHeight="1" x14ac:dyDescent="0.2">
      <c r="C110" s="574"/>
      <c r="D110" s="574"/>
      <c r="E110" s="574"/>
    </row>
    <row r="111" spans="3:5" ht="12.75" customHeight="1" x14ac:dyDescent="0.2">
      <c r="C111" s="574"/>
      <c r="D111" s="574"/>
      <c r="E111" s="574"/>
    </row>
    <row r="112" spans="3:5" ht="12.75" customHeight="1" x14ac:dyDescent="0.2">
      <c r="C112" s="574"/>
      <c r="D112" s="574"/>
      <c r="E112" s="574"/>
    </row>
    <row r="113" spans="3:5" ht="12.75" customHeight="1" x14ac:dyDescent="0.2">
      <c r="C113" s="574"/>
      <c r="D113" s="574"/>
      <c r="E113" s="574"/>
    </row>
    <row r="114" spans="3:5" ht="12.75" customHeight="1" x14ac:dyDescent="0.2">
      <c r="C114" s="574"/>
      <c r="D114" s="574"/>
      <c r="E114" s="574"/>
    </row>
    <row r="115" spans="3:5" ht="12.75" customHeight="1" x14ac:dyDescent="0.2">
      <c r="C115" s="574"/>
      <c r="D115" s="574"/>
      <c r="E115" s="574"/>
    </row>
    <row r="116" spans="3:5" ht="12.75" customHeight="1" x14ac:dyDescent="0.2">
      <c r="C116" s="574"/>
      <c r="D116" s="574"/>
      <c r="E116" s="574"/>
    </row>
    <row r="117" spans="3:5" ht="12.75" customHeight="1" x14ac:dyDescent="0.2">
      <c r="C117" s="574"/>
      <c r="D117" s="574"/>
      <c r="E117" s="574"/>
    </row>
    <row r="118" spans="3:5" ht="12.75" customHeight="1" x14ac:dyDescent="0.2">
      <c r="C118" s="574"/>
      <c r="D118" s="574"/>
      <c r="E118" s="574"/>
    </row>
    <row r="119" spans="3:5" ht="12.75" customHeight="1" x14ac:dyDescent="0.2">
      <c r="C119" s="574"/>
      <c r="D119" s="574"/>
      <c r="E119" s="574"/>
    </row>
    <row r="120" spans="3:5" ht="12.75" customHeight="1" x14ac:dyDescent="0.2">
      <c r="C120" s="574"/>
      <c r="D120" s="574"/>
      <c r="E120" s="574"/>
    </row>
    <row r="121" spans="3:5" ht="12.75" customHeight="1" x14ac:dyDescent="0.2">
      <c r="C121" s="574"/>
      <c r="D121" s="574"/>
      <c r="E121" s="574"/>
    </row>
    <row r="122" spans="3:5" ht="12.75" customHeight="1" x14ac:dyDescent="0.2">
      <c r="C122" s="574"/>
      <c r="D122" s="574"/>
      <c r="E122" s="574"/>
    </row>
    <row r="123" spans="3:5" ht="12.75" customHeight="1" x14ac:dyDescent="0.2">
      <c r="C123" s="574"/>
      <c r="D123" s="574"/>
      <c r="E123" s="574"/>
    </row>
    <row r="124" spans="3:5" ht="12.75" customHeight="1" x14ac:dyDescent="0.2">
      <c r="C124" s="574"/>
      <c r="D124" s="574"/>
      <c r="E124" s="574"/>
    </row>
    <row r="125" spans="3:5" ht="12.75" customHeight="1" x14ac:dyDescent="0.2">
      <c r="C125" s="574"/>
      <c r="D125" s="574"/>
      <c r="E125" s="574"/>
    </row>
    <row r="126" spans="3:5" ht="12.75" customHeight="1" x14ac:dyDescent="0.2">
      <c r="C126" s="574"/>
      <c r="D126" s="574"/>
      <c r="E126" s="574"/>
    </row>
    <row r="127" spans="3:5" ht="12.75" customHeight="1" x14ac:dyDescent="0.2">
      <c r="C127" s="574"/>
      <c r="D127" s="574"/>
      <c r="E127" s="574"/>
    </row>
    <row r="128" spans="3:5" ht="12.75" customHeight="1" x14ac:dyDescent="0.2">
      <c r="C128" s="574"/>
      <c r="D128" s="574"/>
      <c r="E128" s="574"/>
    </row>
    <row r="129" spans="3:5" ht="12.75" customHeight="1" x14ac:dyDescent="0.2">
      <c r="C129" s="574"/>
      <c r="D129" s="574"/>
      <c r="E129" s="574"/>
    </row>
    <row r="130" spans="3:5" ht="12.75" customHeight="1" x14ac:dyDescent="0.2">
      <c r="C130" s="574"/>
      <c r="D130" s="574"/>
      <c r="E130" s="574"/>
    </row>
    <row r="131" spans="3:5" ht="12.75" customHeight="1" x14ac:dyDescent="0.2">
      <c r="C131" s="574"/>
      <c r="D131" s="574"/>
      <c r="E131" s="574"/>
    </row>
    <row r="132" spans="3:5" ht="12.75" customHeight="1" x14ac:dyDescent="0.2">
      <c r="C132" s="574"/>
      <c r="D132" s="574"/>
      <c r="E132" s="574"/>
    </row>
    <row r="133" spans="3:5" ht="12.75" customHeight="1" x14ac:dyDescent="0.2">
      <c r="C133" s="574"/>
      <c r="D133" s="574"/>
      <c r="E133" s="574"/>
    </row>
    <row r="134" spans="3:5" ht="12.75" customHeight="1" x14ac:dyDescent="0.2">
      <c r="C134" s="574"/>
      <c r="D134" s="574"/>
      <c r="E134" s="574"/>
    </row>
    <row r="135" spans="3:5" ht="12.75" customHeight="1" x14ac:dyDescent="0.2">
      <c r="C135" s="574"/>
      <c r="D135" s="574"/>
      <c r="E135" s="574"/>
    </row>
    <row r="136" spans="3:5" ht="12.75" customHeight="1" x14ac:dyDescent="0.2">
      <c r="C136" s="574"/>
      <c r="D136" s="574"/>
      <c r="E136" s="574"/>
    </row>
    <row r="137" spans="3:5" ht="12.75" customHeight="1" x14ac:dyDescent="0.2">
      <c r="C137" s="574"/>
      <c r="D137" s="574"/>
      <c r="E137" s="574"/>
    </row>
    <row r="138" spans="3:5" ht="12.75" customHeight="1" x14ac:dyDescent="0.2">
      <c r="C138" s="574"/>
      <c r="D138" s="574"/>
      <c r="E138" s="574"/>
    </row>
    <row r="139" spans="3:5" ht="12.75" customHeight="1" x14ac:dyDescent="0.2">
      <c r="C139" s="574"/>
      <c r="D139" s="574"/>
      <c r="E139" s="574"/>
    </row>
    <row r="140" spans="3:5" ht="12.75" customHeight="1" x14ac:dyDescent="0.2">
      <c r="C140" s="574"/>
      <c r="D140" s="574"/>
      <c r="E140" s="574"/>
    </row>
    <row r="141" spans="3:5" ht="12.75" customHeight="1" x14ac:dyDescent="0.2">
      <c r="C141" s="574"/>
      <c r="D141" s="574"/>
      <c r="E141" s="574"/>
    </row>
    <row r="142" spans="3:5" ht="12.75" customHeight="1" x14ac:dyDescent="0.2">
      <c r="C142" s="574"/>
      <c r="D142" s="574"/>
      <c r="E142" s="574"/>
    </row>
    <row r="143" spans="3:5" ht="12.75" customHeight="1" x14ac:dyDescent="0.2">
      <c r="C143" s="574"/>
      <c r="D143" s="574"/>
      <c r="E143" s="574"/>
    </row>
    <row r="144" spans="3:5" ht="12.75" customHeight="1" x14ac:dyDescent="0.2">
      <c r="C144" s="574"/>
      <c r="D144" s="574"/>
      <c r="E144" s="574"/>
    </row>
    <row r="145" spans="3:5" ht="12.75" customHeight="1" x14ac:dyDescent="0.2">
      <c r="C145" s="574"/>
      <c r="D145" s="574"/>
      <c r="E145" s="574"/>
    </row>
    <row r="146" spans="3:5" ht="12.75" customHeight="1" x14ac:dyDescent="0.2">
      <c r="C146" s="574"/>
      <c r="D146" s="574"/>
      <c r="E146" s="574"/>
    </row>
    <row r="147" spans="3:5" ht="12.75" customHeight="1" x14ac:dyDescent="0.2">
      <c r="C147" s="574"/>
      <c r="D147" s="574"/>
      <c r="E147" s="574"/>
    </row>
    <row r="148" spans="3:5" ht="12.75" customHeight="1" x14ac:dyDescent="0.2">
      <c r="C148" s="574"/>
      <c r="D148" s="574"/>
      <c r="E148" s="574"/>
    </row>
    <row r="149" spans="3:5" ht="12.75" customHeight="1" x14ac:dyDescent="0.2">
      <c r="C149" s="574"/>
      <c r="D149" s="574"/>
      <c r="E149" s="574"/>
    </row>
    <row r="150" spans="3:5" ht="12.75" customHeight="1" x14ac:dyDescent="0.2">
      <c r="C150" s="574"/>
      <c r="D150" s="574"/>
      <c r="E150" s="574"/>
    </row>
    <row r="151" spans="3:5" ht="12.75" customHeight="1" x14ac:dyDescent="0.2">
      <c r="C151" s="574"/>
      <c r="D151" s="574"/>
      <c r="E151" s="574"/>
    </row>
    <row r="152" spans="3:5" ht="12.75" customHeight="1" x14ac:dyDescent="0.2">
      <c r="C152" s="574"/>
      <c r="D152" s="574"/>
      <c r="E152" s="574"/>
    </row>
    <row r="153" spans="3:5" ht="12.75" customHeight="1" x14ac:dyDescent="0.2">
      <c r="C153" s="574"/>
      <c r="D153" s="574"/>
      <c r="E153" s="574"/>
    </row>
    <row r="154" spans="3:5" ht="12.75" customHeight="1" x14ac:dyDescent="0.2">
      <c r="C154" s="574"/>
      <c r="D154" s="574"/>
      <c r="E154" s="574"/>
    </row>
    <row r="155" spans="3:5" ht="12.75" customHeight="1" x14ac:dyDescent="0.2">
      <c r="C155" s="574"/>
      <c r="D155" s="574"/>
      <c r="E155" s="574"/>
    </row>
    <row r="156" spans="3:5" ht="12.75" customHeight="1" x14ac:dyDescent="0.2">
      <c r="C156" s="574"/>
      <c r="D156" s="574"/>
      <c r="E156" s="574"/>
    </row>
    <row r="157" spans="3:5" ht="12.75" customHeight="1" x14ac:dyDescent="0.2">
      <c r="C157" s="574"/>
      <c r="D157" s="574"/>
      <c r="E157" s="574"/>
    </row>
    <row r="158" spans="3:5" ht="12.75" customHeight="1" x14ac:dyDescent="0.2">
      <c r="C158" s="574"/>
      <c r="D158" s="574"/>
      <c r="E158" s="574"/>
    </row>
    <row r="159" spans="3:5" ht="12.75" customHeight="1" x14ac:dyDescent="0.2">
      <c r="C159" s="574"/>
      <c r="D159" s="574"/>
      <c r="E159" s="574"/>
    </row>
    <row r="160" spans="3:5" ht="12.75" customHeight="1" x14ac:dyDescent="0.2">
      <c r="C160" s="574"/>
      <c r="D160" s="574"/>
      <c r="E160" s="574"/>
    </row>
    <row r="161" spans="3:5" ht="12.75" customHeight="1" x14ac:dyDescent="0.2">
      <c r="C161" s="574"/>
      <c r="D161" s="574"/>
      <c r="E161" s="574"/>
    </row>
    <row r="162" spans="3:5" ht="12.75" customHeight="1" x14ac:dyDescent="0.2">
      <c r="C162" s="574"/>
      <c r="D162" s="574"/>
      <c r="E162" s="574"/>
    </row>
    <row r="163" spans="3:5" ht="12.75" customHeight="1" x14ac:dyDescent="0.2">
      <c r="C163" s="574"/>
      <c r="D163" s="574"/>
      <c r="E163" s="574"/>
    </row>
    <row r="164" spans="3:5" ht="12.75" customHeight="1" x14ac:dyDescent="0.2">
      <c r="C164" s="574"/>
      <c r="D164" s="574"/>
      <c r="E164" s="574"/>
    </row>
    <row r="165" spans="3:5" ht="12.75" customHeight="1" x14ac:dyDescent="0.2">
      <c r="C165" s="574"/>
      <c r="D165" s="574"/>
      <c r="E165" s="574"/>
    </row>
    <row r="166" spans="3:5" ht="12.75" customHeight="1" x14ac:dyDescent="0.2">
      <c r="C166" s="574"/>
      <c r="D166" s="574"/>
      <c r="E166" s="574"/>
    </row>
    <row r="167" spans="3:5" ht="12.75" customHeight="1" x14ac:dyDescent="0.2">
      <c r="C167" s="574"/>
      <c r="D167" s="574"/>
      <c r="E167" s="574"/>
    </row>
    <row r="168" spans="3:5" ht="12.75" customHeight="1" x14ac:dyDescent="0.2">
      <c r="C168" s="574"/>
      <c r="D168" s="574"/>
      <c r="E168" s="574"/>
    </row>
    <row r="169" spans="3:5" ht="12.75" customHeight="1" x14ac:dyDescent="0.2">
      <c r="C169" s="574"/>
      <c r="D169" s="574"/>
      <c r="E169" s="574"/>
    </row>
    <row r="170" spans="3:5" ht="12.75" customHeight="1" x14ac:dyDescent="0.2">
      <c r="C170" s="574"/>
      <c r="D170" s="574"/>
      <c r="E170" s="574"/>
    </row>
    <row r="171" spans="3:5" ht="12.75" customHeight="1" x14ac:dyDescent="0.2">
      <c r="C171" s="574"/>
      <c r="D171" s="574"/>
      <c r="E171" s="574"/>
    </row>
    <row r="172" spans="3:5" ht="12.75" customHeight="1" x14ac:dyDescent="0.2">
      <c r="C172" s="574"/>
      <c r="D172" s="574"/>
      <c r="E172" s="574"/>
    </row>
    <row r="173" spans="3:5" ht="12.75" customHeight="1" x14ac:dyDescent="0.2">
      <c r="C173" s="574"/>
      <c r="D173" s="574"/>
      <c r="E173" s="574"/>
    </row>
    <row r="174" spans="3:5" ht="12.75" customHeight="1" x14ac:dyDescent="0.2">
      <c r="C174" s="574"/>
      <c r="D174" s="574"/>
      <c r="E174" s="574"/>
    </row>
    <row r="175" spans="3:5" ht="12.75" customHeight="1" x14ac:dyDescent="0.2">
      <c r="C175" s="574"/>
      <c r="D175" s="574"/>
      <c r="E175" s="574"/>
    </row>
    <row r="176" spans="3:5" ht="12.75" customHeight="1" x14ac:dyDescent="0.2">
      <c r="C176" s="574"/>
      <c r="D176" s="574"/>
      <c r="E176" s="574"/>
    </row>
    <row r="177" spans="3:5" ht="12.75" customHeight="1" x14ac:dyDescent="0.2">
      <c r="C177" s="574"/>
      <c r="D177" s="574"/>
      <c r="E177" s="574"/>
    </row>
    <row r="178" spans="3:5" ht="12.75" customHeight="1" x14ac:dyDescent="0.2">
      <c r="C178" s="574"/>
      <c r="D178" s="574"/>
      <c r="E178" s="574"/>
    </row>
    <row r="179" spans="3:5" ht="12.75" customHeight="1" x14ac:dyDescent="0.2">
      <c r="C179" s="574"/>
      <c r="D179" s="574"/>
      <c r="E179" s="574"/>
    </row>
    <row r="180" spans="3:5" ht="12.75" customHeight="1" x14ac:dyDescent="0.2">
      <c r="C180" s="574"/>
      <c r="D180" s="574"/>
      <c r="E180" s="574"/>
    </row>
    <row r="181" spans="3:5" ht="12.75" customHeight="1" x14ac:dyDescent="0.2">
      <c r="C181" s="574"/>
      <c r="D181" s="574"/>
      <c r="E181" s="574"/>
    </row>
    <row r="182" spans="3:5" ht="12.75" customHeight="1" x14ac:dyDescent="0.2">
      <c r="C182" s="574"/>
      <c r="D182" s="574"/>
      <c r="E182" s="574"/>
    </row>
    <row r="183" spans="3:5" ht="12.75" customHeight="1" x14ac:dyDescent="0.2">
      <c r="C183" s="574"/>
      <c r="D183" s="574"/>
      <c r="E183" s="574"/>
    </row>
    <row r="184" spans="3:5" ht="12.75" customHeight="1" x14ac:dyDescent="0.2">
      <c r="C184" s="574"/>
      <c r="D184" s="574"/>
      <c r="E184" s="574"/>
    </row>
    <row r="185" spans="3:5" ht="12.75" customHeight="1" x14ac:dyDescent="0.2">
      <c r="C185" s="574"/>
      <c r="D185" s="574"/>
      <c r="E185" s="574"/>
    </row>
    <row r="186" spans="3:5" ht="12.75" customHeight="1" x14ac:dyDescent="0.2">
      <c r="C186" s="574"/>
      <c r="D186" s="574"/>
      <c r="E186" s="574"/>
    </row>
    <row r="187" spans="3:5" ht="12.75" customHeight="1" x14ac:dyDescent="0.2">
      <c r="C187" s="574"/>
      <c r="D187" s="574"/>
      <c r="E187" s="574"/>
    </row>
    <row r="188" spans="3:5" ht="12.75" customHeight="1" x14ac:dyDescent="0.2">
      <c r="C188" s="574"/>
      <c r="D188" s="574"/>
      <c r="E188" s="574"/>
    </row>
    <row r="189" spans="3:5" ht="12.75" customHeight="1" x14ac:dyDescent="0.2">
      <c r="C189" s="574"/>
      <c r="D189" s="574"/>
      <c r="E189" s="574"/>
    </row>
    <row r="190" spans="3:5" ht="12.75" customHeight="1" x14ac:dyDescent="0.2">
      <c r="C190" s="574"/>
      <c r="D190" s="574"/>
      <c r="E190" s="574"/>
    </row>
    <row r="191" spans="3:5" ht="12.75" customHeight="1" x14ac:dyDescent="0.2">
      <c r="C191" s="574"/>
      <c r="D191" s="574"/>
      <c r="E191" s="574"/>
    </row>
    <row r="192" spans="3:5" ht="12.75" customHeight="1" x14ac:dyDescent="0.2">
      <c r="C192" s="574"/>
      <c r="D192" s="574"/>
      <c r="E192" s="574"/>
    </row>
    <row r="193" spans="3:5" ht="12.75" customHeight="1" x14ac:dyDescent="0.2">
      <c r="C193" s="574"/>
      <c r="D193" s="574"/>
      <c r="E193" s="574"/>
    </row>
    <row r="194" spans="3:5" ht="12.75" customHeight="1" x14ac:dyDescent="0.2">
      <c r="C194" s="574"/>
      <c r="D194" s="574"/>
      <c r="E194" s="574"/>
    </row>
    <row r="195" spans="3:5" ht="12.75" customHeight="1" x14ac:dyDescent="0.2">
      <c r="C195" s="574"/>
      <c r="D195" s="574"/>
      <c r="E195" s="574"/>
    </row>
    <row r="196" spans="3:5" ht="12.75" customHeight="1" x14ac:dyDescent="0.2">
      <c r="C196" s="574"/>
      <c r="D196" s="574"/>
      <c r="E196" s="574"/>
    </row>
    <row r="197" spans="3:5" ht="12.75" customHeight="1" x14ac:dyDescent="0.2">
      <c r="C197" s="574"/>
      <c r="D197" s="574"/>
      <c r="E197" s="574"/>
    </row>
    <row r="198" spans="3:5" ht="12.75" customHeight="1" x14ac:dyDescent="0.2">
      <c r="C198" s="574"/>
      <c r="D198" s="574"/>
      <c r="E198" s="574"/>
    </row>
    <row r="199" spans="3:5" ht="12.75" customHeight="1" x14ac:dyDescent="0.2">
      <c r="C199" s="574"/>
      <c r="D199" s="574"/>
      <c r="E199" s="574"/>
    </row>
    <row r="200" spans="3:5" ht="12.75" customHeight="1" x14ac:dyDescent="0.2">
      <c r="C200" s="574"/>
      <c r="D200" s="574"/>
      <c r="E200" s="574"/>
    </row>
    <row r="201" spans="3:5" ht="12.75" customHeight="1" x14ac:dyDescent="0.2">
      <c r="C201" s="574"/>
      <c r="D201" s="574"/>
      <c r="E201" s="574"/>
    </row>
    <row r="202" spans="3:5" ht="12.75" customHeight="1" x14ac:dyDescent="0.2">
      <c r="C202" s="574"/>
      <c r="D202" s="574"/>
      <c r="E202" s="574"/>
    </row>
    <row r="203" spans="3:5" ht="12.75" customHeight="1" x14ac:dyDescent="0.2">
      <c r="C203" s="574"/>
      <c r="D203" s="574"/>
      <c r="E203" s="574"/>
    </row>
    <row r="204" spans="3:5" ht="12.75" customHeight="1" x14ac:dyDescent="0.2">
      <c r="C204" s="574"/>
      <c r="D204" s="574"/>
      <c r="E204" s="574"/>
    </row>
    <row r="205" spans="3:5" ht="12.75" customHeight="1" x14ac:dyDescent="0.2">
      <c r="C205" s="574"/>
      <c r="D205" s="574"/>
      <c r="E205" s="574"/>
    </row>
    <row r="206" spans="3:5" ht="12.75" customHeight="1" x14ac:dyDescent="0.2">
      <c r="C206" s="574"/>
      <c r="D206" s="574"/>
      <c r="E206" s="574"/>
    </row>
    <row r="207" spans="3:5" ht="12.75" customHeight="1" x14ac:dyDescent="0.2">
      <c r="C207" s="574"/>
      <c r="D207" s="574"/>
      <c r="E207" s="574"/>
    </row>
    <row r="208" spans="3:5" ht="12.75" customHeight="1" x14ac:dyDescent="0.2">
      <c r="C208" s="574"/>
      <c r="D208" s="574"/>
      <c r="E208" s="574"/>
    </row>
    <row r="209" spans="3:5" ht="12.75" customHeight="1" x14ac:dyDescent="0.2">
      <c r="C209" s="574"/>
      <c r="D209" s="574"/>
      <c r="E209" s="574"/>
    </row>
    <row r="210" spans="3:5" ht="12.75" customHeight="1" x14ac:dyDescent="0.2">
      <c r="C210" s="574"/>
      <c r="D210" s="574"/>
      <c r="E210" s="574"/>
    </row>
    <row r="211" spans="3:5" ht="12.75" customHeight="1" x14ac:dyDescent="0.2">
      <c r="C211" s="574"/>
      <c r="D211" s="574"/>
      <c r="E211" s="574"/>
    </row>
    <row r="212" spans="3:5" ht="12.75" customHeight="1" x14ac:dyDescent="0.2">
      <c r="C212" s="574"/>
      <c r="D212" s="574"/>
      <c r="E212" s="574"/>
    </row>
    <row r="213" spans="3:5" ht="12.75" customHeight="1" x14ac:dyDescent="0.2">
      <c r="C213" s="574"/>
      <c r="D213" s="574"/>
      <c r="E213" s="574"/>
    </row>
    <row r="214" spans="3:5" ht="12.75" customHeight="1" x14ac:dyDescent="0.2">
      <c r="C214" s="574"/>
      <c r="D214" s="574"/>
      <c r="E214" s="574"/>
    </row>
    <row r="215" spans="3:5" ht="12.75" customHeight="1" x14ac:dyDescent="0.2">
      <c r="C215" s="574"/>
      <c r="D215" s="574"/>
      <c r="E215" s="574"/>
    </row>
    <row r="216" spans="3:5" ht="12.75" customHeight="1" x14ac:dyDescent="0.2">
      <c r="C216" s="574"/>
      <c r="D216" s="574"/>
      <c r="E216" s="574"/>
    </row>
    <row r="217" spans="3:5" ht="12.75" customHeight="1" x14ac:dyDescent="0.2">
      <c r="C217" s="574"/>
      <c r="D217" s="574"/>
      <c r="E217" s="574"/>
    </row>
    <row r="218" spans="3:5" ht="12.75" customHeight="1" x14ac:dyDescent="0.2">
      <c r="C218" s="574"/>
      <c r="D218" s="574"/>
      <c r="E218" s="574"/>
    </row>
    <row r="219" spans="3:5" ht="12.75" customHeight="1" x14ac:dyDescent="0.2">
      <c r="C219" s="574"/>
      <c r="D219" s="574"/>
      <c r="E219" s="574"/>
    </row>
    <row r="220" spans="3:5" ht="12.75" customHeight="1" x14ac:dyDescent="0.2">
      <c r="C220" s="574"/>
      <c r="D220" s="574"/>
      <c r="E220" s="574"/>
    </row>
    <row r="221" spans="3:5" ht="12.75" customHeight="1" x14ac:dyDescent="0.2">
      <c r="C221" s="574"/>
      <c r="D221" s="574"/>
      <c r="E221" s="574"/>
    </row>
    <row r="222" spans="3:5" ht="12.75" customHeight="1" x14ac:dyDescent="0.2">
      <c r="C222" s="574"/>
      <c r="D222" s="574"/>
      <c r="E222" s="574"/>
    </row>
    <row r="223" spans="3:5" ht="12.75" customHeight="1" x14ac:dyDescent="0.2">
      <c r="C223" s="574"/>
      <c r="D223" s="574"/>
      <c r="E223" s="574"/>
    </row>
    <row r="224" spans="3:5" ht="12.75" customHeight="1" x14ac:dyDescent="0.2">
      <c r="C224" s="574"/>
      <c r="D224" s="574"/>
      <c r="E224" s="574"/>
    </row>
    <row r="225" spans="3:5" ht="12.75" customHeight="1" x14ac:dyDescent="0.2">
      <c r="C225" s="574"/>
      <c r="D225" s="574"/>
      <c r="E225" s="574"/>
    </row>
    <row r="226" spans="3:5" ht="12.75" customHeight="1" x14ac:dyDescent="0.2">
      <c r="C226" s="574"/>
      <c r="D226" s="574"/>
      <c r="E226" s="574"/>
    </row>
    <row r="227" spans="3:5" ht="12.75" customHeight="1" x14ac:dyDescent="0.2">
      <c r="C227" s="574"/>
      <c r="D227" s="574"/>
      <c r="E227" s="574"/>
    </row>
    <row r="228" spans="3:5" ht="12.75" customHeight="1" x14ac:dyDescent="0.2">
      <c r="C228" s="574"/>
      <c r="D228" s="574"/>
      <c r="E228" s="574"/>
    </row>
    <row r="229" spans="3:5" ht="12.75" customHeight="1" x14ac:dyDescent="0.2">
      <c r="C229" s="574"/>
      <c r="D229" s="574"/>
      <c r="E229" s="574"/>
    </row>
    <row r="230" spans="3:5" ht="12.75" customHeight="1" x14ac:dyDescent="0.2">
      <c r="C230" s="574"/>
      <c r="D230" s="574"/>
      <c r="E230" s="574"/>
    </row>
    <row r="231" spans="3:5" ht="12.75" customHeight="1" x14ac:dyDescent="0.2">
      <c r="C231" s="574"/>
      <c r="D231" s="574"/>
      <c r="E231" s="574"/>
    </row>
    <row r="232" spans="3:5" ht="12.75" customHeight="1" x14ac:dyDescent="0.2">
      <c r="C232" s="574"/>
      <c r="D232" s="574"/>
      <c r="E232" s="574"/>
    </row>
    <row r="233" spans="3:5" ht="12.75" customHeight="1" x14ac:dyDescent="0.2">
      <c r="C233" s="574"/>
      <c r="D233" s="574"/>
      <c r="E233" s="574"/>
    </row>
    <row r="234" spans="3:5" ht="12.75" customHeight="1" x14ac:dyDescent="0.2">
      <c r="C234" s="574"/>
      <c r="D234" s="574"/>
      <c r="E234" s="574"/>
    </row>
    <row r="235" spans="3:5" ht="12.75" customHeight="1" x14ac:dyDescent="0.2">
      <c r="C235" s="574"/>
      <c r="D235" s="574"/>
      <c r="E235" s="574"/>
    </row>
    <row r="236" spans="3:5" ht="12.75" customHeight="1" x14ac:dyDescent="0.2">
      <c r="C236" s="574"/>
      <c r="D236" s="574"/>
      <c r="E236" s="574"/>
    </row>
    <row r="237" spans="3:5" ht="12.75" customHeight="1" x14ac:dyDescent="0.2">
      <c r="C237" s="574"/>
      <c r="D237" s="574"/>
      <c r="E237" s="574"/>
    </row>
    <row r="238" spans="3:5" ht="12.75" customHeight="1" x14ac:dyDescent="0.2">
      <c r="C238" s="574"/>
      <c r="D238" s="574"/>
      <c r="E238" s="574"/>
    </row>
    <row r="239" spans="3:5" ht="12.75" customHeight="1" x14ac:dyDescent="0.2">
      <c r="C239" s="574"/>
      <c r="D239" s="574"/>
      <c r="E239" s="574"/>
    </row>
    <row r="240" spans="3:5" ht="12.75" customHeight="1" x14ac:dyDescent="0.2">
      <c r="C240" s="574"/>
      <c r="D240" s="574"/>
      <c r="E240" s="574"/>
    </row>
    <row r="241" spans="3:5" ht="12.75" customHeight="1" x14ac:dyDescent="0.2">
      <c r="C241" s="574"/>
      <c r="D241" s="574"/>
      <c r="E241" s="574"/>
    </row>
    <row r="242" spans="3:5" ht="12.75" customHeight="1" x14ac:dyDescent="0.2">
      <c r="C242" s="574"/>
      <c r="D242" s="574"/>
      <c r="E242" s="574"/>
    </row>
    <row r="243" spans="3:5" ht="12.75" customHeight="1" x14ac:dyDescent="0.2">
      <c r="C243" s="574"/>
      <c r="D243" s="574"/>
      <c r="E243" s="574"/>
    </row>
    <row r="244" spans="3:5" ht="12.75" customHeight="1" x14ac:dyDescent="0.2">
      <c r="C244" s="574"/>
      <c r="D244" s="574"/>
      <c r="E244" s="574"/>
    </row>
    <row r="245" spans="3:5" ht="12.75" customHeight="1" x14ac:dyDescent="0.2">
      <c r="C245" s="574"/>
      <c r="D245" s="574"/>
      <c r="E245" s="574"/>
    </row>
    <row r="246" spans="3:5" ht="12.75" customHeight="1" x14ac:dyDescent="0.2">
      <c r="C246" s="574"/>
      <c r="D246" s="574"/>
      <c r="E246" s="574"/>
    </row>
    <row r="247" spans="3:5" ht="12.75" customHeight="1" x14ac:dyDescent="0.2">
      <c r="C247" s="574"/>
      <c r="D247" s="574"/>
      <c r="E247" s="574"/>
    </row>
    <row r="248" spans="3:5" ht="12.75" customHeight="1" x14ac:dyDescent="0.2">
      <c r="C248" s="574"/>
      <c r="D248" s="574"/>
      <c r="E248" s="574"/>
    </row>
    <row r="249" spans="3:5" ht="12.75" customHeight="1" x14ac:dyDescent="0.2">
      <c r="C249" s="574"/>
      <c r="D249" s="574"/>
      <c r="E249" s="574"/>
    </row>
    <row r="250" spans="3:5" ht="12.75" customHeight="1" x14ac:dyDescent="0.2">
      <c r="C250" s="574"/>
      <c r="D250" s="574"/>
      <c r="E250" s="574"/>
    </row>
    <row r="251" spans="3:5" ht="12.75" customHeight="1" x14ac:dyDescent="0.2">
      <c r="C251" s="574"/>
      <c r="D251" s="574"/>
      <c r="E251" s="574"/>
    </row>
    <row r="252" spans="3:5" ht="12.75" customHeight="1" x14ac:dyDescent="0.2">
      <c r="C252" s="574"/>
      <c r="D252" s="574"/>
      <c r="E252" s="574"/>
    </row>
    <row r="253" spans="3:5" ht="12.75" customHeight="1" x14ac:dyDescent="0.2">
      <c r="C253" s="574"/>
      <c r="D253" s="574"/>
      <c r="E253" s="574"/>
    </row>
    <row r="254" spans="3:5" ht="12.75" customHeight="1" x14ac:dyDescent="0.2">
      <c r="C254" s="574"/>
      <c r="D254" s="574"/>
      <c r="E254" s="574"/>
    </row>
    <row r="255" spans="3:5" ht="12.75" customHeight="1" x14ac:dyDescent="0.2">
      <c r="C255" s="574"/>
      <c r="D255" s="574"/>
      <c r="E255" s="574"/>
    </row>
    <row r="256" spans="3:5" ht="12.75" customHeight="1" x14ac:dyDescent="0.2">
      <c r="C256" s="574"/>
      <c r="D256" s="574"/>
      <c r="E256" s="574"/>
    </row>
    <row r="257" spans="3:5" ht="12.75" customHeight="1" x14ac:dyDescent="0.2">
      <c r="C257" s="574"/>
      <c r="D257" s="574"/>
      <c r="E257" s="574"/>
    </row>
    <row r="258" spans="3:5" ht="12.75" customHeight="1" x14ac:dyDescent="0.2">
      <c r="C258" s="574"/>
      <c r="D258" s="574"/>
      <c r="E258" s="574"/>
    </row>
    <row r="259" spans="3:5" ht="12.75" customHeight="1" x14ac:dyDescent="0.2">
      <c r="C259" s="574"/>
      <c r="D259" s="574"/>
      <c r="E259" s="574"/>
    </row>
    <row r="260" spans="3:5" ht="12.75" customHeight="1" x14ac:dyDescent="0.2">
      <c r="C260" s="574"/>
      <c r="D260" s="574"/>
      <c r="E260" s="574"/>
    </row>
    <row r="261" spans="3:5" ht="12.75" customHeight="1" x14ac:dyDescent="0.2">
      <c r="C261" s="574"/>
      <c r="D261" s="574"/>
      <c r="E261" s="574"/>
    </row>
    <row r="262" spans="3:5" ht="12.75" customHeight="1" x14ac:dyDescent="0.2">
      <c r="C262" s="574"/>
      <c r="D262" s="574"/>
      <c r="E262" s="574"/>
    </row>
    <row r="263" spans="3:5" ht="12.75" customHeight="1" x14ac:dyDescent="0.2">
      <c r="C263" s="574"/>
      <c r="D263" s="574"/>
      <c r="E263" s="574"/>
    </row>
    <row r="264" spans="3:5" ht="12.75" customHeight="1" x14ac:dyDescent="0.2">
      <c r="C264" s="574"/>
      <c r="D264" s="574"/>
      <c r="E264" s="574"/>
    </row>
    <row r="265" spans="3:5" ht="12.75" customHeight="1" x14ac:dyDescent="0.2">
      <c r="C265" s="574"/>
      <c r="D265" s="574"/>
      <c r="E265" s="574"/>
    </row>
    <row r="266" spans="3:5" ht="12.75" customHeight="1" x14ac:dyDescent="0.2">
      <c r="C266" s="574"/>
      <c r="D266" s="574"/>
      <c r="E266" s="574"/>
    </row>
    <row r="267" spans="3:5" ht="12.75" customHeight="1" x14ac:dyDescent="0.2">
      <c r="C267" s="574"/>
      <c r="D267" s="574"/>
      <c r="E267" s="574"/>
    </row>
    <row r="268" spans="3:5" ht="12.75" customHeight="1" x14ac:dyDescent="0.2">
      <c r="C268" s="574"/>
      <c r="D268" s="574"/>
      <c r="E268" s="574"/>
    </row>
    <row r="269" spans="3:5" ht="12.75" customHeight="1" x14ac:dyDescent="0.2">
      <c r="C269" s="574"/>
      <c r="D269" s="574"/>
      <c r="E269" s="574"/>
    </row>
    <row r="270" spans="3:5" ht="12.75" customHeight="1" x14ac:dyDescent="0.2">
      <c r="C270" s="574"/>
      <c r="D270" s="574"/>
      <c r="E270" s="574"/>
    </row>
    <row r="271" spans="3:5" ht="12.75" customHeight="1" x14ac:dyDescent="0.2">
      <c r="C271" s="574"/>
      <c r="D271" s="574"/>
      <c r="E271" s="574"/>
    </row>
    <row r="272" spans="3:5" ht="12.75" customHeight="1" x14ac:dyDescent="0.2">
      <c r="C272" s="574"/>
      <c r="D272" s="574"/>
      <c r="E272" s="574"/>
    </row>
    <row r="273" spans="3:5" ht="12.75" customHeight="1" x14ac:dyDescent="0.2">
      <c r="C273" s="574"/>
      <c r="D273" s="574"/>
      <c r="E273" s="574"/>
    </row>
    <row r="274" spans="3:5" ht="12.75" customHeight="1" x14ac:dyDescent="0.2">
      <c r="C274" s="574"/>
      <c r="D274" s="574"/>
      <c r="E274" s="574"/>
    </row>
    <row r="275" spans="3:5" ht="12.75" customHeight="1" x14ac:dyDescent="0.2">
      <c r="C275" s="574"/>
      <c r="D275" s="574"/>
      <c r="E275" s="574"/>
    </row>
    <row r="276" spans="3:5" ht="12.75" customHeight="1" x14ac:dyDescent="0.2">
      <c r="C276" s="574"/>
      <c r="D276" s="574"/>
      <c r="E276" s="574"/>
    </row>
    <row r="277" spans="3:5" ht="12.75" customHeight="1" x14ac:dyDescent="0.2">
      <c r="C277" s="574"/>
      <c r="D277" s="574"/>
      <c r="E277" s="574"/>
    </row>
    <row r="278" spans="3:5" ht="12.75" customHeight="1" x14ac:dyDescent="0.2">
      <c r="C278" s="574"/>
      <c r="D278" s="574"/>
      <c r="E278" s="574"/>
    </row>
    <row r="279" spans="3:5" ht="12.75" customHeight="1" x14ac:dyDescent="0.2">
      <c r="C279" s="574"/>
      <c r="D279" s="574"/>
      <c r="E279" s="574"/>
    </row>
    <row r="280" spans="3:5" ht="12.75" customHeight="1" x14ac:dyDescent="0.2">
      <c r="C280" s="574"/>
      <c r="D280" s="574"/>
      <c r="E280" s="574"/>
    </row>
    <row r="281" spans="3:5" ht="12.75" customHeight="1" x14ac:dyDescent="0.2">
      <c r="C281" s="574"/>
      <c r="D281" s="574"/>
      <c r="E281" s="574"/>
    </row>
    <row r="282" spans="3:5" ht="12.75" customHeight="1" x14ac:dyDescent="0.2">
      <c r="C282" s="574"/>
      <c r="D282" s="574"/>
      <c r="E282" s="574"/>
    </row>
    <row r="283" spans="3:5" ht="12.75" customHeight="1" x14ac:dyDescent="0.2">
      <c r="C283" s="574"/>
      <c r="D283" s="574"/>
      <c r="E283" s="574"/>
    </row>
    <row r="284" spans="3:5" ht="12.75" customHeight="1" x14ac:dyDescent="0.2">
      <c r="C284" s="574"/>
      <c r="D284" s="574"/>
      <c r="E284" s="574"/>
    </row>
    <row r="285" spans="3:5" ht="12.75" customHeight="1" x14ac:dyDescent="0.2">
      <c r="C285" s="574"/>
      <c r="D285" s="574"/>
      <c r="E285" s="574"/>
    </row>
    <row r="286" spans="3:5" ht="12.75" customHeight="1" x14ac:dyDescent="0.2">
      <c r="C286" s="574"/>
      <c r="D286" s="574"/>
      <c r="E286" s="574"/>
    </row>
    <row r="287" spans="3:5" ht="12.75" customHeight="1" x14ac:dyDescent="0.2">
      <c r="C287" s="574"/>
      <c r="D287" s="574"/>
      <c r="E287" s="574"/>
    </row>
    <row r="288" spans="3:5" ht="12.75" customHeight="1" x14ac:dyDescent="0.2">
      <c r="C288" s="574"/>
      <c r="D288" s="574"/>
      <c r="E288" s="574"/>
    </row>
    <row r="289" spans="3:5" ht="12.75" customHeight="1" x14ac:dyDescent="0.2">
      <c r="C289" s="574"/>
      <c r="D289" s="574"/>
      <c r="E289" s="574"/>
    </row>
    <row r="290" spans="3:5" ht="12.75" customHeight="1" x14ac:dyDescent="0.2">
      <c r="C290" s="574"/>
      <c r="D290" s="574"/>
      <c r="E290" s="574"/>
    </row>
    <row r="291" spans="3:5" ht="12.75" customHeight="1" x14ac:dyDescent="0.2">
      <c r="C291" s="574"/>
      <c r="D291" s="574"/>
      <c r="E291" s="574"/>
    </row>
    <row r="292" spans="3:5" ht="12.75" customHeight="1" x14ac:dyDescent="0.2">
      <c r="C292" s="574"/>
      <c r="D292" s="574"/>
      <c r="E292" s="574"/>
    </row>
    <row r="293" spans="3:5" ht="12.75" customHeight="1" x14ac:dyDescent="0.2">
      <c r="C293" s="574"/>
      <c r="D293" s="574"/>
      <c r="E293" s="574"/>
    </row>
    <row r="294" spans="3:5" ht="12.75" customHeight="1" x14ac:dyDescent="0.2">
      <c r="C294" s="574"/>
      <c r="D294" s="574"/>
      <c r="E294" s="574"/>
    </row>
    <row r="295" spans="3:5" ht="12.75" customHeight="1" x14ac:dyDescent="0.2">
      <c r="C295" s="574"/>
      <c r="D295" s="574"/>
      <c r="E295" s="574"/>
    </row>
  </sheetData>
  <mergeCells count="5">
    <mergeCell ref="A5:E5"/>
    <mergeCell ref="A1:E1"/>
    <mergeCell ref="A2:E2"/>
    <mergeCell ref="A3:E3"/>
    <mergeCell ref="A4:E4"/>
  </mergeCells>
  <phoneticPr fontId="3" type="noConversion"/>
  <printOptions horizontalCentered="1"/>
  <pageMargins left="0.25" right="0.25" top="1" bottom="0.25" header="0.5" footer="0.5"/>
  <pageSetup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8"/>
  <sheetViews>
    <sheetView workbookViewId="0">
      <selection activeCell="F43" sqref="F43"/>
    </sheetView>
  </sheetViews>
  <sheetFormatPr defaultColWidth="10.6640625" defaultRowHeight="12.75" x14ac:dyDescent="0.2"/>
  <cols>
    <col min="1" max="1" width="5.83203125" style="563" bestFit="1" customWidth="1"/>
    <col min="2" max="2" width="9.1640625" style="563" customWidth="1"/>
    <col min="3" max="3" width="64" style="563" customWidth="1"/>
    <col min="4" max="4" width="6.1640625" style="563" hidden="1" customWidth="1"/>
    <col min="5" max="5" width="16.33203125" style="563" customWidth="1"/>
    <col min="6" max="6" width="3.33203125" style="563" customWidth="1"/>
    <col min="7" max="8" width="13.33203125" style="563" customWidth="1"/>
    <col min="9" max="9" width="12.5" style="563" bestFit="1" customWidth="1"/>
    <col min="10" max="10" width="13.83203125" style="563" bestFit="1" customWidth="1"/>
    <col min="11" max="11" width="3.6640625" style="563" bestFit="1" customWidth="1"/>
    <col min="12" max="12" width="13.83203125" style="563" bestFit="1" customWidth="1"/>
    <col min="13" max="13" width="11.83203125" style="563" bestFit="1" customWidth="1"/>
    <col min="14" max="16384" width="10.6640625" style="563"/>
  </cols>
  <sheetData>
    <row r="1" spans="1:8" ht="12.75" customHeight="1" x14ac:dyDescent="0.2">
      <c r="A1" s="1449" t="s">
        <v>477</v>
      </c>
      <c r="B1" s="1449"/>
      <c r="C1" s="1449"/>
      <c r="D1" s="1449"/>
      <c r="E1" s="1449"/>
      <c r="F1" s="1449"/>
      <c r="G1" s="1449"/>
      <c r="H1" s="1449"/>
    </row>
    <row r="2" spans="1:8" ht="12.75" customHeight="1" x14ac:dyDescent="0.2">
      <c r="A2" s="1449" t="str">
        <f>+Input!C4</f>
        <v>CASE NO. 2017-xxxxx</v>
      </c>
      <c r="B2" s="1449"/>
      <c r="C2" s="1449"/>
      <c r="D2" s="1449"/>
      <c r="E2" s="1449"/>
      <c r="F2" s="1449"/>
      <c r="G2" s="1449"/>
      <c r="H2" s="1449"/>
    </row>
    <row r="3" spans="1:8" ht="12.75" customHeight="1" x14ac:dyDescent="0.2">
      <c r="A3" s="1449" t="s">
        <v>1500</v>
      </c>
      <c r="B3" s="1449"/>
      <c r="C3" s="1449"/>
      <c r="D3" s="1449"/>
      <c r="E3" s="1449"/>
      <c r="F3" s="1449"/>
      <c r="G3" s="1449"/>
      <c r="H3" s="1449"/>
    </row>
    <row r="4" spans="1:8" ht="12.75" customHeight="1" x14ac:dyDescent="0.2">
      <c r="A4" s="1450" t="s">
        <v>1141</v>
      </c>
      <c r="B4" s="1450"/>
      <c r="C4" s="1450"/>
      <c r="D4" s="1450"/>
      <c r="E4" s="1450"/>
      <c r="F4" s="1450"/>
      <c r="G4" s="1450"/>
      <c r="H4" s="1450"/>
    </row>
    <row r="5" spans="1:8" ht="12.75" customHeight="1" x14ac:dyDescent="0.2">
      <c r="A5" s="1449" t="str">
        <f>+Input!C6</f>
        <v>TWELVE MONTHS ENDED DECEMBER 31, 2017</v>
      </c>
      <c r="B5" s="1449"/>
      <c r="C5" s="1449"/>
      <c r="D5" s="1449"/>
      <c r="E5" s="1449"/>
      <c r="F5" s="1449"/>
      <c r="G5" s="1449"/>
      <c r="H5" s="1449"/>
    </row>
    <row r="6" spans="1:8" ht="12.75" customHeight="1" x14ac:dyDescent="0.2"/>
    <row r="7" spans="1:8" ht="12.75" customHeight="1" x14ac:dyDescent="0.2"/>
    <row r="8" spans="1:8" ht="12.75" customHeight="1" x14ac:dyDescent="0.2">
      <c r="A8" s="564" t="s">
        <v>839</v>
      </c>
      <c r="H8" s="566" t="s">
        <v>1140</v>
      </c>
    </row>
    <row r="9" spans="1:8" ht="12.75" customHeight="1" x14ac:dyDescent="0.2">
      <c r="A9" s="564" t="s">
        <v>490</v>
      </c>
      <c r="H9" s="566" t="s">
        <v>491</v>
      </c>
    </row>
    <row r="10" spans="1:8" ht="12.75" customHeight="1" x14ac:dyDescent="0.2">
      <c r="A10" s="567" t="s">
        <v>214</v>
      </c>
      <c r="B10" s="568"/>
      <c r="C10" s="568"/>
      <c r="D10" s="568"/>
      <c r="E10" s="568"/>
      <c r="F10" s="568"/>
      <c r="G10" s="568"/>
      <c r="H10" s="800" t="str">
        <f>+Input!E27</f>
        <v>WITNESS:  C. Y. LAI</v>
      </c>
    </row>
    <row r="11" spans="1:8" ht="12.75" customHeight="1" x14ac:dyDescent="0.2">
      <c r="C11" s="797"/>
      <c r="D11" s="798"/>
      <c r="E11" s="798"/>
      <c r="F11" s="798"/>
      <c r="G11" s="798"/>
      <c r="H11" s="799"/>
    </row>
    <row r="12" spans="1:8" ht="12.75" customHeight="1" x14ac:dyDescent="0.2">
      <c r="A12" s="667" t="s">
        <v>493</v>
      </c>
      <c r="B12" s="570" t="s">
        <v>1143</v>
      </c>
      <c r="G12" s="570" t="s">
        <v>148</v>
      </c>
    </row>
    <row r="13" spans="1:8" ht="12.75" customHeight="1" x14ac:dyDescent="0.2">
      <c r="A13" s="125" t="s">
        <v>496</v>
      </c>
      <c r="B13" s="125" t="s">
        <v>496</v>
      </c>
      <c r="C13" s="568" t="s">
        <v>1505</v>
      </c>
      <c r="D13" s="568"/>
      <c r="E13" s="801" t="s">
        <v>1248</v>
      </c>
      <c r="F13" s="1037"/>
      <c r="G13" s="801" t="s">
        <v>211</v>
      </c>
      <c r="H13" s="801" t="s">
        <v>1248</v>
      </c>
    </row>
    <row r="14" spans="1:8" ht="12.75" customHeight="1" x14ac:dyDescent="0.2">
      <c r="E14" s="570" t="s">
        <v>500</v>
      </c>
      <c r="F14" s="570"/>
      <c r="H14" s="570" t="s">
        <v>500</v>
      </c>
    </row>
    <row r="15" spans="1:8" ht="12.75" customHeight="1" x14ac:dyDescent="0.2">
      <c r="A15" s="570"/>
      <c r="C15" s="563" t="s">
        <v>260</v>
      </c>
    </row>
    <row r="16" spans="1:8" ht="12.75" customHeight="1" x14ac:dyDescent="0.2">
      <c r="A16" s="570"/>
      <c r="C16" s="978" t="s">
        <v>905</v>
      </c>
    </row>
    <row r="17" spans="1:14" ht="12.75" customHeight="1" x14ac:dyDescent="0.2">
      <c r="A17" s="570"/>
      <c r="C17" s="978"/>
    </row>
    <row r="18" spans="1:14" ht="12.75" customHeight="1" x14ac:dyDescent="0.2">
      <c r="A18" s="131">
        <v>1</v>
      </c>
      <c r="B18" s="943" t="s">
        <v>194</v>
      </c>
      <c r="C18" s="1030" t="s">
        <v>213</v>
      </c>
      <c r="D18" s="1017"/>
      <c r="E18" s="412">
        <f>'Rate Base Summary Sch B-1'!G14</f>
        <v>271692715.58000004</v>
      </c>
      <c r="F18" s="412"/>
      <c r="G18" s="131"/>
      <c r="M18" s="131"/>
      <c r="N18" s="1018"/>
    </row>
    <row r="19" spans="1:14" ht="12.75" customHeight="1" x14ac:dyDescent="0.2">
      <c r="A19" s="131">
        <f t="shared" ref="A19:A24" si="0">A18+1</f>
        <v>2</v>
      </c>
      <c r="B19" s="1031" t="s">
        <v>1412</v>
      </c>
      <c r="C19" s="1030" t="s">
        <v>1413</v>
      </c>
      <c r="D19" s="1017"/>
      <c r="E19" s="412">
        <f>'Rate Base Summary Sch B-1'!G24</f>
        <v>1215549</v>
      </c>
      <c r="F19" s="412"/>
      <c r="G19" s="131"/>
      <c r="M19" s="131"/>
      <c r="N19" s="1018"/>
    </row>
    <row r="20" spans="1:14" ht="24.75" customHeight="1" x14ac:dyDescent="0.2">
      <c r="A20" s="131">
        <f t="shared" si="0"/>
        <v>3</v>
      </c>
      <c r="B20" s="1031" t="s">
        <v>208</v>
      </c>
      <c r="C20" s="1044" t="s">
        <v>897</v>
      </c>
      <c r="D20" s="1017"/>
      <c r="E20" s="412">
        <f>('Dep Accur Rates &amp; Acc Bal B-3.2'!I78-'Dep Accur Rates &amp; Acc Bal B-3.2'!I13-'Dep Accur Rates &amp; Acc Bal B-3.2'!I14-'Dep Accur Rates &amp; Acc Bal B-3.2'!I15-'Dep Accur Rates &amp; Acc Bal B-3.2'!I16-'Dep Accur Rates &amp; Acc Bal B-3.2'!I28-'Dep Accur Rates &amp; Acc Bal B-3.2'!I64-'Dep Accur Rates &amp; Acc Bal B-3.2'!I65-'Dep Accur Rates &amp; Acc Bal B-3.2'!I66-'Dep Accur Rates &amp; Acc Bal B-3.2'!I69-'Dep Accur Rates &amp; Acc Bal B-3.2'!I70-'Dep Accur Rates &amp; Acc Bal B-3.2'!I72-'Dep Accur Rates &amp; Acc Bal B-3.2'!I73-'Dep Accur Rates &amp; Acc Bal B-3.2'!I74-'Dep Accur Rates &amp; Acc Bal B-3.2'!I76)*-1</f>
        <v>-116086455</v>
      </c>
      <c r="F20" s="412"/>
      <c r="G20" s="131"/>
      <c r="M20" s="131"/>
      <c r="N20" s="1018"/>
    </row>
    <row r="21" spans="1:14" ht="12.75" customHeight="1" x14ac:dyDescent="0.2">
      <c r="A21" s="131">
        <f t="shared" si="0"/>
        <v>4</v>
      </c>
      <c r="B21" s="943">
        <v>154</v>
      </c>
      <c r="C21" s="131" t="s">
        <v>215</v>
      </c>
      <c r="D21" s="131"/>
      <c r="E21" s="1020">
        <f>'WPB-5.1 MIS WC'!I51+'WPB-5.1 MIS WC'!I25</f>
        <v>54354</v>
      </c>
      <c r="F21" s="1020"/>
      <c r="G21" s="131"/>
      <c r="M21" s="131"/>
      <c r="N21" s="90"/>
    </row>
    <row r="22" spans="1:14" ht="12.75" customHeight="1" x14ac:dyDescent="0.2">
      <c r="A22" s="131">
        <f t="shared" si="0"/>
        <v>5</v>
      </c>
      <c r="B22" s="943"/>
      <c r="C22" s="131" t="s">
        <v>200</v>
      </c>
      <c r="D22" s="131"/>
      <c r="E22" s="412">
        <f>SUM(E18:E21)</f>
        <v>156876163.58000004</v>
      </c>
      <c r="F22" s="412"/>
      <c r="M22" s="131"/>
      <c r="N22" s="90"/>
    </row>
    <row r="23" spans="1:14" ht="12.75" customHeight="1" x14ac:dyDescent="0.2">
      <c r="A23" s="131">
        <f t="shared" si="0"/>
        <v>6</v>
      </c>
      <c r="B23" s="943"/>
      <c r="C23" s="131" t="s">
        <v>193</v>
      </c>
      <c r="D23" s="131"/>
      <c r="G23" s="1036">
        <f>H51</f>
        <v>1.1683000000000001E-2</v>
      </c>
      <c r="M23" s="131"/>
      <c r="N23" s="90"/>
    </row>
    <row r="24" spans="1:14" ht="12.75" customHeight="1" x14ac:dyDescent="0.2">
      <c r="A24" s="131">
        <f t="shared" si="0"/>
        <v>7</v>
      </c>
      <c r="B24" s="943"/>
      <c r="C24" s="1030" t="s">
        <v>209</v>
      </c>
      <c r="D24" s="131"/>
      <c r="E24" s="131"/>
      <c r="F24" s="131"/>
      <c r="G24" s="131"/>
      <c r="H24" s="412">
        <f>ROUND(E22*G23,0)</f>
        <v>1832784</v>
      </c>
      <c r="M24" s="131"/>
      <c r="N24" s="90"/>
    </row>
    <row r="25" spans="1:14" ht="12.75" customHeight="1" x14ac:dyDescent="0.2">
      <c r="A25" s="131"/>
      <c r="B25" s="943"/>
      <c r="C25" s="131"/>
      <c r="D25" s="131"/>
      <c r="E25" s="131"/>
      <c r="F25" s="131"/>
      <c r="G25" s="131"/>
      <c r="H25" s="412"/>
      <c r="M25" s="131"/>
      <c r="N25" s="90"/>
    </row>
    <row r="26" spans="1:14" ht="12.75" customHeight="1" x14ac:dyDescent="0.2">
      <c r="A26" s="131">
        <f>A24+1</f>
        <v>8</v>
      </c>
      <c r="B26" s="1031" t="s">
        <v>196</v>
      </c>
      <c r="C26" s="131" t="s">
        <v>210</v>
      </c>
      <c r="D26" s="131"/>
      <c r="E26" s="413">
        <f>'WPB-5.1 MIS WC'!K143</f>
        <v>48234292</v>
      </c>
      <c r="F26" s="413"/>
      <c r="H26" s="753"/>
      <c r="M26" s="131"/>
      <c r="N26" s="90"/>
    </row>
    <row r="27" spans="1:14" ht="12.75" customHeight="1" x14ac:dyDescent="0.2">
      <c r="A27" s="131">
        <f>A26+1</f>
        <v>9</v>
      </c>
      <c r="B27" s="943"/>
      <c r="C27" s="131" t="s">
        <v>1411</v>
      </c>
      <c r="D27" s="131"/>
      <c r="E27" s="1038">
        <f>E54</f>
        <v>0.37928400000000001</v>
      </c>
      <c r="F27" s="1019"/>
      <c r="G27" s="131"/>
      <c r="H27" s="1020"/>
      <c r="M27" s="131"/>
      <c r="N27" s="90"/>
    </row>
    <row r="28" spans="1:14" ht="12.75" customHeight="1" x14ac:dyDescent="0.2">
      <c r="A28" s="131">
        <f>A27+1</f>
        <v>10</v>
      </c>
      <c r="B28" s="131"/>
      <c r="C28" s="1030" t="s">
        <v>197</v>
      </c>
      <c r="D28" s="131"/>
      <c r="E28" s="961">
        <f>ROUND(E26*E27,0)</f>
        <v>18294495</v>
      </c>
      <c r="F28" s="131"/>
      <c r="M28" s="131"/>
      <c r="N28" s="90"/>
    </row>
    <row r="29" spans="1:14" ht="12.75" customHeight="1" x14ac:dyDescent="0.2">
      <c r="A29" s="131">
        <f>A28+1</f>
        <v>11</v>
      </c>
      <c r="B29" s="131"/>
      <c r="C29" s="131" t="s">
        <v>193</v>
      </c>
      <c r="D29" s="131"/>
      <c r="E29" s="131"/>
      <c r="F29" s="131"/>
      <c r="G29" s="1036">
        <f>H55</f>
        <v>1.1931000000000001E-2</v>
      </c>
      <c r="H29" s="129"/>
      <c r="M29" s="131"/>
      <c r="N29" s="90"/>
    </row>
    <row r="30" spans="1:14" ht="12.75" customHeight="1" x14ac:dyDescent="0.2">
      <c r="A30" s="131">
        <f>A29+1</f>
        <v>12</v>
      </c>
      <c r="B30" s="131"/>
      <c r="C30" s="1030" t="s">
        <v>212</v>
      </c>
      <c r="D30" s="131"/>
      <c r="E30" s="131"/>
      <c r="F30" s="131"/>
      <c r="G30" s="131"/>
      <c r="H30" s="1039">
        <f>ROUND(E28*G29,0)</f>
        <v>218272</v>
      </c>
      <c r="M30" s="131"/>
      <c r="N30" s="90"/>
    </row>
    <row r="31" spans="1:14" ht="12.75" customHeight="1" x14ac:dyDescent="0.2">
      <c r="A31" s="131"/>
      <c r="B31" s="131"/>
      <c r="C31" s="1030"/>
      <c r="D31" s="131"/>
      <c r="E31" s="131"/>
      <c r="F31" s="131"/>
      <c r="G31" s="131"/>
      <c r="H31" s="129"/>
      <c r="M31" s="131"/>
      <c r="N31" s="90"/>
    </row>
    <row r="32" spans="1:14" ht="12.75" customHeight="1" x14ac:dyDescent="0.2">
      <c r="A32" s="566">
        <f>A30+1</f>
        <v>13</v>
      </c>
      <c r="C32" s="563" t="s">
        <v>1137</v>
      </c>
      <c r="E32" s="570"/>
      <c r="F32" s="570"/>
      <c r="G32" s="570"/>
      <c r="H32" s="1040">
        <f>H30+H24</f>
        <v>2051056</v>
      </c>
      <c r="M32" s="131"/>
      <c r="N32" s="90"/>
    </row>
    <row r="33" spans="1:14" ht="12.75" customHeight="1" x14ac:dyDescent="0.2">
      <c r="A33" s="566">
        <f>1+A32</f>
        <v>14</v>
      </c>
      <c r="B33" s="563" t="s">
        <v>216</v>
      </c>
      <c r="C33" s="563" t="s">
        <v>1138</v>
      </c>
      <c r="E33" s="570"/>
      <c r="F33" s="570"/>
      <c r="G33" s="570"/>
      <c r="H33" s="1041">
        <f>'Attachment CYL - 1'!F20</f>
        <v>4679717</v>
      </c>
      <c r="M33" s="131"/>
      <c r="N33" s="90"/>
    </row>
    <row r="34" spans="1:14" ht="12.75" customHeight="1" x14ac:dyDescent="0.2">
      <c r="A34" s="566">
        <f>1+A33</f>
        <v>15</v>
      </c>
      <c r="C34" s="563" t="s">
        <v>1139</v>
      </c>
      <c r="H34" s="747">
        <f>+H32-H33</f>
        <v>-2628661</v>
      </c>
      <c r="M34" s="131"/>
      <c r="N34" s="90"/>
    </row>
    <row r="35" spans="1:14" ht="12.75" customHeight="1" x14ac:dyDescent="0.2">
      <c r="A35" s="566"/>
      <c r="H35" s="747"/>
      <c r="M35" s="131"/>
      <c r="N35" s="90"/>
    </row>
    <row r="36" spans="1:14" ht="12.75" customHeight="1" x14ac:dyDescent="0.2">
      <c r="A36" s="566">
        <f>1+A34</f>
        <v>16</v>
      </c>
      <c r="C36" s="563" t="s">
        <v>1729</v>
      </c>
      <c r="H36" s="747">
        <f>+H34</f>
        <v>-2628661</v>
      </c>
      <c r="M36" s="131"/>
      <c r="N36" s="90"/>
    </row>
    <row r="37" spans="1:14" ht="12.75" customHeight="1" x14ac:dyDescent="0.2">
      <c r="A37" s="566"/>
      <c r="M37" s="131"/>
      <c r="N37" s="90"/>
    </row>
    <row r="38" spans="1:14" ht="12.75" customHeight="1" x14ac:dyDescent="0.2">
      <c r="A38" s="566">
        <f>1+A36</f>
        <v>17</v>
      </c>
      <c r="C38" s="563" t="s">
        <v>1574</v>
      </c>
      <c r="H38" s="571">
        <v>1</v>
      </c>
      <c r="M38" s="131"/>
      <c r="N38" s="90"/>
    </row>
    <row r="39" spans="1:14" ht="12.75" customHeight="1" x14ac:dyDescent="0.2">
      <c r="A39" s="566"/>
      <c r="M39" s="131"/>
      <c r="N39" s="90"/>
    </row>
    <row r="40" spans="1:14" ht="12.75" customHeight="1" x14ac:dyDescent="0.2">
      <c r="A40" s="1045">
        <f>1+A38</f>
        <v>18</v>
      </c>
      <c r="B40" s="1046"/>
      <c r="C40" s="1046" t="s">
        <v>1575</v>
      </c>
      <c r="D40" s="1046"/>
      <c r="E40" s="1047" t="s">
        <v>418</v>
      </c>
      <c r="F40" s="1048"/>
      <c r="G40" s="1048"/>
      <c r="H40" s="1049">
        <f>ROUND(H36*H38,0)</f>
        <v>-2628661</v>
      </c>
      <c r="M40" s="131"/>
      <c r="N40" s="90"/>
    </row>
    <row r="41" spans="1:14" ht="12.75" customHeight="1" x14ac:dyDescent="0.2">
      <c r="A41" s="131"/>
      <c r="B41" s="131"/>
      <c r="C41" s="1030"/>
      <c r="D41" s="131"/>
      <c r="E41" s="131"/>
      <c r="F41" s="131"/>
      <c r="G41" s="131"/>
      <c r="H41" s="129"/>
      <c r="M41" s="131"/>
      <c r="N41" s="90"/>
    </row>
    <row r="42" spans="1:14" ht="12.75" customHeight="1" x14ac:dyDescent="0.2">
      <c r="A42" s="961">
        <f>A40+1</f>
        <v>19</v>
      </c>
      <c r="B42" s="1042" t="s">
        <v>218</v>
      </c>
      <c r="D42" s="131"/>
      <c r="F42" s="1021"/>
      <c r="G42" s="1021"/>
      <c r="H42" s="131"/>
      <c r="I42" s="131"/>
      <c r="J42" s="131"/>
      <c r="K42" s="131"/>
      <c r="L42" s="131"/>
      <c r="M42" s="1022"/>
      <c r="N42" s="90"/>
    </row>
    <row r="43" spans="1:14" ht="12.75" customHeight="1" x14ac:dyDescent="0.2">
      <c r="A43" s="961">
        <f>A42+1</f>
        <v>20</v>
      </c>
      <c r="B43" s="131"/>
      <c r="C43" s="131"/>
      <c r="D43" s="131"/>
      <c r="E43" s="1021"/>
      <c r="F43" s="1021"/>
      <c r="G43" s="943" t="s">
        <v>217</v>
      </c>
      <c r="H43" s="131"/>
      <c r="I43" s="131"/>
      <c r="J43" s="131"/>
      <c r="K43" s="131"/>
      <c r="L43" s="131"/>
      <c r="M43" s="1022"/>
      <c r="N43" s="90"/>
    </row>
    <row r="44" spans="1:14" ht="12.75" customHeight="1" x14ac:dyDescent="0.2">
      <c r="A44" s="961">
        <f>A43+1</f>
        <v>21</v>
      </c>
      <c r="B44" s="1022"/>
      <c r="C44" s="1016"/>
      <c r="D44" s="131"/>
      <c r="E44" s="1043">
        <v>38717</v>
      </c>
      <c r="F44" s="1023"/>
      <c r="G44" s="943" t="s">
        <v>635</v>
      </c>
      <c r="H44" s="570" t="s">
        <v>202</v>
      </c>
      <c r="I44" s="131"/>
      <c r="K44" s="1023"/>
      <c r="L44" s="1022"/>
      <c r="M44" s="1023"/>
      <c r="N44" s="90"/>
    </row>
    <row r="45" spans="1:14" ht="12.75" customHeight="1" x14ac:dyDescent="0.2">
      <c r="A45" s="566">
        <f>1+A44</f>
        <v>22</v>
      </c>
      <c r="B45" s="1021"/>
      <c r="C45" s="131"/>
      <c r="D45" s="1021" t="s">
        <v>1772</v>
      </c>
      <c r="E45" s="1032" t="s">
        <v>1028</v>
      </c>
      <c r="F45" s="1032"/>
      <c r="G45" s="1032" t="s">
        <v>201</v>
      </c>
      <c r="H45" s="1033" t="s">
        <v>203</v>
      </c>
      <c r="I45" s="131"/>
      <c r="K45" s="1021"/>
      <c r="L45" s="1021"/>
      <c r="M45" s="1021"/>
      <c r="N45" s="90"/>
    </row>
    <row r="46" spans="1:14" ht="12.75" customHeight="1" x14ac:dyDescent="0.2">
      <c r="A46" s="131"/>
      <c r="B46" s="131"/>
      <c r="C46" s="131"/>
      <c r="D46" s="131"/>
      <c r="E46" s="943" t="s">
        <v>1458</v>
      </c>
      <c r="F46" s="943"/>
      <c r="G46" s="943" t="s">
        <v>1458</v>
      </c>
      <c r="I46" s="131"/>
      <c r="K46" s="1022"/>
      <c r="L46" s="1022"/>
      <c r="M46" s="1022"/>
      <c r="N46" s="90"/>
    </row>
    <row r="47" spans="1:14" ht="12.75" customHeight="1" x14ac:dyDescent="0.2">
      <c r="A47" s="961">
        <f>A45+1</f>
        <v>23</v>
      </c>
      <c r="B47" s="131">
        <v>101</v>
      </c>
      <c r="C47" s="131" t="s">
        <v>195</v>
      </c>
      <c r="D47" s="131"/>
      <c r="E47" s="726">
        <v>240931496</v>
      </c>
      <c r="F47" s="726"/>
      <c r="G47" s="131"/>
      <c r="I47" s="131"/>
      <c r="K47" s="726"/>
      <c r="L47" s="131"/>
      <c r="M47" s="961"/>
      <c r="N47" s="90"/>
    </row>
    <row r="48" spans="1:14" ht="12.75" customHeight="1" x14ac:dyDescent="0.2">
      <c r="A48" s="961">
        <f>A47+1</f>
        <v>24</v>
      </c>
      <c r="B48" s="131">
        <v>106</v>
      </c>
      <c r="C48" s="131" t="s">
        <v>198</v>
      </c>
      <c r="D48" s="131"/>
      <c r="E48" s="726">
        <v>3835972</v>
      </c>
      <c r="F48" s="726"/>
      <c r="G48" s="131"/>
      <c r="I48" s="131"/>
      <c r="K48" s="129"/>
      <c r="L48" s="131"/>
      <c r="M48" s="131"/>
      <c r="N48" s="90"/>
    </row>
    <row r="49" spans="1:14" ht="12.75" customHeight="1" x14ac:dyDescent="0.2">
      <c r="A49" s="961">
        <f>A48+1</f>
        <v>25</v>
      </c>
      <c r="B49" s="131">
        <v>108</v>
      </c>
      <c r="C49" s="131" t="s">
        <v>199</v>
      </c>
      <c r="D49" s="131"/>
      <c r="E49" s="726">
        <v>-107362142</v>
      </c>
      <c r="F49" s="726"/>
      <c r="G49" s="131"/>
      <c r="I49" s="131"/>
      <c r="K49" s="129"/>
      <c r="L49" s="131"/>
      <c r="M49" s="131"/>
      <c r="N49" s="90"/>
    </row>
    <row r="50" spans="1:14" ht="12.75" customHeight="1" x14ac:dyDescent="0.2">
      <c r="A50" s="961">
        <f>A49+1</f>
        <v>26</v>
      </c>
      <c r="B50" s="131">
        <v>154</v>
      </c>
      <c r="C50" s="131" t="s">
        <v>204</v>
      </c>
      <c r="D50" s="131"/>
      <c r="E50" s="1024">
        <v>42428</v>
      </c>
      <c r="F50" s="1024"/>
      <c r="G50" s="131"/>
      <c r="I50" s="131"/>
      <c r="K50" s="726"/>
      <c r="L50" s="131"/>
      <c r="M50" s="131"/>
      <c r="N50" s="90"/>
    </row>
    <row r="51" spans="1:14" ht="12.75" customHeight="1" x14ac:dyDescent="0.2">
      <c r="A51" s="961">
        <f>A50+1</f>
        <v>27</v>
      </c>
      <c r="B51" s="131"/>
      <c r="C51" s="131" t="s">
        <v>200</v>
      </c>
      <c r="D51" s="131"/>
      <c r="E51" s="129">
        <f>SUM(E47:E50)</f>
        <v>137447754</v>
      </c>
      <c r="F51" s="129"/>
      <c r="G51" s="951">
        <v>1605770</v>
      </c>
      <c r="H51" s="1034">
        <f>ROUND(G51/E51,6)</f>
        <v>1.1683000000000001E-2</v>
      </c>
      <c r="I51" s="131"/>
      <c r="K51" s="129"/>
      <c r="L51" s="131"/>
      <c r="M51" s="131"/>
      <c r="N51" s="90"/>
    </row>
    <row r="52" spans="1:14" ht="12.75" customHeight="1" x14ac:dyDescent="0.2">
      <c r="A52" s="131"/>
      <c r="B52" s="131"/>
      <c r="C52" s="131"/>
      <c r="D52" s="131"/>
      <c r="E52" s="129"/>
      <c r="F52" s="129"/>
      <c r="G52" s="131"/>
      <c r="I52" s="131"/>
      <c r="K52" s="129"/>
      <c r="L52" s="131"/>
      <c r="M52" s="131"/>
      <c r="N52" s="90"/>
    </row>
    <row r="53" spans="1:14" ht="12.75" customHeight="1" x14ac:dyDescent="0.2">
      <c r="A53" s="961">
        <f>A51+1</f>
        <v>28</v>
      </c>
      <c r="B53" s="131">
        <v>164</v>
      </c>
      <c r="C53" s="131" t="s">
        <v>205</v>
      </c>
      <c r="D53" s="131"/>
      <c r="E53" s="726">
        <v>52359573</v>
      </c>
      <c r="F53" s="726"/>
      <c r="G53" s="131"/>
      <c r="I53" s="131"/>
      <c r="K53" s="726"/>
      <c r="L53" s="1025"/>
      <c r="M53" s="129"/>
      <c r="N53" s="90"/>
    </row>
    <row r="54" spans="1:14" ht="12.75" customHeight="1" x14ac:dyDescent="0.2">
      <c r="A54" s="961">
        <f>A53+1</f>
        <v>29</v>
      </c>
      <c r="B54" s="131"/>
      <c r="C54" s="1017" t="s">
        <v>206</v>
      </c>
      <c r="D54" s="131"/>
      <c r="E54" s="1035">
        <v>0.37928400000000001</v>
      </c>
      <c r="F54" s="1035"/>
      <c r="G54" s="131"/>
      <c r="I54" s="131"/>
      <c r="K54" s="1026"/>
      <c r="L54" s="131"/>
      <c r="M54" s="131"/>
      <c r="N54" s="90"/>
    </row>
    <row r="55" spans="1:14" ht="12.75" customHeight="1" x14ac:dyDescent="0.2">
      <c r="A55" s="961">
        <f>A54+1</f>
        <v>30</v>
      </c>
      <c r="B55" s="131"/>
      <c r="C55" s="131" t="s">
        <v>207</v>
      </c>
      <c r="D55" s="131"/>
      <c r="E55" s="129">
        <f>ROUND(E53*E54,0)</f>
        <v>19859148</v>
      </c>
      <c r="F55" s="129"/>
      <c r="G55" s="951">
        <v>236943</v>
      </c>
      <c r="H55" s="1034">
        <f>ROUND(G55/E55,6)</f>
        <v>1.1931000000000001E-2</v>
      </c>
      <c r="I55" s="131"/>
      <c r="K55" s="1027"/>
      <c r="L55" s="131"/>
      <c r="M55" s="131"/>
      <c r="N55" s="90"/>
    </row>
    <row r="56" spans="1:14" ht="12.75" customHeight="1" x14ac:dyDescent="0.2">
      <c r="A56" s="131"/>
      <c r="B56" s="131"/>
      <c r="C56" s="1029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90"/>
    </row>
    <row r="57" spans="1:14" ht="12.75" customHeight="1" x14ac:dyDescent="0.2">
      <c r="A57" s="131"/>
      <c r="B57" s="131"/>
      <c r="C57" s="1028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90"/>
    </row>
    <row r="58" spans="1:14" ht="12.75" customHeight="1" x14ac:dyDescent="0.2">
      <c r="A58" s="570"/>
      <c r="C58" s="978"/>
    </row>
    <row r="59" spans="1:14" ht="12.75" customHeight="1" x14ac:dyDescent="0.2">
      <c r="A59" s="570"/>
      <c r="C59" s="978"/>
    </row>
    <row r="60" spans="1:14" ht="12.75" customHeight="1" x14ac:dyDescent="0.2">
      <c r="A60" s="570"/>
      <c r="C60" s="978"/>
    </row>
    <row r="61" spans="1:14" ht="12.75" customHeight="1" x14ac:dyDescent="0.2">
      <c r="A61" s="570"/>
      <c r="C61" s="978"/>
    </row>
    <row r="62" spans="1:14" ht="12.75" customHeight="1" x14ac:dyDescent="0.2">
      <c r="A62" s="570"/>
      <c r="C62" s="978"/>
    </row>
    <row r="63" spans="1:14" ht="12.75" customHeight="1" x14ac:dyDescent="0.2">
      <c r="A63" s="570"/>
      <c r="C63" s="978"/>
    </row>
    <row r="64" spans="1:14" ht="12.75" customHeight="1" x14ac:dyDescent="0.2">
      <c r="A64" s="570"/>
      <c r="C64" s="978"/>
    </row>
    <row r="65" spans="1:1" ht="12.75" customHeight="1" x14ac:dyDescent="0.2">
      <c r="A65" s="570"/>
    </row>
    <row r="66" spans="1:1" ht="12.75" customHeight="1" x14ac:dyDescent="0.2"/>
    <row r="67" spans="1:1" ht="12.75" customHeight="1" x14ac:dyDescent="0.2"/>
    <row r="68" spans="1:1" ht="12.75" customHeight="1" x14ac:dyDescent="0.2"/>
    <row r="69" spans="1:1" ht="12.75" customHeight="1" x14ac:dyDescent="0.2"/>
    <row r="70" spans="1:1" ht="12.75" customHeight="1" x14ac:dyDescent="0.2"/>
    <row r="71" spans="1:1" ht="12.75" customHeight="1" x14ac:dyDescent="0.2"/>
    <row r="72" spans="1:1" ht="12.75" customHeight="1" x14ac:dyDescent="0.2"/>
    <row r="73" spans="1:1" ht="12.75" customHeight="1" x14ac:dyDescent="0.2"/>
    <row r="74" spans="1:1" ht="12.75" customHeight="1" x14ac:dyDescent="0.2"/>
    <row r="75" spans="1:1" ht="12.75" customHeight="1" x14ac:dyDescent="0.2"/>
    <row r="76" spans="1:1" ht="12.75" customHeight="1" x14ac:dyDescent="0.2"/>
    <row r="77" spans="1:1" ht="12.75" customHeight="1" x14ac:dyDescent="0.2">
      <c r="A77" s="570"/>
    </row>
    <row r="78" spans="1:1" ht="12.75" customHeight="1" x14ac:dyDescent="0.2">
      <c r="A78" s="570"/>
    </row>
    <row r="79" spans="1:1" ht="12.75" customHeight="1" x14ac:dyDescent="0.2">
      <c r="A79" s="570"/>
    </row>
    <row r="80" spans="1:1" ht="12.75" customHeight="1" x14ac:dyDescent="0.2">
      <c r="A80" s="570"/>
    </row>
    <row r="81" spans="1:1" ht="12.75" customHeight="1" x14ac:dyDescent="0.2">
      <c r="A81" s="570"/>
    </row>
    <row r="82" spans="1:1" ht="12.75" customHeight="1" x14ac:dyDescent="0.2">
      <c r="A82" s="570"/>
    </row>
    <row r="83" spans="1:1" ht="12.75" customHeight="1" x14ac:dyDescent="0.2">
      <c r="A83" s="570"/>
    </row>
    <row r="84" spans="1:1" ht="12.75" customHeight="1" x14ac:dyDescent="0.2">
      <c r="A84" s="570"/>
    </row>
    <row r="85" spans="1:1" ht="12.75" customHeight="1" x14ac:dyDescent="0.2">
      <c r="A85" s="570"/>
    </row>
    <row r="86" spans="1:1" ht="12.75" customHeight="1" x14ac:dyDescent="0.2">
      <c r="A86" s="570"/>
    </row>
    <row r="87" spans="1:1" ht="12.75" customHeight="1" x14ac:dyDescent="0.2">
      <c r="A87" s="570"/>
    </row>
    <row r="88" spans="1:1" ht="12.75" customHeight="1" x14ac:dyDescent="0.2">
      <c r="A88" s="570"/>
    </row>
    <row r="89" spans="1:1" ht="12.75" customHeight="1" x14ac:dyDescent="0.2">
      <c r="A89" s="570"/>
    </row>
    <row r="90" spans="1:1" ht="12.75" customHeight="1" x14ac:dyDescent="0.2">
      <c r="A90" s="570"/>
    </row>
    <row r="91" spans="1:1" ht="12.75" customHeight="1" x14ac:dyDescent="0.2">
      <c r="A91" s="570"/>
    </row>
    <row r="92" spans="1:1" ht="12.75" customHeight="1" x14ac:dyDescent="0.2">
      <c r="A92" s="570"/>
    </row>
    <row r="93" spans="1:1" ht="12.75" customHeight="1" x14ac:dyDescent="0.2">
      <c r="A93" s="570"/>
    </row>
    <row r="94" spans="1:1" ht="12.75" customHeight="1" x14ac:dyDescent="0.2">
      <c r="A94" s="570"/>
    </row>
    <row r="95" spans="1:1" ht="12.75" customHeight="1" x14ac:dyDescent="0.2">
      <c r="A95" s="570"/>
    </row>
    <row r="96" spans="1:1" ht="12.75" customHeight="1" x14ac:dyDescent="0.2">
      <c r="A96" s="570"/>
    </row>
    <row r="97" spans="1:1" ht="12.75" customHeight="1" x14ac:dyDescent="0.2">
      <c r="A97" s="570"/>
    </row>
    <row r="98" spans="1:1" ht="12.75" customHeight="1" x14ac:dyDescent="0.2">
      <c r="A98" s="570"/>
    </row>
    <row r="99" spans="1:1" ht="12.75" customHeight="1" x14ac:dyDescent="0.2"/>
    <row r="100" spans="1:1" ht="12.75" customHeight="1" x14ac:dyDescent="0.2"/>
    <row r="101" spans="1:1" ht="12.75" customHeight="1" x14ac:dyDescent="0.2"/>
    <row r="102" spans="1:1" ht="12.75" customHeight="1" x14ac:dyDescent="0.2"/>
    <row r="103" spans="1:1" ht="12.75" customHeight="1" x14ac:dyDescent="0.2"/>
    <row r="104" spans="1:1" ht="12.75" customHeight="1" x14ac:dyDescent="0.2"/>
    <row r="105" spans="1:1" ht="12.75" customHeight="1" x14ac:dyDescent="0.2"/>
    <row r="106" spans="1:1" ht="12.75" customHeight="1" x14ac:dyDescent="0.2"/>
    <row r="107" spans="1:1" ht="12.75" customHeight="1" x14ac:dyDescent="0.2"/>
    <row r="108" spans="1:1" ht="12.75" customHeight="1" x14ac:dyDescent="0.2"/>
    <row r="109" spans="1:1" ht="12.75" customHeight="1" x14ac:dyDescent="0.2"/>
    <row r="110" spans="1:1" ht="12.75" customHeight="1" x14ac:dyDescent="0.2"/>
    <row r="111" spans="1:1" ht="12.75" customHeight="1" x14ac:dyDescent="0.2"/>
    <row r="112" spans="1:1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</sheetData>
  <mergeCells count="5">
    <mergeCell ref="A5:H5"/>
    <mergeCell ref="A1:H1"/>
    <mergeCell ref="A2:H2"/>
    <mergeCell ref="A3:H3"/>
    <mergeCell ref="A4:H4"/>
  </mergeCells>
  <phoneticPr fontId="3" type="noConversion"/>
  <printOptions horizontalCentered="1"/>
  <pageMargins left="0.25" right="0.25" top="1" bottom="0.25" header="0.5" footer="0.5"/>
  <pageSetup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F21" sqref="F21"/>
    </sheetView>
  </sheetViews>
  <sheetFormatPr defaultRowHeight="10.5" x14ac:dyDescent="0.15"/>
  <cols>
    <col min="1" max="1" width="5.83203125" bestFit="1" customWidth="1"/>
    <col min="2" max="2" width="2.83203125" customWidth="1"/>
    <col min="3" max="3" width="63.33203125" bestFit="1" customWidth="1"/>
    <col min="4" max="4" width="0" hidden="1" customWidth="1"/>
    <col min="5" max="5" width="26" bestFit="1" customWidth="1"/>
    <col min="6" max="6" width="19.5" customWidth="1"/>
  </cols>
  <sheetData>
    <row r="1" spans="1:6" ht="12.75" x14ac:dyDescent="0.2">
      <c r="A1" s="1449" t="s">
        <v>477</v>
      </c>
      <c r="B1" s="1449"/>
      <c r="C1" s="1449"/>
      <c r="D1" s="1449"/>
      <c r="E1" s="1449"/>
      <c r="F1" s="1449"/>
    </row>
    <row r="2" spans="1:6" ht="12.75" x14ac:dyDescent="0.2">
      <c r="A2" s="1449" t="str">
        <f>+Input!C4</f>
        <v>CASE NO. 2017-xxxxx</v>
      </c>
      <c r="B2" s="1449"/>
      <c r="C2" s="1449"/>
      <c r="D2" s="1449"/>
      <c r="E2" s="1449"/>
      <c r="F2" s="1449"/>
    </row>
    <row r="3" spans="1:6" ht="12.75" x14ac:dyDescent="0.2">
      <c r="A3" s="1449" t="s">
        <v>1500</v>
      </c>
      <c r="B3" s="1449"/>
      <c r="C3" s="1449"/>
      <c r="D3" s="1449"/>
      <c r="E3" s="1449"/>
      <c r="F3" s="1449"/>
    </row>
    <row r="4" spans="1:6" ht="12.75" x14ac:dyDescent="0.2">
      <c r="A4" s="1450" t="s">
        <v>1612</v>
      </c>
      <c r="B4" s="1450"/>
      <c r="C4" s="1450"/>
      <c r="D4" s="1450"/>
      <c r="E4" s="1450"/>
      <c r="F4" s="1450"/>
    </row>
    <row r="5" spans="1:6" ht="12.75" x14ac:dyDescent="0.2">
      <c r="A5" s="1449" t="str">
        <f>+Input!C6</f>
        <v>TWELVE MONTHS ENDED DECEMBER 31, 2017</v>
      </c>
      <c r="B5" s="1449"/>
      <c r="C5" s="1449"/>
      <c r="D5" s="1449"/>
      <c r="E5" s="1449"/>
      <c r="F5" s="1449"/>
    </row>
    <row r="6" spans="1:6" ht="12.75" x14ac:dyDescent="0.2">
      <c r="A6" s="563"/>
      <c r="B6" s="563"/>
      <c r="C6" s="563"/>
      <c r="D6" s="563"/>
      <c r="E6" s="563"/>
      <c r="F6" s="563"/>
    </row>
    <row r="7" spans="1:6" ht="12.75" x14ac:dyDescent="0.2">
      <c r="A7" s="563"/>
      <c r="B7" s="563"/>
      <c r="C7" s="563"/>
      <c r="D7" s="563"/>
      <c r="E7" s="563"/>
      <c r="F7" s="563"/>
    </row>
    <row r="8" spans="1:6" ht="12.75" x14ac:dyDescent="0.2">
      <c r="A8" s="564" t="s">
        <v>839</v>
      </c>
      <c r="B8" s="563"/>
      <c r="C8" s="563"/>
      <c r="D8" s="563"/>
      <c r="E8" s="563"/>
      <c r="F8" s="566" t="s">
        <v>1608</v>
      </c>
    </row>
    <row r="9" spans="1:6" ht="12.75" x14ac:dyDescent="0.2">
      <c r="A9" s="564" t="s">
        <v>490</v>
      </c>
      <c r="B9" s="563"/>
      <c r="C9" s="563"/>
      <c r="D9" s="563"/>
      <c r="E9" s="563"/>
      <c r="F9" s="566" t="s">
        <v>491</v>
      </c>
    </row>
    <row r="10" spans="1:6" ht="12.75" x14ac:dyDescent="0.2">
      <c r="A10" s="567" t="s">
        <v>1727</v>
      </c>
      <c r="B10" s="568"/>
      <c r="C10" s="568"/>
      <c r="D10" s="568"/>
      <c r="E10" s="568"/>
      <c r="F10" s="800" t="str">
        <f>+Input!E27</f>
        <v>WITNESS:  C. Y. LAI</v>
      </c>
    </row>
    <row r="11" spans="1:6" ht="12.75" x14ac:dyDescent="0.2">
      <c r="A11" s="563"/>
      <c r="B11" s="563"/>
      <c r="C11" s="797"/>
      <c r="D11" s="798"/>
      <c r="E11" s="798"/>
      <c r="F11" s="799"/>
    </row>
    <row r="12" spans="1:6" ht="12.75" x14ac:dyDescent="0.2">
      <c r="A12" s="667" t="s">
        <v>493</v>
      </c>
      <c r="B12" s="563"/>
      <c r="C12" s="563"/>
      <c r="D12" s="563"/>
      <c r="E12" s="563"/>
      <c r="F12" s="563"/>
    </row>
    <row r="13" spans="1:6" ht="12.75" x14ac:dyDescent="0.2">
      <c r="A13" s="125" t="s">
        <v>496</v>
      </c>
      <c r="B13" s="568"/>
      <c r="C13" s="568" t="s">
        <v>1505</v>
      </c>
      <c r="D13" s="568"/>
      <c r="E13" s="568"/>
      <c r="F13" s="801" t="s">
        <v>1248</v>
      </c>
    </row>
    <row r="14" spans="1:6" ht="12.75" x14ac:dyDescent="0.2">
      <c r="A14" s="563"/>
      <c r="B14" s="563"/>
      <c r="C14" s="563"/>
      <c r="D14" s="563"/>
      <c r="E14" s="563"/>
      <c r="F14" s="570" t="s">
        <v>500</v>
      </c>
    </row>
    <row r="15" spans="1:6" ht="12.75" x14ac:dyDescent="0.2">
      <c r="A15" s="563"/>
      <c r="B15" s="563"/>
      <c r="C15" s="563"/>
      <c r="D15" s="563"/>
      <c r="E15" s="563"/>
      <c r="F15" s="563"/>
    </row>
    <row r="16" spans="1:6" ht="12.75" x14ac:dyDescent="0.2">
      <c r="A16" s="570"/>
      <c r="B16" s="563"/>
      <c r="C16" s="563" t="s">
        <v>1609</v>
      </c>
      <c r="D16" s="563"/>
      <c r="E16" s="563"/>
      <c r="F16" s="563"/>
    </row>
    <row r="17" spans="1:6" ht="12.75" x14ac:dyDescent="0.2">
      <c r="A17" s="570"/>
      <c r="B17" s="563"/>
      <c r="C17" s="563" t="s">
        <v>1605</v>
      </c>
      <c r="D17" s="563"/>
      <c r="E17" s="563"/>
      <c r="F17" s="563"/>
    </row>
    <row r="18" spans="1:6" ht="12.75" x14ac:dyDescent="0.2">
      <c r="A18" s="570"/>
      <c r="B18" s="563"/>
      <c r="C18" s="563"/>
      <c r="D18" s="563"/>
      <c r="E18" s="563"/>
      <c r="F18" s="563"/>
    </row>
    <row r="19" spans="1:6" ht="12.75" x14ac:dyDescent="0.2">
      <c r="A19" s="570">
        <v>1</v>
      </c>
      <c r="B19" s="563"/>
      <c r="C19" s="563" t="s">
        <v>1606</v>
      </c>
      <c r="D19" s="563"/>
      <c r="E19" s="570"/>
    </row>
    <row r="20" spans="1:6" ht="12.75" x14ac:dyDescent="0.2">
      <c r="A20" s="570"/>
      <c r="B20" s="563"/>
      <c r="C20" s="563" t="s">
        <v>1607</v>
      </c>
      <c r="D20" s="563"/>
      <c r="E20" s="570"/>
      <c r="F20" s="996">
        <v>-39392</v>
      </c>
    </row>
    <row r="21" spans="1:6" ht="12.75" x14ac:dyDescent="0.2">
      <c r="A21" s="570"/>
      <c r="B21" s="563"/>
      <c r="C21" s="563"/>
      <c r="D21" s="563"/>
      <c r="E21" s="570"/>
      <c r="F21" s="747"/>
    </row>
    <row r="22" spans="1:6" ht="12.75" x14ac:dyDescent="0.2">
      <c r="A22" s="570">
        <f>1+A19</f>
        <v>2</v>
      </c>
      <c r="B22" s="563"/>
      <c r="C22" s="563" t="s">
        <v>1610</v>
      </c>
      <c r="D22" s="563"/>
      <c r="E22" s="570"/>
      <c r="F22" s="997">
        <v>0</v>
      </c>
    </row>
    <row r="23" spans="1:6" ht="12.75" x14ac:dyDescent="0.2">
      <c r="A23" s="570"/>
      <c r="B23" s="563"/>
      <c r="C23" s="563"/>
      <c r="D23" s="563"/>
      <c r="E23" s="563"/>
      <c r="F23" s="747"/>
    </row>
    <row r="24" spans="1:6" ht="12.75" x14ac:dyDescent="0.2">
      <c r="A24" s="570">
        <f>A22+1</f>
        <v>3</v>
      </c>
      <c r="B24" s="563"/>
      <c r="C24" s="563" t="s">
        <v>1611</v>
      </c>
      <c r="D24" s="563"/>
      <c r="E24" s="563"/>
      <c r="F24" s="747">
        <f>F22-F20</f>
        <v>39392</v>
      </c>
    </row>
    <row r="25" spans="1:6" ht="12.75" x14ac:dyDescent="0.2">
      <c r="A25" s="570"/>
      <c r="B25" s="563"/>
      <c r="C25" s="563"/>
      <c r="D25" s="563"/>
      <c r="E25" s="563"/>
      <c r="F25" s="563"/>
    </row>
    <row r="26" spans="1:6" ht="12.75" x14ac:dyDescent="0.2">
      <c r="A26" s="570">
        <f>1+A24</f>
        <v>4</v>
      </c>
      <c r="B26" s="563"/>
      <c r="C26" s="563" t="s">
        <v>1574</v>
      </c>
      <c r="D26" s="563"/>
      <c r="E26" s="563"/>
      <c r="F26" s="571">
        <v>1</v>
      </c>
    </row>
    <row r="27" spans="1:6" ht="12.75" x14ac:dyDescent="0.2">
      <c r="A27" s="570"/>
      <c r="B27" s="563"/>
      <c r="C27" s="563"/>
      <c r="D27" s="563"/>
      <c r="E27" s="563"/>
      <c r="F27" s="563"/>
    </row>
    <row r="28" spans="1:6" ht="12.75" x14ac:dyDescent="0.2">
      <c r="A28" s="570">
        <f>1+A26</f>
        <v>5</v>
      </c>
      <c r="B28" s="563"/>
      <c r="C28" s="563" t="s">
        <v>1575</v>
      </c>
      <c r="D28" s="563"/>
      <c r="E28" s="526" t="s">
        <v>418</v>
      </c>
      <c r="F28" s="747">
        <f>ROUND(F24*F26,0)</f>
        <v>39392</v>
      </c>
    </row>
  </sheetData>
  <mergeCells count="5">
    <mergeCell ref="A5:F5"/>
    <mergeCell ref="A1:F1"/>
    <mergeCell ref="A2:F2"/>
    <mergeCell ref="A3:F3"/>
    <mergeCell ref="A4:F4"/>
  </mergeCells>
  <phoneticPr fontId="0" type="noConversion"/>
  <printOptions horizontalCentered="1"/>
  <pageMargins left="0.75" right="0.75" top="1" bottom="1" header="0.5" footer="0.5"/>
  <pageSetup orientation="landscape" verticalDpi="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3" workbookViewId="0">
      <selection activeCell="F21" sqref="F21"/>
    </sheetView>
  </sheetViews>
  <sheetFormatPr defaultColWidth="9.33203125" defaultRowHeight="12.75" x14ac:dyDescent="0.2"/>
  <cols>
    <col min="1" max="1" width="5.83203125" style="90" bestFit="1" customWidth="1"/>
    <col min="2" max="2" width="7.83203125" style="90" customWidth="1"/>
    <col min="3" max="3" width="14.33203125" style="90" customWidth="1"/>
    <col min="4" max="4" width="27" style="90" customWidth="1"/>
    <col min="5" max="5" width="16.1640625" style="90" customWidth="1"/>
    <col min="6" max="6" width="18" style="90" customWidth="1"/>
    <col min="7" max="7" width="18.1640625" style="90" customWidth="1"/>
    <col min="8" max="8" width="18.33203125" style="90" customWidth="1"/>
    <col min="9" max="9" width="19.5" style="90" customWidth="1"/>
    <col min="10" max="16384" width="9.33203125" style="90"/>
  </cols>
  <sheetData>
    <row r="1" spans="1:9" x14ac:dyDescent="0.2">
      <c r="A1" s="1449" t="s">
        <v>477</v>
      </c>
      <c r="B1" s="1449"/>
      <c r="C1" s="1449"/>
      <c r="D1" s="1449"/>
      <c r="E1" s="1449"/>
      <c r="F1" s="1449"/>
      <c r="G1" s="1449"/>
      <c r="H1" s="1449"/>
      <c r="I1" s="1449"/>
    </row>
    <row r="2" spans="1:9" x14ac:dyDescent="0.2">
      <c r="A2" s="1449" t="str">
        <f>+Input!C4</f>
        <v>CASE NO. 2017-xxxxx</v>
      </c>
      <c r="B2" s="1449"/>
      <c r="C2" s="1449"/>
      <c r="D2" s="1449"/>
      <c r="E2" s="1449"/>
      <c r="F2" s="1449"/>
      <c r="G2" s="1449"/>
      <c r="H2" s="1449"/>
      <c r="I2" s="1449"/>
    </row>
    <row r="3" spans="1:9" x14ac:dyDescent="0.2">
      <c r="A3" s="1449" t="s">
        <v>1500</v>
      </c>
      <c r="B3" s="1449"/>
      <c r="C3" s="1449"/>
      <c r="D3" s="1449"/>
      <c r="E3" s="1449"/>
      <c r="F3" s="1449"/>
      <c r="G3" s="1449"/>
      <c r="H3" s="1449"/>
      <c r="I3" s="1449"/>
    </row>
    <row r="4" spans="1:9" x14ac:dyDescent="0.2">
      <c r="A4" s="1450" t="s">
        <v>1177</v>
      </c>
      <c r="B4" s="1450"/>
      <c r="C4" s="1450"/>
      <c r="D4" s="1450"/>
      <c r="E4" s="1450"/>
      <c r="F4" s="1450"/>
      <c r="G4" s="1450"/>
      <c r="H4" s="1450"/>
      <c r="I4" s="1450"/>
    </row>
    <row r="5" spans="1:9" x14ac:dyDescent="0.2">
      <c r="A5" s="1449" t="str">
        <f>+Input!C6</f>
        <v>TWELVE MONTHS ENDED DECEMBER 31, 2017</v>
      </c>
      <c r="B5" s="1449"/>
      <c r="C5" s="1449"/>
      <c r="D5" s="1449"/>
      <c r="E5" s="1449"/>
      <c r="F5" s="1449"/>
      <c r="G5" s="1449"/>
      <c r="H5" s="1449"/>
      <c r="I5" s="1449"/>
    </row>
    <row r="6" spans="1:9" x14ac:dyDescent="0.2">
      <c r="A6" s="563"/>
      <c r="B6" s="563"/>
      <c r="C6" s="563"/>
      <c r="D6" s="563"/>
      <c r="E6" s="563"/>
      <c r="F6" s="563"/>
      <c r="G6" s="563"/>
      <c r="H6" s="563"/>
      <c r="I6" s="563"/>
    </row>
    <row r="7" spans="1:9" x14ac:dyDescent="0.2">
      <c r="A7" s="563"/>
      <c r="B7" s="563"/>
      <c r="C7" s="563"/>
      <c r="D7" s="563"/>
      <c r="E7" s="563"/>
      <c r="F7" s="563"/>
      <c r="G7" s="563"/>
      <c r="H7" s="563"/>
      <c r="I7" s="563"/>
    </row>
    <row r="8" spans="1:9" x14ac:dyDescent="0.2">
      <c r="A8" s="564" t="s">
        <v>839</v>
      </c>
      <c r="B8" s="563"/>
      <c r="C8" s="563"/>
      <c r="D8" s="563"/>
      <c r="E8" s="563"/>
      <c r="F8" s="563"/>
      <c r="G8" s="563"/>
      <c r="H8" s="563"/>
      <c r="I8" s="566" t="s">
        <v>406</v>
      </c>
    </row>
    <row r="9" spans="1:9" x14ac:dyDescent="0.2">
      <c r="A9" s="564" t="s">
        <v>490</v>
      </c>
      <c r="B9" s="563"/>
      <c r="C9" s="563"/>
      <c r="D9" s="563"/>
      <c r="E9" s="563"/>
      <c r="F9" s="563"/>
      <c r="G9" s="563"/>
      <c r="H9" s="563"/>
      <c r="I9" s="566" t="s">
        <v>491</v>
      </c>
    </row>
    <row r="10" spans="1:9" x14ac:dyDescent="0.2">
      <c r="A10" s="567" t="s">
        <v>1727</v>
      </c>
      <c r="B10" s="568"/>
      <c r="C10" s="568"/>
      <c r="D10" s="568"/>
      <c r="E10" s="568"/>
      <c r="F10" s="568"/>
      <c r="G10" s="568"/>
      <c r="H10" s="568"/>
      <c r="I10" s="800" t="str">
        <f>+Input!E27</f>
        <v>WITNESS:  C. Y. LAI</v>
      </c>
    </row>
    <row r="11" spans="1:9" x14ac:dyDescent="0.2">
      <c r="A11" s="563"/>
      <c r="B11" s="563"/>
      <c r="C11" s="797"/>
      <c r="D11" s="798"/>
      <c r="E11" s="798"/>
      <c r="F11" s="798"/>
      <c r="G11" s="798"/>
      <c r="H11" s="798"/>
      <c r="I11" s="799"/>
    </row>
    <row r="12" spans="1:9" x14ac:dyDescent="0.2">
      <c r="A12" s="667" t="s">
        <v>493</v>
      </c>
      <c r="B12" s="563"/>
      <c r="C12" s="563"/>
      <c r="D12" s="563"/>
      <c r="E12" s="563"/>
      <c r="F12" s="570" t="s">
        <v>834</v>
      </c>
      <c r="G12" s="570" t="s">
        <v>407</v>
      </c>
      <c r="H12" s="563"/>
      <c r="I12" s="90" t="s">
        <v>523</v>
      </c>
    </row>
    <row r="13" spans="1:9" x14ac:dyDescent="0.2">
      <c r="A13" s="125" t="s">
        <v>496</v>
      </c>
      <c r="B13" s="568"/>
      <c r="C13" s="568"/>
      <c r="D13" s="568"/>
      <c r="E13" s="801" t="s">
        <v>1120</v>
      </c>
      <c r="F13" s="1050" t="s">
        <v>1120</v>
      </c>
      <c r="G13" s="1050" t="s">
        <v>1235</v>
      </c>
      <c r="H13" s="1050" t="s">
        <v>523</v>
      </c>
      <c r="I13" s="1050" t="s">
        <v>1235</v>
      </c>
    </row>
    <row r="14" spans="1:9" x14ac:dyDescent="0.2">
      <c r="A14" s="563"/>
      <c r="B14" s="563"/>
      <c r="C14" s="563"/>
      <c r="D14" s="563"/>
      <c r="E14" s="570" t="s">
        <v>500</v>
      </c>
      <c r="F14" s="570" t="s">
        <v>500</v>
      </c>
      <c r="G14" s="570" t="s">
        <v>500</v>
      </c>
      <c r="H14" s="570" t="s">
        <v>500</v>
      </c>
      <c r="I14" s="570" t="s">
        <v>500</v>
      </c>
    </row>
    <row r="15" spans="1:9" x14ac:dyDescent="0.2">
      <c r="A15" s="563"/>
      <c r="B15" s="563"/>
      <c r="C15" s="563"/>
      <c r="D15" s="563"/>
      <c r="E15" s="563"/>
      <c r="F15" s="563"/>
      <c r="G15" s="563"/>
      <c r="H15" s="563"/>
      <c r="I15" s="563"/>
    </row>
    <row r="16" spans="1:9" x14ac:dyDescent="0.2">
      <c r="A16" s="570"/>
      <c r="B16" s="563"/>
      <c r="C16" s="563" t="s">
        <v>1175</v>
      </c>
      <c r="D16" s="563"/>
      <c r="E16" s="563"/>
      <c r="F16" s="563"/>
      <c r="G16" s="563"/>
      <c r="H16" s="1052">
        <v>1</v>
      </c>
      <c r="I16" s="563"/>
    </row>
    <row r="17" spans="1:9" x14ac:dyDescent="0.2">
      <c r="A17" s="570"/>
      <c r="B17" s="563"/>
      <c r="C17" s="563" t="s">
        <v>1176</v>
      </c>
      <c r="D17" s="563"/>
      <c r="E17" s="570"/>
      <c r="F17" s="570"/>
      <c r="G17" s="570"/>
    </row>
    <row r="18" spans="1:9" x14ac:dyDescent="0.2">
      <c r="A18" s="570"/>
      <c r="B18" s="563"/>
      <c r="C18" s="563"/>
      <c r="D18" s="563"/>
      <c r="E18" s="570"/>
      <c r="F18" s="570"/>
      <c r="G18" s="570"/>
    </row>
    <row r="19" spans="1:9" x14ac:dyDescent="0.2">
      <c r="A19" s="570"/>
      <c r="C19" s="563"/>
      <c r="D19" s="563"/>
      <c r="E19" s="570"/>
      <c r="F19" s="570"/>
      <c r="G19" s="570"/>
    </row>
    <row r="20" spans="1:9" x14ac:dyDescent="0.2">
      <c r="A20" s="570">
        <v>1</v>
      </c>
      <c r="B20" s="563">
        <v>907</v>
      </c>
      <c r="C20" s="563"/>
      <c r="D20" s="563"/>
      <c r="E20" s="1233">
        <v>30327</v>
      </c>
      <c r="F20" s="1236">
        <f t="shared" ref="F20:F25" si="0">E20+G20</f>
        <v>28327</v>
      </c>
      <c r="G20" s="1234">
        <v>-2000</v>
      </c>
      <c r="I20" s="961">
        <f t="shared" ref="I20:I26" si="1">G20</f>
        <v>-2000</v>
      </c>
    </row>
    <row r="21" spans="1:9" x14ac:dyDescent="0.2">
      <c r="A21" s="570">
        <f t="shared" ref="A21:A26" si="2">A20+1</f>
        <v>2</v>
      </c>
      <c r="B21" s="563">
        <v>912</v>
      </c>
      <c r="C21" s="563"/>
      <c r="D21" s="563"/>
      <c r="E21" s="1233">
        <v>43417</v>
      </c>
      <c r="F21" s="1236">
        <f t="shared" si="0"/>
        <v>37917</v>
      </c>
      <c r="G21" s="1233">
        <v>-5500</v>
      </c>
      <c r="I21" s="961">
        <f t="shared" si="1"/>
        <v>-5500</v>
      </c>
    </row>
    <row r="22" spans="1:9" x14ac:dyDescent="0.2">
      <c r="A22" s="570">
        <f t="shared" si="2"/>
        <v>3</v>
      </c>
      <c r="B22" s="563">
        <v>913</v>
      </c>
      <c r="C22" s="563"/>
      <c r="D22" s="563"/>
      <c r="E22" s="996">
        <v>5525</v>
      </c>
      <c r="F22" s="1236">
        <f t="shared" si="0"/>
        <v>5275</v>
      </c>
      <c r="G22" s="1234">
        <v>-250</v>
      </c>
      <c r="I22" s="961">
        <f t="shared" si="1"/>
        <v>-250</v>
      </c>
    </row>
    <row r="23" spans="1:9" x14ac:dyDescent="0.2">
      <c r="A23" s="570">
        <f t="shared" si="2"/>
        <v>4</v>
      </c>
      <c r="B23" s="563">
        <v>920</v>
      </c>
      <c r="C23" s="563"/>
      <c r="D23" s="563"/>
      <c r="E23" s="996">
        <v>999080</v>
      </c>
      <c r="F23" s="1236">
        <f t="shared" si="0"/>
        <v>997648.53</v>
      </c>
      <c r="G23" s="1234">
        <v>-1431.47</v>
      </c>
      <c r="I23" s="961">
        <f t="shared" si="1"/>
        <v>-1431.47</v>
      </c>
    </row>
    <row r="24" spans="1:9" x14ac:dyDescent="0.2">
      <c r="A24" s="570">
        <f t="shared" si="2"/>
        <v>5</v>
      </c>
      <c r="B24" s="563">
        <v>921</v>
      </c>
      <c r="C24" s="563"/>
      <c r="D24" s="563"/>
      <c r="E24" s="996">
        <v>318576</v>
      </c>
      <c r="F24" s="1236">
        <f t="shared" si="0"/>
        <v>280882.5</v>
      </c>
      <c r="G24" s="1234">
        <v>-37693.5</v>
      </c>
      <c r="H24" s="996"/>
      <c r="I24" s="961">
        <f t="shared" si="1"/>
        <v>-37693.5</v>
      </c>
    </row>
    <row r="25" spans="1:9" x14ac:dyDescent="0.2">
      <c r="A25" s="570">
        <f t="shared" si="2"/>
        <v>6</v>
      </c>
      <c r="B25" s="563">
        <v>923</v>
      </c>
      <c r="C25" s="563"/>
      <c r="D25" s="563"/>
      <c r="E25" s="996">
        <v>7111835</v>
      </c>
      <c r="F25" s="1236">
        <f t="shared" si="0"/>
        <v>7103085</v>
      </c>
      <c r="G25" s="1235">
        <v>-8750</v>
      </c>
      <c r="H25" s="1051"/>
      <c r="I25" s="753">
        <f t="shared" si="1"/>
        <v>-8750</v>
      </c>
    </row>
    <row r="26" spans="1:9" x14ac:dyDescent="0.2">
      <c r="A26" s="570">
        <f t="shared" si="2"/>
        <v>7</v>
      </c>
      <c r="B26" s="90" t="s">
        <v>584</v>
      </c>
      <c r="E26" s="413"/>
      <c r="F26" s="755"/>
      <c r="G26" s="755">
        <f>SUM(G20:G25)</f>
        <v>-55624.97</v>
      </c>
      <c r="H26" s="526"/>
      <c r="I26" s="413">
        <f t="shared" si="1"/>
        <v>-55624.97</v>
      </c>
    </row>
    <row r="27" spans="1:9" x14ac:dyDescent="0.2">
      <c r="A27" s="92"/>
    </row>
  </sheetData>
  <mergeCells count="5">
    <mergeCell ref="A5:I5"/>
    <mergeCell ref="A1:I1"/>
    <mergeCell ref="A2:I2"/>
    <mergeCell ref="A3:I3"/>
    <mergeCell ref="A4:I4"/>
  </mergeCells>
  <phoneticPr fontId="0" type="noConversion"/>
  <printOptions horizontalCentered="1"/>
  <pageMargins left="0.5" right="0.5" top="0.75" bottom="0.75" header="0.5" footer="0.5"/>
  <pageSetup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126"/>
  <sheetViews>
    <sheetView zoomScaleNormal="100" workbookViewId="0">
      <selection activeCell="J11" sqref="J11"/>
    </sheetView>
  </sheetViews>
  <sheetFormatPr defaultColWidth="9.83203125" defaultRowHeight="10.5" x14ac:dyDescent="0.15"/>
  <cols>
    <col min="2" max="2" width="15.83203125" customWidth="1"/>
    <col min="3" max="3" width="12.83203125" customWidth="1"/>
    <col min="4" max="4" width="18" bestFit="1" customWidth="1"/>
    <col min="5" max="5" width="14.83203125" customWidth="1"/>
    <col min="6" max="6" width="19.6640625" bestFit="1" customWidth="1"/>
    <col min="7" max="7" width="16.83203125" customWidth="1"/>
    <col min="8" max="8" width="9.83203125" customWidth="1"/>
    <col min="11" max="11" width="16" bestFit="1" customWidth="1"/>
  </cols>
  <sheetData>
    <row r="1" spans="1:12" ht="12.75" x14ac:dyDescent="0.2">
      <c r="A1" s="1391" t="s">
        <v>477</v>
      </c>
      <c r="B1" s="1391"/>
      <c r="C1" s="1391"/>
      <c r="D1" s="1391"/>
      <c r="E1" s="1391"/>
      <c r="F1" s="1391"/>
      <c r="G1" s="1391"/>
      <c r="H1" s="1391"/>
      <c r="I1" s="1391"/>
      <c r="J1" s="1391"/>
      <c r="K1" s="91"/>
      <c r="L1" s="91"/>
    </row>
    <row r="2" spans="1:12" ht="12.75" x14ac:dyDescent="0.2">
      <c r="A2" s="1391" t="str">
        <f>Input!C4</f>
        <v>CASE NO. 2017-xxxxx</v>
      </c>
      <c r="B2" s="1391"/>
      <c r="C2" s="1391"/>
      <c r="D2" s="1391"/>
      <c r="E2" s="1391"/>
      <c r="F2" s="1391"/>
      <c r="G2" s="1391"/>
      <c r="H2" s="1391"/>
      <c r="I2" s="1391"/>
      <c r="J2" s="1391"/>
      <c r="K2" s="91"/>
      <c r="L2" s="91"/>
    </row>
    <row r="3" spans="1:12" ht="12.75" x14ac:dyDescent="0.2">
      <c r="A3" s="1391" t="s">
        <v>1431</v>
      </c>
      <c r="B3" s="1391"/>
      <c r="C3" s="1391"/>
      <c r="D3" s="1391"/>
      <c r="E3" s="1391"/>
      <c r="F3" s="1391"/>
      <c r="G3" s="1391"/>
      <c r="H3" s="1391"/>
      <c r="I3" s="1391"/>
      <c r="J3" s="1391"/>
      <c r="K3" s="91"/>
      <c r="L3" s="91"/>
    </row>
    <row r="4" spans="1:12" ht="12.75" x14ac:dyDescent="0.2">
      <c r="A4" s="1391" t="str">
        <f>Input!C9</f>
        <v>FOR THE HISTORIC PERIOD DECEMBER 31, 2017</v>
      </c>
      <c r="B4" s="1391"/>
      <c r="C4" s="1391"/>
      <c r="D4" s="1391"/>
      <c r="E4" s="1391"/>
      <c r="F4" s="1391"/>
      <c r="G4" s="1391"/>
      <c r="H4" s="1391"/>
      <c r="I4" s="1391"/>
      <c r="J4" s="1391"/>
      <c r="K4" s="91"/>
      <c r="L4" s="91"/>
    </row>
    <row r="5" spans="1:12" ht="12.75" x14ac:dyDescent="0.2">
      <c r="A5" s="90"/>
      <c r="B5" s="90"/>
      <c r="C5" s="90"/>
      <c r="D5" s="90"/>
      <c r="E5" s="90"/>
      <c r="F5" s="113"/>
      <c r="G5" s="90"/>
      <c r="H5" s="90"/>
      <c r="I5" s="90"/>
      <c r="J5" s="90"/>
      <c r="K5" s="91"/>
      <c r="L5" s="91"/>
    </row>
    <row r="6" spans="1:12" ht="12.75" x14ac:dyDescent="0.2">
      <c r="A6" s="90"/>
      <c r="B6" s="90"/>
      <c r="C6" s="90"/>
      <c r="D6" s="90"/>
      <c r="E6" s="90"/>
      <c r="F6" s="113"/>
      <c r="G6" s="90"/>
      <c r="H6" s="90"/>
      <c r="I6" s="90"/>
      <c r="J6" s="90"/>
      <c r="K6" s="91"/>
      <c r="L6" s="91"/>
    </row>
    <row r="7" spans="1:12" ht="12.75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1"/>
      <c r="L7" s="91"/>
    </row>
    <row r="8" spans="1:12" ht="12.75" x14ac:dyDescent="0.2">
      <c r="A8" s="112" t="s">
        <v>839</v>
      </c>
      <c r="B8" s="90"/>
      <c r="C8" s="90"/>
      <c r="D8" s="90"/>
      <c r="E8" s="90"/>
      <c r="F8" s="90"/>
      <c r="G8" s="90"/>
      <c r="H8" s="91"/>
      <c r="I8" s="90"/>
      <c r="J8" s="119" t="s">
        <v>1731</v>
      </c>
      <c r="K8" s="91"/>
      <c r="L8" s="91"/>
    </row>
    <row r="9" spans="1:12" ht="12.75" x14ac:dyDescent="0.2">
      <c r="A9" s="112" t="s">
        <v>490</v>
      </c>
      <c r="B9" s="90"/>
      <c r="C9" s="90"/>
      <c r="D9" s="90"/>
      <c r="E9" s="90"/>
      <c r="F9" s="90"/>
      <c r="G9" s="90"/>
      <c r="H9" s="91"/>
      <c r="I9" s="90"/>
      <c r="J9" s="119" t="s">
        <v>491</v>
      </c>
      <c r="K9" s="91"/>
      <c r="L9" s="91"/>
    </row>
    <row r="10" spans="1:12" ht="12.75" x14ac:dyDescent="0.2">
      <c r="A10" s="120" t="s">
        <v>840</v>
      </c>
      <c r="B10" s="121"/>
      <c r="C10" s="121"/>
      <c r="D10" s="121"/>
      <c r="E10" s="121"/>
      <c r="F10" s="121"/>
      <c r="G10" s="121"/>
      <c r="H10" s="346"/>
      <c r="I10" s="122"/>
      <c r="J10" s="123" t="str">
        <f>Input!E27</f>
        <v>WITNESS:  C. Y. LAI</v>
      </c>
      <c r="K10" s="91"/>
      <c r="L10" s="91"/>
    </row>
    <row r="11" spans="1:12" ht="12.75" x14ac:dyDescent="0.2">
      <c r="A11" s="113" t="s">
        <v>493</v>
      </c>
      <c r="B11" s="90"/>
      <c r="C11" s="113" t="s">
        <v>1143</v>
      </c>
      <c r="D11" s="90"/>
      <c r="E11" s="90"/>
      <c r="F11" s="113" t="s">
        <v>523</v>
      </c>
      <c r="G11" s="90"/>
      <c r="H11" s="113" t="s">
        <v>1734</v>
      </c>
      <c r="I11" s="90"/>
      <c r="J11" s="90"/>
      <c r="K11" s="91"/>
      <c r="L11" s="91"/>
    </row>
    <row r="12" spans="1:12" ht="12.75" x14ac:dyDescent="0.2">
      <c r="A12" s="124" t="s">
        <v>496</v>
      </c>
      <c r="B12" s="121"/>
      <c r="C12" s="124" t="s">
        <v>496</v>
      </c>
      <c r="D12" s="124" t="s">
        <v>841</v>
      </c>
      <c r="E12" s="121"/>
      <c r="F12" s="124" t="s">
        <v>1735</v>
      </c>
      <c r="G12" s="121"/>
      <c r="H12" s="124" t="s">
        <v>1736</v>
      </c>
      <c r="I12" s="121"/>
      <c r="J12" s="121"/>
      <c r="K12" s="91"/>
      <c r="L12" s="91"/>
    </row>
    <row r="13" spans="1:12" ht="12.75" x14ac:dyDescent="0.2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1"/>
      <c r="L13" s="91"/>
    </row>
    <row r="14" spans="1:12" ht="12.75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1"/>
      <c r="L14" s="91"/>
    </row>
    <row r="15" spans="1:12" ht="12.75" x14ac:dyDescent="0.2">
      <c r="A15" s="90"/>
      <c r="B15" s="90"/>
      <c r="C15" s="90"/>
      <c r="D15" s="90"/>
      <c r="E15" s="128"/>
      <c r="F15" s="347"/>
      <c r="G15" s="128"/>
      <c r="H15" s="128"/>
      <c r="I15" s="90"/>
      <c r="J15" s="128"/>
      <c r="K15" s="91"/>
      <c r="L15" s="91"/>
    </row>
    <row r="16" spans="1:12" ht="12.75" x14ac:dyDescent="0.2">
      <c r="A16" s="90"/>
      <c r="B16" s="90"/>
      <c r="C16" s="90"/>
      <c r="D16" s="90"/>
      <c r="E16" s="128"/>
      <c r="F16" s="90"/>
      <c r="G16" s="128"/>
      <c r="H16" s="128"/>
      <c r="I16" s="90"/>
      <c r="J16" s="90"/>
      <c r="K16" s="91"/>
      <c r="L16" s="91"/>
    </row>
    <row r="17" spans="1:12" ht="12.75" x14ac:dyDescent="0.2">
      <c r="A17" s="1391" t="s">
        <v>1737</v>
      </c>
      <c r="B17" s="1391"/>
      <c r="C17" s="1391"/>
      <c r="D17" s="1391"/>
      <c r="E17" s="1391"/>
      <c r="F17" s="1391"/>
      <c r="G17" s="1391"/>
      <c r="H17" s="1391"/>
      <c r="I17" s="1391"/>
      <c r="J17" s="1391"/>
      <c r="K17" s="91"/>
      <c r="L17" s="91"/>
    </row>
    <row r="18" spans="1:12" ht="12.75" x14ac:dyDescent="0.2">
      <c r="A18" s="90"/>
      <c r="B18" s="90"/>
      <c r="C18" s="128"/>
      <c r="D18" s="90"/>
      <c r="E18" s="128"/>
      <c r="F18" s="90"/>
      <c r="G18" s="90"/>
      <c r="H18" s="128"/>
      <c r="I18" s="90"/>
      <c r="J18" s="90"/>
      <c r="K18" s="91"/>
      <c r="L18" s="91"/>
    </row>
    <row r="19" spans="1:12" ht="11.25" x14ac:dyDescent="0.2">
      <c r="A19" s="91"/>
      <c r="B19" s="91"/>
      <c r="C19" s="350"/>
      <c r="D19" s="351"/>
      <c r="E19" s="350"/>
      <c r="F19" s="350"/>
      <c r="G19" s="91"/>
      <c r="H19" s="350"/>
      <c r="I19" s="91"/>
      <c r="J19" s="91"/>
      <c r="K19" s="91"/>
      <c r="L19" s="91"/>
    </row>
    <row r="20" spans="1:12" ht="11.25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1.25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1.25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1.25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1.25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1.25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11.25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1.25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2" ht="11.25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1:12" ht="11.25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2" ht="11.25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ht="11.25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2" ht="11.25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1:12" ht="11.25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11.25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 ht="11.25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12" ht="11.25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1:12" ht="11.25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1:12" ht="11.25" x14ac:dyDescent="0.2">
      <c r="A38" s="91"/>
      <c r="B38" s="91"/>
      <c r="C38" s="91"/>
      <c r="D38" s="350"/>
      <c r="E38" s="91"/>
      <c r="F38" s="350"/>
      <c r="G38" s="350"/>
      <c r="H38" s="350"/>
      <c r="I38" s="91"/>
      <c r="J38" s="350"/>
      <c r="K38" s="91"/>
      <c r="L38" s="91"/>
    </row>
    <row r="39" spans="1:12" ht="11.25" x14ac:dyDescent="0.2">
      <c r="A39" s="91"/>
      <c r="B39" s="91"/>
      <c r="C39" s="91"/>
      <c r="D39" s="580"/>
      <c r="E39" s="91"/>
      <c r="F39" s="91"/>
      <c r="G39" s="91"/>
      <c r="H39" s="91"/>
      <c r="I39" s="91"/>
      <c r="J39" s="91"/>
      <c r="K39" s="91"/>
      <c r="L39" s="91"/>
    </row>
    <row r="40" spans="1:12" ht="11.25" x14ac:dyDescent="0.2">
      <c r="A40" s="91"/>
      <c r="B40" s="91"/>
      <c r="C40" s="91"/>
      <c r="D40" s="580"/>
      <c r="E40" s="91"/>
      <c r="F40" s="91"/>
      <c r="G40" s="91"/>
      <c r="H40" s="91"/>
      <c r="I40" s="91"/>
      <c r="J40" s="91"/>
      <c r="K40" s="91"/>
      <c r="L40" s="91"/>
    </row>
    <row r="41" spans="1:12" ht="11.25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2" ht="11.25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1:12" ht="11.25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1:12" ht="11.25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1:12" ht="11.25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1:12" ht="11.25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1:12" ht="11.25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1.25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1.25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1.25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1.25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1.25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2" ht="11.25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1.25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1.25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1.25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1.25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1.25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1.25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1.25" x14ac:dyDescent="0.2">
      <c r="A60" s="91"/>
      <c r="B60" s="91"/>
      <c r="C60" s="91"/>
      <c r="D60" s="350"/>
      <c r="E60" s="91"/>
      <c r="F60" s="350"/>
      <c r="G60" s="350"/>
      <c r="H60" s="350"/>
      <c r="I60" s="91"/>
      <c r="J60" s="350"/>
      <c r="K60" s="91"/>
      <c r="L60" s="91"/>
    </row>
    <row r="61" spans="1:12" ht="11.25" x14ac:dyDescent="0.2">
      <c r="A61" s="91"/>
      <c r="B61" s="91"/>
      <c r="C61" s="91"/>
      <c r="D61" s="350"/>
      <c r="E61" s="351"/>
      <c r="F61" s="350"/>
      <c r="G61" s="350"/>
      <c r="H61" s="350"/>
      <c r="I61" s="91"/>
      <c r="J61" s="350"/>
      <c r="K61" s="91"/>
      <c r="L61" s="91"/>
    </row>
    <row r="62" spans="1:12" ht="11.25" x14ac:dyDescent="0.2">
      <c r="A62" s="91"/>
      <c r="B62" s="91"/>
      <c r="C62" s="350"/>
      <c r="D62" s="91"/>
      <c r="E62" s="350"/>
      <c r="F62" s="350"/>
      <c r="G62" s="91"/>
      <c r="H62" s="350"/>
      <c r="I62" s="91"/>
      <c r="J62" s="91"/>
      <c r="K62" s="91"/>
      <c r="L62" s="91"/>
    </row>
    <row r="63" spans="1:12" ht="11.25" x14ac:dyDescent="0.2">
      <c r="A63" s="91"/>
      <c r="B63" s="91"/>
      <c r="C63" s="350"/>
      <c r="D63" s="351"/>
      <c r="E63" s="350"/>
      <c r="F63" s="350"/>
      <c r="G63" s="91"/>
      <c r="H63" s="350"/>
      <c r="I63" s="91"/>
      <c r="J63" s="91"/>
      <c r="K63" s="91"/>
      <c r="L63" s="91"/>
    </row>
    <row r="64" spans="1:12" ht="11.25" x14ac:dyDescent="0.2">
      <c r="A64" s="91"/>
      <c r="B64" s="91"/>
      <c r="C64" s="350"/>
      <c r="D64" s="91"/>
      <c r="E64" s="350"/>
      <c r="F64" s="350"/>
      <c r="G64" s="91"/>
      <c r="H64" s="350"/>
      <c r="I64" s="91"/>
      <c r="J64" s="91"/>
      <c r="K64" s="91"/>
      <c r="L64" s="91"/>
    </row>
    <row r="65" spans="1:12" ht="11.25" x14ac:dyDescent="0.2">
      <c r="A65" s="91"/>
      <c r="B65" s="91"/>
      <c r="C65" s="350"/>
      <c r="D65" s="351"/>
      <c r="E65" s="350"/>
      <c r="F65" s="350"/>
      <c r="G65" s="91"/>
      <c r="H65" s="350"/>
      <c r="I65" s="91"/>
      <c r="J65" s="91"/>
      <c r="K65" s="91"/>
      <c r="L65" s="91"/>
    </row>
    <row r="66" spans="1:12" ht="11.25" x14ac:dyDescent="0.2">
      <c r="A66" s="91"/>
      <c r="B66" s="91"/>
      <c r="C66" s="350"/>
      <c r="D66" s="91"/>
      <c r="E66" s="350"/>
      <c r="F66" s="350"/>
      <c r="G66" s="91"/>
      <c r="H66" s="91"/>
      <c r="I66" s="91"/>
      <c r="J66" s="91"/>
      <c r="K66" s="91"/>
      <c r="L66" s="91"/>
    </row>
    <row r="67" spans="1:12" ht="11.25" x14ac:dyDescent="0.2">
      <c r="A67" s="91"/>
      <c r="B67" s="91"/>
      <c r="C67" s="350"/>
      <c r="D67" s="91"/>
      <c r="E67" s="350"/>
      <c r="F67" s="350"/>
      <c r="G67" s="91"/>
      <c r="H67" s="350"/>
      <c r="I67" s="91"/>
      <c r="J67" s="91"/>
      <c r="K67" s="91"/>
      <c r="L67" s="91"/>
    </row>
    <row r="68" spans="1:12" ht="11.25" x14ac:dyDescent="0.2">
      <c r="A68" s="91"/>
      <c r="B68" s="91"/>
      <c r="C68" s="350"/>
      <c r="D68" s="91"/>
      <c r="E68" s="350"/>
      <c r="F68" s="350"/>
      <c r="G68" s="91"/>
      <c r="H68" s="91"/>
      <c r="I68" s="91"/>
      <c r="J68" s="91"/>
      <c r="K68" s="91"/>
      <c r="L68" s="91"/>
    </row>
    <row r="69" spans="1:12" ht="11.25" x14ac:dyDescent="0.2">
      <c r="A69" s="91"/>
      <c r="B69" s="91"/>
      <c r="C69" s="91"/>
      <c r="D69" s="91"/>
      <c r="E69" s="350"/>
      <c r="F69" s="350"/>
      <c r="G69" s="91"/>
      <c r="H69" s="91"/>
      <c r="I69" s="91"/>
      <c r="J69" s="91"/>
      <c r="K69" s="91"/>
      <c r="L69" s="91"/>
    </row>
    <row r="70" spans="1:12" ht="11.25" x14ac:dyDescent="0.2">
      <c r="A70" s="91"/>
      <c r="B70" s="91"/>
      <c r="C70" s="91"/>
      <c r="D70" s="91"/>
      <c r="E70" s="350"/>
      <c r="F70" s="350"/>
      <c r="G70" s="91"/>
      <c r="H70" s="91"/>
      <c r="I70" s="91"/>
      <c r="J70" s="91"/>
      <c r="K70" s="91"/>
      <c r="L70" s="91"/>
    </row>
    <row r="71" spans="1:12" ht="11.25" x14ac:dyDescent="0.2">
      <c r="A71" s="91"/>
      <c r="B71" s="91"/>
      <c r="C71" s="91"/>
      <c r="D71" s="91"/>
      <c r="E71" s="350"/>
      <c r="F71" s="350"/>
      <c r="G71" s="91"/>
      <c r="H71" s="91"/>
      <c r="I71" s="91"/>
      <c r="J71" s="91"/>
      <c r="K71" s="91"/>
      <c r="L71" s="91"/>
    </row>
    <row r="72" spans="1:12" ht="11.25" x14ac:dyDescent="0.2">
      <c r="A72" s="91"/>
      <c r="B72" s="91"/>
      <c r="C72" s="91"/>
      <c r="D72" s="91"/>
      <c r="E72" s="350"/>
      <c r="F72" s="350"/>
      <c r="G72" s="91"/>
      <c r="H72" s="91"/>
      <c r="I72" s="91"/>
      <c r="J72" s="91"/>
      <c r="K72" s="91"/>
      <c r="L72" s="91"/>
    </row>
    <row r="73" spans="1:12" ht="11.25" x14ac:dyDescent="0.2">
      <c r="A73" s="91"/>
      <c r="B73" s="91"/>
      <c r="C73" s="91"/>
      <c r="D73" s="91"/>
      <c r="E73" s="350"/>
      <c r="F73" s="350"/>
      <c r="G73" s="91"/>
      <c r="H73" s="91"/>
      <c r="I73" s="91"/>
      <c r="J73" s="91"/>
      <c r="K73" s="91"/>
      <c r="L73" s="91"/>
    </row>
    <row r="74" spans="1:12" ht="11.25" x14ac:dyDescent="0.2">
      <c r="A74" s="91"/>
      <c r="B74" s="91"/>
      <c r="C74" s="91"/>
      <c r="D74" s="91"/>
      <c r="E74" s="350"/>
      <c r="F74" s="350"/>
      <c r="G74" s="91"/>
      <c r="H74" s="91"/>
      <c r="I74" s="91"/>
      <c r="J74" s="91"/>
      <c r="K74" s="91"/>
      <c r="L74" s="91"/>
    </row>
    <row r="75" spans="1:12" ht="11.25" x14ac:dyDescent="0.2">
      <c r="A75" s="91"/>
      <c r="B75" s="91"/>
      <c r="C75" s="91"/>
      <c r="D75" s="91"/>
      <c r="E75" s="350"/>
      <c r="F75" s="350"/>
      <c r="G75" s="91"/>
      <c r="H75" s="91"/>
      <c r="I75" s="91"/>
      <c r="J75" s="91"/>
      <c r="K75" s="91"/>
      <c r="L75" s="91"/>
    </row>
    <row r="76" spans="1:12" ht="11.25" x14ac:dyDescent="0.2">
      <c r="A76" s="91"/>
      <c r="B76" s="91"/>
      <c r="C76" s="91"/>
      <c r="D76" s="91"/>
      <c r="E76" s="350"/>
      <c r="F76" s="350"/>
      <c r="G76" s="91"/>
      <c r="H76" s="91"/>
      <c r="I76" s="91"/>
      <c r="J76" s="91"/>
      <c r="K76" s="91"/>
      <c r="L76" s="91"/>
    </row>
    <row r="77" spans="1:12" ht="11.25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1:12" ht="11.25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1:12" ht="11.25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1:12" ht="11.25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1:12" ht="11.25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1:12" ht="11.25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1:12" ht="11.25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1:12" ht="11.25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1:12" ht="11.25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1:12" ht="11.25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ht="11.25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ht="11.25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ht="11.25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1:12" ht="11.25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ht="11.25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1:12" ht="11.25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ht="11.25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1:12" ht="11.25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ht="11.25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1:12" ht="11.25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1:12" ht="11.25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1:12" ht="11.25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1:12" ht="11.25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1:12" ht="11.25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1:12" ht="11.25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1:12" ht="11.25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1:12" ht="11.25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2" ht="11.25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1:12" ht="11.25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ht="11.25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1:12" ht="11.25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1:12" ht="11.25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1:12" ht="11.25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1:12" ht="11.25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ht="11.25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1:12" ht="11.25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1:12" ht="11.25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1:12" ht="11.25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1:12" ht="11.25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1:12" ht="11.25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1:12" ht="11.25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1:12" ht="11.25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1:12" ht="11.25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1:12" ht="11.25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1:12" ht="11.25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1:12" ht="11.25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1:12" ht="11.25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1:12" ht="11.25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1:12" ht="11.25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1:12" ht="11.25" x14ac:dyDescent="0.2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</sheetData>
  <mergeCells count="5">
    <mergeCell ref="A17:J17"/>
    <mergeCell ref="A1:J1"/>
    <mergeCell ref="A2:J2"/>
    <mergeCell ref="A3:J3"/>
    <mergeCell ref="A4:J4"/>
  </mergeCells>
  <phoneticPr fontId="0" type="noConversion"/>
  <printOptions horizontalCentered="1"/>
  <pageMargins left="0.25" right="0.25" top="1" bottom="0.75" header="0.5" footer="0.5"/>
  <pageSetup scale="8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6" transitionEvaluation="1" transitionEntry="1"/>
  <dimension ref="A1:I78"/>
  <sheetViews>
    <sheetView topLeftCell="A6" zoomScaleNormal="85" workbookViewId="0">
      <selection activeCell="E25" sqref="E25"/>
    </sheetView>
  </sheetViews>
  <sheetFormatPr defaultColWidth="9.83203125" defaultRowHeight="10.5" x14ac:dyDescent="0.15"/>
  <cols>
    <col min="1" max="1" width="7.83203125" customWidth="1"/>
    <col min="2" max="2" width="4.83203125" customWidth="1"/>
    <col min="3" max="3" width="64" bestFit="1" customWidth="1"/>
    <col min="4" max="4" width="11.83203125" customWidth="1"/>
    <col min="5" max="5" width="14.83203125" customWidth="1"/>
    <col min="6" max="6" width="11.83203125" customWidth="1"/>
    <col min="7" max="7" width="17.6640625" customWidth="1"/>
    <col min="8" max="8" width="13.5" customWidth="1"/>
  </cols>
  <sheetData>
    <row r="1" spans="1:9" ht="12.75" x14ac:dyDescent="0.2">
      <c r="A1" s="1391" t="s">
        <v>477</v>
      </c>
      <c r="B1" s="1391"/>
      <c r="C1" s="1391"/>
      <c r="D1" s="1391"/>
      <c r="E1" s="1391"/>
      <c r="F1" s="1391"/>
      <c r="G1" s="1391"/>
    </row>
    <row r="2" spans="1:9" ht="12.75" x14ac:dyDescent="0.2">
      <c r="A2" s="1391" t="str">
        <f>Input!C4</f>
        <v>CASE NO. 2017-xxxxx</v>
      </c>
      <c r="B2" s="1391"/>
      <c r="C2" s="1391"/>
      <c r="D2" s="1391"/>
      <c r="E2" s="1391"/>
      <c r="F2" s="1391"/>
      <c r="G2" s="1391"/>
    </row>
    <row r="3" spans="1:9" ht="12.75" x14ac:dyDescent="0.2">
      <c r="A3" s="1391" t="s">
        <v>872</v>
      </c>
      <c r="B3" s="1391"/>
      <c r="C3" s="1391"/>
      <c r="D3" s="1391"/>
      <c r="E3" s="1391"/>
      <c r="F3" s="1391"/>
      <c r="G3" s="1391"/>
    </row>
    <row r="4" spans="1:9" ht="12.75" x14ac:dyDescent="0.2">
      <c r="A4" s="1391" t="str">
        <f>Input!C7</f>
        <v>AS OF DECEMBER 31, 2017</v>
      </c>
      <c r="B4" s="1391"/>
      <c r="C4" s="1391"/>
      <c r="D4" s="1391"/>
      <c r="E4" s="1391"/>
      <c r="F4" s="1391"/>
      <c r="G4" s="1391"/>
    </row>
    <row r="5" spans="1:9" ht="12.75" x14ac:dyDescent="0.2">
      <c r="A5" s="90"/>
      <c r="B5" s="90"/>
      <c r="C5" s="90"/>
      <c r="D5" s="90"/>
      <c r="E5" s="90"/>
      <c r="F5" s="90"/>
      <c r="G5" s="90"/>
    </row>
    <row r="6" spans="1:9" ht="12.75" x14ac:dyDescent="0.2">
      <c r="A6" s="112" t="s">
        <v>839</v>
      </c>
      <c r="B6" s="112"/>
      <c r="C6" s="90"/>
      <c r="D6" s="90"/>
      <c r="E6" s="90"/>
      <c r="F6" s="90"/>
      <c r="G6" s="119" t="s">
        <v>873</v>
      </c>
    </row>
    <row r="7" spans="1:9" ht="12.75" x14ac:dyDescent="0.2">
      <c r="A7" s="112" t="s">
        <v>490</v>
      </c>
      <c r="B7" s="112"/>
      <c r="C7" s="90"/>
      <c r="D7" s="90"/>
      <c r="E7" s="90"/>
      <c r="F7" s="90"/>
      <c r="G7" s="119" t="s">
        <v>491</v>
      </c>
    </row>
    <row r="8" spans="1:9" ht="12.75" x14ac:dyDescent="0.2">
      <c r="A8" s="120" t="s">
        <v>840</v>
      </c>
      <c r="B8" s="120"/>
      <c r="C8" s="121"/>
      <c r="D8" s="121"/>
      <c r="E8" s="121"/>
      <c r="F8" s="122"/>
      <c r="G8" s="123" t="str">
        <f>Input!E27</f>
        <v>WITNESS:  C. Y. LAI</v>
      </c>
    </row>
    <row r="9" spans="1:9" s="17" customFormat="1" ht="12.75" x14ac:dyDescent="0.2">
      <c r="A9" s="92"/>
      <c r="B9" s="92"/>
      <c r="C9" s="92"/>
      <c r="D9" s="92"/>
      <c r="E9" s="113" t="s">
        <v>850</v>
      </c>
      <c r="F9" s="92"/>
      <c r="G9" s="92"/>
    </row>
    <row r="10" spans="1:9" s="17" customFormat="1" ht="12.75" x14ac:dyDescent="0.2">
      <c r="A10" s="113" t="s">
        <v>493</v>
      </c>
      <c r="B10" s="113"/>
      <c r="C10" s="92"/>
      <c r="D10" s="92"/>
      <c r="E10" s="113" t="s">
        <v>479</v>
      </c>
      <c r="F10" s="92"/>
      <c r="G10" s="113" t="s">
        <v>874</v>
      </c>
    </row>
    <row r="11" spans="1:9" s="17" customFormat="1" ht="12.75" x14ac:dyDescent="0.2">
      <c r="A11" s="124" t="s">
        <v>496</v>
      </c>
      <c r="B11" s="124"/>
      <c r="C11" s="124" t="s">
        <v>875</v>
      </c>
      <c r="D11" s="125"/>
      <c r="E11" s="124" t="s">
        <v>852</v>
      </c>
      <c r="F11" s="126"/>
      <c r="G11" s="124" t="s">
        <v>876</v>
      </c>
    </row>
    <row r="12" spans="1:9" ht="12.75" x14ac:dyDescent="0.2">
      <c r="A12" s="90"/>
      <c r="B12" s="90"/>
      <c r="C12" s="90"/>
      <c r="D12" s="90"/>
      <c r="E12" s="90"/>
      <c r="F12" s="90"/>
      <c r="G12" s="113" t="s">
        <v>500</v>
      </c>
    </row>
    <row r="13" spans="1:9" ht="12.75" x14ac:dyDescent="0.2">
      <c r="A13" s="127"/>
      <c r="B13" s="90"/>
      <c r="C13" s="90"/>
      <c r="D13" s="90"/>
      <c r="E13" s="90"/>
      <c r="F13" s="90"/>
      <c r="G13" s="90"/>
    </row>
    <row r="14" spans="1:9" ht="12.75" x14ac:dyDescent="0.2">
      <c r="A14" s="113">
        <v>1</v>
      </c>
      <c r="B14" s="113"/>
      <c r="C14" s="112" t="s">
        <v>877</v>
      </c>
      <c r="D14" s="90"/>
      <c r="E14" s="113" t="s">
        <v>878</v>
      </c>
      <c r="F14" s="128"/>
      <c r="G14" s="129">
        <f>'Plant in Service B-2'!L33</f>
        <v>271692715.58000004</v>
      </c>
      <c r="I14" s="1293" t="s">
        <v>1803</v>
      </c>
    </row>
    <row r="15" spans="1:9" ht="12.75" x14ac:dyDescent="0.2">
      <c r="A15" s="92"/>
      <c r="B15" s="90"/>
      <c r="C15" s="90"/>
      <c r="D15" s="90"/>
      <c r="E15" s="90"/>
      <c r="F15" s="128"/>
      <c r="G15" s="128"/>
    </row>
    <row r="16" spans="1:9" ht="12.75" x14ac:dyDescent="0.2">
      <c r="A16" s="113">
        <f>A14+1</f>
        <v>2</v>
      </c>
      <c r="B16" s="113"/>
      <c r="C16" s="112" t="s">
        <v>879</v>
      </c>
      <c r="D16" s="90"/>
      <c r="E16" s="113" t="s">
        <v>880</v>
      </c>
      <c r="F16" s="128"/>
      <c r="G16" s="726">
        <v>0</v>
      </c>
    </row>
    <row r="17" spans="1:9" ht="12.75" x14ac:dyDescent="0.2">
      <c r="A17" s="92"/>
      <c r="B17" s="90"/>
      <c r="C17" s="90"/>
      <c r="D17" s="90"/>
      <c r="E17" s="90"/>
      <c r="F17" s="128"/>
      <c r="G17" s="128"/>
    </row>
    <row r="18" spans="1:9" ht="12.75" x14ac:dyDescent="0.2">
      <c r="A18" s="113">
        <f>A16+1</f>
        <v>3</v>
      </c>
      <c r="B18" s="113"/>
      <c r="C18" s="112" t="s">
        <v>1599</v>
      </c>
      <c r="D18" s="90"/>
      <c r="E18" s="113" t="s">
        <v>881</v>
      </c>
      <c r="F18" s="128"/>
      <c r="G18" s="726">
        <v>0</v>
      </c>
    </row>
    <row r="19" spans="1:9" ht="12.75" x14ac:dyDescent="0.2">
      <c r="A19" s="92"/>
      <c r="B19" s="90"/>
      <c r="C19" s="90"/>
      <c r="D19" s="90"/>
      <c r="E19" s="90"/>
      <c r="F19" s="128"/>
      <c r="G19" s="128"/>
    </row>
    <row r="20" spans="1:9" ht="12.75" x14ac:dyDescent="0.2">
      <c r="A20" s="113">
        <f>A18+1</f>
        <v>4</v>
      </c>
      <c r="B20" s="113"/>
      <c r="C20" s="112" t="s">
        <v>882</v>
      </c>
      <c r="D20" s="90"/>
      <c r="E20" s="113" t="s">
        <v>887</v>
      </c>
      <c r="F20" s="128"/>
      <c r="G20" s="130">
        <f>-'Accum Depr &amp; Amort Summary B-3'!Q91</f>
        <v>-118596483</v>
      </c>
      <c r="I20" s="1293" t="s">
        <v>1803</v>
      </c>
    </row>
    <row r="21" spans="1:9" ht="12.75" x14ac:dyDescent="0.2">
      <c r="A21" s="92"/>
      <c r="B21" s="90"/>
      <c r="C21" s="90"/>
      <c r="D21" s="90"/>
      <c r="E21" s="90"/>
      <c r="F21" s="128"/>
      <c r="G21" s="128"/>
    </row>
    <row r="22" spans="1:9" ht="12.75" x14ac:dyDescent="0.2">
      <c r="A22" s="113">
        <f>A20+1</f>
        <v>5</v>
      </c>
      <c r="B22" s="113"/>
      <c r="C22" s="112" t="s">
        <v>888</v>
      </c>
      <c r="D22" s="90"/>
      <c r="E22" s="90"/>
      <c r="F22" s="128"/>
      <c r="G22" s="129">
        <f>SUM(G14:G20)</f>
        <v>153096232.58000004</v>
      </c>
    </row>
    <row r="23" spans="1:9" ht="12.75" x14ac:dyDescent="0.2">
      <c r="A23" s="92"/>
      <c r="B23" s="90"/>
      <c r="C23" s="90"/>
      <c r="D23" s="90"/>
      <c r="E23" s="90"/>
      <c r="F23" s="128"/>
      <c r="G23" s="128"/>
    </row>
    <row r="24" spans="1:9" ht="12.75" x14ac:dyDescent="0.2">
      <c r="A24" s="113">
        <f>A22+1</f>
        <v>6</v>
      </c>
      <c r="B24" s="113"/>
      <c r="C24" s="112" t="s">
        <v>1276</v>
      </c>
      <c r="D24" s="90"/>
      <c r="E24" s="113" t="s">
        <v>890</v>
      </c>
      <c r="F24" s="128"/>
      <c r="G24" s="129">
        <f>'CWIP B-4'!P42</f>
        <v>1215549</v>
      </c>
      <c r="I24" s="1293" t="s">
        <v>1803</v>
      </c>
    </row>
    <row r="25" spans="1:9" ht="12.75" x14ac:dyDescent="0.2">
      <c r="A25" s="92"/>
      <c r="B25" s="90"/>
      <c r="C25" s="90"/>
      <c r="D25" s="90"/>
      <c r="E25" s="90"/>
      <c r="F25" s="128"/>
      <c r="G25" s="128"/>
    </row>
    <row r="26" spans="1:9" ht="12.75" x14ac:dyDescent="0.2">
      <c r="A26" s="113">
        <f>A24+1</f>
        <v>7</v>
      </c>
      <c r="B26" s="113"/>
      <c r="C26" s="112" t="s">
        <v>891</v>
      </c>
      <c r="D26" s="90"/>
      <c r="E26" s="113" t="s">
        <v>892</v>
      </c>
      <c r="F26" s="128"/>
      <c r="G26" s="129" t="e">
        <f>'WC Comp 1-8 O&amp;M Exp  B-5.2'!I29</f>
        <v>#REF!</v>
      </c>
      <c r="I26" s="1293" t="s">
        <v>1803</v>
      </c>
    </row>
    <row r="27" spans="1:9" ht="12.75" x14ac:dyDescent="0.2">
      <c r="A27" s="92"/>
      <c r="B27" s="90"/>
      <c r="C27" s="90"/>
      <c r="D27" s="90"/>
      <c r="E27" s="90"/>
      <c r="F27" s="128"/>
      <c r="G27" s="128"/>
    </row>
    <row r="28" spans="1:9" ht="12.75" x14ac:dyDescent="0.2">
      <c r="A28" s="113">
        <f>A26+1</f>
        <v>8</v>
      </c>
      <c r="B28" s="113"/>
      <c r="C28" s="112" t="s">
        <v>893</v>
      </c>
      <c r="D28" s="90"/>
      <c r="E28" s="113" t="s">
        <v>894</v>
      </c>
      <c r="F28" s="128"/>
      <c r="G28" s="129">
        <f>'WC Comp 13 Mon Avg Bal B-5.1'!I22</f>
        <v>48665023</v>
      </c>
      <c r="I28" s="1293" t="s">
        <v>1803</v>
      </c>
    </row>
    <row r="29" spans="1:9" ht="12.75" x14ac:dyDescent="0.2">
      <c r="A29" s="92"/>
      <c r="B29" s="90"/>
      <c r="C29" s="90"/>
      <c r="D29" s="90"/>
      <c r="E29" s="90"/>
      <c r="F29" s="128"/>
      <c r="G29" s="128"/>
    </row>
    <row r="30" spans="1:9" ht="12.75" x14ac:dyDescent="0.2">
      <c r="A30" s="113">
        <f>A28+1</f>
        <v>9</v>
      </c>
      <c r="B30" s="113"/>
      <c r="C30" s="112" t="s">
        <v>895</v>
      </c>
      <c r="D30" s="90"/>
      <c r="E30" s="113" t="s">
        <v>896</v>
      </c>
      <c r="F30" s="128"/>
      <c r="G30" s="129">
        <f>'Def Cr &amp; Accum Def Inc Tax B-6'!M12</f>
        <v>-130111</v>
      </c>
      <c r="I30" s="1293" t="s">
        <v>1803</v>
      </c>
    </row>
    <row r="31" spans="1:9" ht="12.75" x14ac:dyDescent="0.2">
      <c r="A31" s="92"/>
      <c r="B31" s="90"/>
      <c r="C31" s="90"/>
      <c r="D31" s="90"/>
      <c r="E31" s="90"/>
      <c r="F31" s="128"/>
      <c r="G31" s="128"/>
    </row>
    <row r="32" spans="1:9" ht="12.75" x14ac:dyDescent="0.2">
      <c r="A32" s="113">
        <f>A30+1</f>
        <v>10</v>
      </c>
      <c r="B32" s="113"/>
      <c r="C32" s="112" t="s">
        <v>898</v>
      </c>
      <c r="D32" s="90"/>
      <c r="E32" s="113" t="s">
        <v>896</v>
      </c>
      <c r="F32" s="128"/>
      <c r="G32" s="129">
        <f>'Def Cr &amp; Accum Def Inc Tax B-6'!M44</f>
        <v>-24969537.769230768</v>
      </c>
      <c r="I32" s="1293" t="s">
        <v>1803</v>
      </c>
    </row>
    <row r="33" spans="1:7" ht="12.75" x14ac:dyDescent="0.2">
      <c r="A33" s="92"/>
      <c r="B33" s="90"/>
      <c r="C33" s="90"/>
      <c r="D33" s="90"/>
      <c r="E33" s="90"/>
      <c r="F33" s="128"/>
      <c r="G33" s="128"/>
    </row>
    <row r="34" spans="1:7" ht="12.75" x14ac:dyDescent="0.2">
      <c r="A34" s="113">
        <f>A32+1</f>
        <v>11</v>
      </c>
      <c r="B34" s="113"/>
      <c r="C34" s="112" t="s">
        <v>899</v>
      </c>
      <c r="D34" s="90"/>
      <c r="E34" s="90"/>
      <c r="F34" s="90"/>
      <c r="G34" s="979">
        <v>0</v>
      </c>
    </row>
    <row r="35" spans="1:7" ht="12.75" x14ac:dyDescent="0.2">
      <c r="A35" s="92"/>
      <c r="B35" s="90"/>
      <c r="C35" s="90"/>
      <c r="D35" s="90"/>
      <c r="E35" s="90"/>
      <c r="F35" s="131"/>
      <c r="G35" s="131"/>
    </row>
    <row r="36" spans="1:7" ht="13.5" thickBot="1" x14ac:dyDescent="0.25">
      <c r="A36" s="113">
        <f>A34+1</f>
        <v>12</v>
      </c>
      <c r="B36" s="113"/>
      <c r="C36" s="112" t="s">
        <v>935</v>
      </c>
      <c r="D36" s="90"/>
      <c r="E36" s="90"/>
      <c r="F36" s="129"/>
      <c r="G36" s="132" t="e">
        <f>SUM(G22:G34)</f>
        <v>#REF!</v>
      </c>
    </row>
    <row r="37" spans="1:7" ht="13.5" thickTop="1" x14ac:dyDescent="0.2">
      <c r="A37" s="90"/>
      <c r="B37" s="90"/>
      <c r="C37" s="90"/>
      <c r="D37" s="90"/>
      <c r="E37" s="90"/>
      <c r="F37" s="128"/>
      <c r="G37" s="128"/>
    </row>
    <row r="38" spans="1:7" ht="11.25" x14ac:dyDescent="0.2">
      <c r="A38" s="91"/>
      <c r="B38" s="91"/>
      <c r="C38" s="91"/>
      <c r="D38" s="91"/>
      <c r="E38" s="91"/>
      <c r="F38" s="91"/>
      <c r="G38" s="91"/>
    </row>
    <row r="39" spans="1:7" ht="11.25" x14ac:dyDescent="0.2">
      <c r="A39" s="91"/>
      <c r="B39" s="91"/>
      <c r="C39" s="91"/>
      <c r="D39" s="91"/>
      <c r="E39" s="91"/>
      <c r="F39" s="91"/>
      <c r="G39" s="91"/>
    </row>
    <row r="40" spans="1:7" ht="11.25" x14ac:dyDescent="0.2">
      <c r="A40" s="91"/>
      <c r="B40" s="91"/>
      <c r="C40" s="133"/>
      <c r="D40" s="91"/>
      <c r="E40" s="91"/>
      <c r="F40" s="91"/>
      <c r="G40" s="91"/>
    </row>
    <row r="41" spans="1:7" ht="11.25" x14ac:dyDescent="0.2">
      <c r="A41" s="91"/>
      <c r="B41" s="91"/>
      <c r="C41" s="133"/>
      <c r="D41" s="91"/>
      <c r="E41" s="91"/>
      <c r="F41" s="91"/>
      <c r="G41" s="91"/>
    </row>
    <row r="42" spans="1:7" ht="11.25" x14ac:dyDescent="0.2">
      <c r="A42" s="91"/>
      <c r="B42" s="91"/>
      <c r="C42" s="91"/>
      <c r="D42" s="91"/>
      <c r="E42" s="91"/>
      <c r="F42" s="91"/>
      <c r="G42" s="91"/>
    </row>
    <row r="43" spans="1:7" ht="11.25" x14ac:dyDescent="0.2">
      <c r="A43" s="91"/>
      <c r="B43" s="91"/>
      <c r="C43" s="91"/>
      <c r="D43" s="91"/>
      <c r="E43" s="91"/>
      <c r="F43" s="91"/>
      <c r="G43" s="91"/>
    </row>
    <row r="44" spans="1:7" ht="11.25" x14ac:dyDescent="0.2">
      <c r="A44" s="91"/>
      <c r="B44" s="91"/>
      <c r="C44" s="91"/>
      <c r="D44" s="91"/>
      <c r="E44" s="91"/>
      <c r="F44" s="91"/>
      <c r="G44" s="91"/>
    </row>
    <row r="45" spans="1:7" ht="11.25" x14ac:dyDescent="0.2">
      <c r="A45" s="91"/>
      <c r="B45" s="91"/>
      <c r="C45" s="91"/>
      <c r="D45" s="91"/>
      <c r="E45" s="91"/>
      <c r="F45" s="91"/>
      <c r="G45" s="91"/>
    </row>
    <row r="46" spans="1:7" ht="11.25" x14ac:dyDescent="0.2">
      <c r="A46" s="91"/>
      <c r="B46" s="91"/>
      <c r="C46" s="91"/>
      <c r="D46" s="91"/>
      <c r="E46" s="91"/>
      <c r="F46" s="91"/>
      <c r="G46" s="91"/>
    </row>
    <row r="47" spans="1:7" ht="11.25" x14ac:dyDescent="0.2">
      <c r="A47" s="91"/>
      <c r="B47" s="91"/>
      <c r="C47" s="91"/>
      <c r="D47" s="91"/>
      <c r="E47" s="91"/>
      <c r="F47" s="91"/>
      <c r="G47" s="91"/>
    </row>
    <row r="48" spans="1:7" ht="11.25" x14ac:dyDescent="0.2">
      <c r="A48" s="91"/>
      <c r="B48" s="91"/>
      <c r="C48" s="91"/>
      <c r="D48" s="91"/>
      <c r="E48" s="91"/>
      <c r="F48" s="91"/>
      <c r="G48" s="91"/>
    </row>
    <row r="49" spans="1:7" ht="11.25" x14ac:dyDescent="0.2">
      <c r="A49" s="91"/>
      <c r="B49" s="91"/>
      <c r="C49" s="91"/>
      <c r="D49" s="91"/>
      <c r="E49" s="91"/>
      <c r="F49" s="91"/>
      <c r="G49" s="91"/>
    </row>
    <row r="50" spans="1:7" ht="11.25" x14ac:dyDescent="0.2">
      <c r="A50" s="91"/>
      <c r="B50" s="91"/>
      <c r="C50" s="91"/>
      <c r="D50" s="91"/>
      <c r="E50" s="91"/>
      <c r="F50" s="91"/>
      <c r="G50" s="91"/>
    </row>
    <row r="51" spans="1:7" ht="11.25" x14ac:dyDescent="0.2">
      <c r="A51" s="91"/>
      <c r="B51" s="91"/>
      <c r="C51" s="91"/>
      <c r="D51" s="91"/>
      <c r="E51" s="91"/>
      <c r="F51" s="91"/>
      <c r="G51" s="91"/>
    </row>
    <row r="52" spans="1:7" ht="11.25" x14ac:dyDescent="0.2">
      <c r="A52" s="91"/>
      <c r="B52" s="91"/>
      <c r="C52" s="91"/>
      <c r="D52" s="91"/>
      <c r="E52" s="91"/>
      <c r="F52" s="91"/>
      <c r="G52" s="91"/>
    </row>
    <row r="53" spans="1:7" ht="11.25" x14ac:dyDescent="0.2">
      <c r="A53" s="91"/>
      <c r="B53" s="91"/>
      <c r="C53" s="91"/>
      <c r="D53" s="91"/>
      <c r="E53" s="91"/>
      <c r="F53" s="91"/>
      <c r="G53" s="91"/>
    </row>
    <row r="54" spans="1:7" ht="11.25" x14ac:dyDescent="0.2">
      <c r="A54" s="91"/>
      <c r="B54" s="91"/>
      <c r="C54" s="91"/>
      <c r="D54" s="91"/>
      <c r="E54" s="91"/>
      <c r="F54" s="91"/>
      <c r="G54" s="91"/>
    </row>
    <row r="55" spans="1:7" ht="11.25" x14ac:dyDescent="0.2">
      <c r="A55" s="91"/>
      <c r="B55" s="91"/>
      <c r="C55" s="91"/>
      <c r="D55" s="91"/>
      <c r="E55" s="91"/>
      <c r="F55" s="91"/>
      <c r="G55" s="91"/>
    </row>
    <row r="56" spans="1:7" ht="11.25" x14ac:dyDescent="0.2">
      <c r="A56" s="91"/>
      <c r="B56" s="91"/>
      <c r="C56" s="91"/>
      <c r="D56" s="91"/>
      <c r="E56" s="91"/>
      <c r="F56" s="91"/>
      <c r="G56" s="91"/>
    </row>
    <row r="57" spans="1:7" ht="11.25" x14ac:dyDescent="0.2">
      <c r="A57" s="91"/>
      <c r="B57" s="91"/>
      <c r="C57" s="91"/>
      <c r="D57" s="91"/>
      <c r="E57" s="91"/>
      <c r="F57" s="91"/>
      <c r="G57" s="91"/>
    </row>
    <row r="58" spans="1:7" ht="11.25" x14ac:dyDescent="0.2">
      <c r="A58" s="91"/>
      <c r="B58" s="91"/>
      <c r="C58" s="91"/>
      <c r="D58" s="91"/>
      <c r="E58" s="91"/>
      <c r="F58" s="91"/>
      <c r="G58" s="91"/>
    </row>
    <row r="59" spans="1:7" ht="11.25" x14ac:dyDescent="0.2">
      <c r="A59" s="91"/>
      <c r="B59" s="91"/>
      <c r="C59" s="91"/>
      <c r="D59" s="91"/>
      <c r="E59" s="91"/>
      <c r="F59" s="91"/>
      <c r="G59" s="91"/>
    </row>
    <row r="60" spans="1:7" ht="11.25" x14ac:dyDescent="0.2">
      <c r="A60" s="91"/>
      <c r="B60" s="91"/>
      <c r="C60" s="91"/>
      <c r="D60" s="91"/>
      <c r="E60" s="91"/>
      <c r="F60" s="91"/>
      <c r="G60" s="91"/>
    </row>
    <row r="61" spans="1:7" ht="11.25" x14ac:dyDescent="0.2">
      <c r="A61" s="91"/>
      <c r="B61" s="91"/>
      <c r="C61" s="91"/>
      <c r="D61" s="91"/>
      <c r="E61" s="91"/>
      <c r="F61" s="91"/>
      <c r="G61" s="91"/>
    </row>
    <row r="62" spans="1:7" ht="11.25" x14ac:dyDescent="0.2">
      <c r="A62" s="91"/>
      <c r="B62" s="91"/>
      <c r="C62" s="91"/>
      <c r="D62" s="91"/>
      <c r="E62" s="91"/>
      <c r="F62" s="91"/>
      <c r="G62" s="91"/>
    </row>
    <row r="63" spans="1:7" ht="11.25" x14ac:dyDescent="0.2">
      <c r="A63" s="91"/>
      <c r="B63" s="91"/>
      <c r="C63" s="91"/>
      <c r="D63" s="91"/>
      <c r="E63" s="91"/>
      <c r="F63" s="91"/>
      <c r="G63" s="91"/>
    </row>
    <row r="64" spans="1:7" ht="11.25" x14ac:dyDescent="0.2">
      <c r="A64" s="91"/>
      <c r="B64" s="91"/>
      <c r="C64" s="91"/>
      <c r="D64" s="91"/>
      <c r="E64" s="91"/>
      <c r="F64" s="91"/>
      <c r="G64" s="91"/>
    </row>
    <row r="65" spans="1:7" ht="11.25" x14ac:dyDescent="0.2">
      <c r="A65" s="91"/>
      <c r="B65" s="91"/>
      <c r="C65" s="91"/>
      <c r="D65" s="91"/>
      <c r="E65" s="91"/>
      <c r="F65" s="91"/>
      <c r="G65" s="91"/>
    </row>
    <row r="66" spans="1:7" ht="11.25" x14ac:dyDescent="0.2">
      <c r="A66" s="91"/>
      <c r="B66" s="91"/>
      <c r="C66" s="91"/>
      <c r="D66" s="91"/>
      <c r="E66" s="91"/>
      <c r="F66" s="91"/>
      <c r="G66" s="91"/>
    </row>
    <row r="67" spans="1:7" ht="11.25" x14ac:dyDescent="0.2">
      <c r="A67" s="91"/>
      <c r="B67" s="91"/>
      <c r="C67" s="91"/>
      <c r="D67" s="91"/>
      <c r="E67" s="91"/>
      <c r="F67" s="91"/>
      <c r="G67" s="91"/>
    </row>
    <row r="68" spans="1:7" ht="11.25" x14ac:dyDescent="0.2">
      <c r="A68" s="91"/>
      <c r="B68" s="91"/>
      <c r="C68" s="91"/>
      <c r="D68" s="91"/>
      <c r="E68" s="91"/>
      <c r="F68" s="91"/>
      <c r="G68" s="91"/>
    </row>
    <row r="69" spans="1:7" ht="11.25" x14ac:dyDescent="0.2">
      <c r="A69" s="91"/>
      <c r="B69" s="91"/>
      <c r="C69" s="91"/>
      <c r="D69" s="91"/>
      <c r="E69" s="91"/>
      <c r="F69" s="91"/>
      <c r="G69" s="91"/>
    </row>
    <row r="70" spans="1:7" ht="11.25" x14ac:dyDescent="0.2">
      <c r="A70" s="91"/>
      <c r="B70" s="91"/>
      <c r="C70" s="91"/>
      <c r="D70" s="91"/>
      <c r="E70" s="91"/>
      <c r="F70" s="91"/>
      <c r="G70" s="91"/>
    </row>
    <row r="71" spans="1:7" ht="11.25" x14ac:dyDescent="0.2">
      <c r="A71" s="91"/>
      <c r="B71" s="91"/>
      <c r="C71" s="91"/>
      <c r="D71" s="91"/>
      <c r="E71" s="91"/>
      <c r="F71" s="91"/>
      <c r="G71" s="91"/>
    </row>
    <row r="72" spans="1:7" ht="11.25" x14ac:dyDescent="0.2">
      <c r="A72" s="91"/>
      <c r="B72" s="91"/>
      <c r="C72" s="91"/>
      <c r="D72" s="91"/>
      <c r="E72" s="91"/>
      <c r="F72" s="91"/>
      <c r="G72" s="91"/>
    </row>
    <row r="73" spans="1:7" ht="11.25" x14ac:dyDescent="0.2">
      <c r="A73" s="91"/>
      <c r="B73" s="91"/>
      <c r="C73" s="91"/>
      <c r="D73" s="91"/>
      <c r="E73" s="91"/>
      <c r="F73" s="91"/>
      <c r="G73" s="91"/>
    </row>
    <row r="74" spans="1:7" ht="11.25" x14ac:dyDescent="0.2">
      <c r="A74" s="91"/>
      <c r="B74" s="91"/>
      <c r="C74" s="91"/>
      <c r="D74" s="91"/>
      <c r="E74" s="91"/>
      <c r="F74" s="91"/>
      <c r="G74" s="91"/>
    </row>
    <row r="75" spans="1:7" ht="11.25" x14ac:dyDescent="0.2">
      <c r="A75" s="91"/>
      <c r="B75" s="91"/>
      <c r="C75" s="91"/>
      <c r="D75" s="91"/>
      <c r="E75" s="91"/>
      <c r="F75" s="91"/>
      <c r="G75" s="91"/>
    </row>
    <row r="76" spans="1:7" ht="11.25" x14ac:dyDescent="0.2">
      <c r="A76" s="91"/>
      <c r="B76" s="91"/>
      <c r="C76" s="91"/>
      <c r="D76" s="91"/>
      <c r="E76" s="91"/>
      <c r="F76" s="91"/>
      <c r="G76" s="91"/>
    </row>
    <row r="77" spans="1:7" ht="11.25" x14ac:dyDescent="0.2">
      <c r="A77" s="91"/>
      <c r="B77" s="91"/>
      <c r="C77" s="91"/>
      <c r="D77" s="91"/>
      <c r="E77" s="91"/>
      <c r="F77" s="91"/>
      <c r="G77" s="91"/>
    </row>
    <row r="78" spans="1:7" ht="11.25" x14ac:dyDescent="0.2">
      <c r="A78" s="91"/>
      <c r="B78" s="91"/>
      <c r="C78" s="91"/>
      <c r="D78" s="91"/>
      <c r="E78" s="91"/>
      <c r="F78" s="91"/>
      <c r="G78" s="91"/>
    </row>
  </sheetData>
  <mergeCells count="4">
    <mergeCell ref="A1:G1"/>
    <mergeCell ref="A2:G2"/>
    <mergeCell ref="A3:G3"/>
    <mergeCell ref="A4:G4"/>
  </mergeCells>
  <phoneticPr fontId="0" type="noConversion"/>
  <printOptions horizontalCentered="1"/>
  <pageMargins left="0.25" right="0.25" top="1" bottom="0.25" header="0.5" footer="0.5"/>
  <pageSetup orientation="landscape" r:id="rId1"/>
  <headerFooter alignWithMargins="0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workbookViewId="0">
      <selection activeCell="M8" sqref="M8"/>
    </sheetView>
  </sheetViews>
  <sheetFormatPr defaultRowHeight="10.5" x14ac:dyDescent="0.15"/>
  <cols>
    <col min="2" max="2" width="2.83203125" customWidth="1"/>
    <col min="3" max="3" width="31.33203125" bestFit="1" customWidth="1"/>
    <col min="4" max="4" width="2.83203125" customWidth="1"/>
    <col min="5" max="5" width="20.5" bestFit="1" customWidth="1"/>
    <col min="6" max="6" width="2.83203125" customWidth="1"/>
    <col min="7" max="7" width="16.1640625" customWidth="1"/>
    <col min="8" max="8" width="2.83203125" customWidth="1"/>
    <col min="9" max="9" width="12.6640625" customWidth="1"/>
    <col min="10" max="10" width="2.83203125" customWidth="1"/>
    <col min="11" max="11" width="16.83203125" bestFit="1" customWidth="1"/>
    <col min="12" max="12" width="2.83203125" customWidth="1"/>
    <col min="13" max="13" width="18.33203125" customWidth="1"/>
  </cols>
  <sheetData>
    <row r="1" spans="1:15" ht="12.75" x14ac:dyDescent="0.2">
      <c r="A1" s="90"/>
      <c r="B1" s="90"/>
      <c r="C1" s="90"/>
      <c r="D1" s="90"/>
      <c r="E1" s="90"/>
      <c r="F1" s="90"/>
      <c r="G1" s="113" t="s">
        <v>477</v>
      </c>
      <c r="H1" s="90"/>
      <c r="I1" s="90"/>
      <c r="J1" s="90"/>
      <c r="K1" s="90"/>
      <c r="L1" s="90"/>
      <c r="M1" s="90"/>
      <c r="N1" s="91"/>
      <c r="O1" s="91"/>
    </row>
    <row r="2" spans="1:15" ht="12.75" x14ac:dyDescent="0.2">
      <c r="A2" s="90"/>
      <c r="B2" s="90"/>
      <c r="C2" s="90"/>
      <c r="D2" s="90"/>
      <c r="E2" s="90"/>
      <c r="F2" s="90"/>
      <c r="G2" s="113" t="str">
        <f>+Input!C4</f>
        <v>CASE NO. 2017-xxxxx</v>
      </c>
      <c r="H2" s="90"/>
      <c r="I2" s="90"/>
      <c r="J2" s="90"/>
      <c r="K2" s="90"/>
      <c r="L2" s="90"/>
      <c r="M2" s="90"/>
      <c r="N2" s="91"/>
      <c r="O2" s="91"/>
    </row>
    <row r="3" spans="1:15" ht="12.75" x14ac:dyDescent="0.2">
      <c r="A3" s="90"/>
      <c r="B3" s="90"/>
      <c r="C3" s="90"/>
      <c r="D3" s="90"/>
      <c r="E3" s="90"/>
      <c r="F3" s="90"/>
      <c r="G3" s="113" t="s">
        <v>1433</v>
      </c>
      <c r="H3" s="90"/>
      <c r="I3" s="90"/>
      <c r="J3" s="90"/>
      <c r="K3" s="90"/>
      <c r="L3" s="90"/>
      <c r="M3" s="90"/>
      <c r="N3" s="91"/>
      <c r="O3" s="91"/>
    </row>
    <row r="4" spans="1:15" ht="12.75" x14ac:dyDescent="0.2">
      <c r="A4" s="90"/>
      <c r="B4" s="90"/>
      <c r="C4" s="90"/>
      <c r="D4" s="90"/>
      <c r="E4" s="90"/>
      <c r="F4" s="90"/>
      <c r="G4" s="113" t="str">
        <f>+Input!C9</f>
        <v>FOR THE HISTORIC PERIOD DECEMBER 31, 2017</v>
      </c>
      <c r="H4" s="90"/>
      <c r="I4" s="90"/>
      <c r="J4" s="90"/>
      <c r="K4" s="90"/>
      <c r="L4" s="90"/>
      <c r="M4" s="90"/>
      <c r="N4" s="91"/>
      <c r="O4" s="91"/>
    </row>
    <row r="5" spans="1:15" ht="12.75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1"/>
      <c r="O5" s="91"/>
    </row>
    <row r="6" spans="1:15" ht="12.75" x14ac:dyDescent="0.2">
      <c r="A6" s="112" t="s">
        <v>839</v>
      </c>
      <c r="B6" s="90"/>
      <c r="C6" s="90"/>
      <c r="D6" s="90"/>
      <c r="E6" s="90"/>
      <c r="F6" s="90"/>
      <c r="G6" s="90"/>
      <c r="H6" s="90"/>
      <c r="I6" s="90"/>
      <c r="J6" s="90"/>
      <c r="K6" s="91"/>
      <c r="L6" s="90"/>
      <c r="M6" s="119" t="s">
        <v>1738</v>
      </c>
      <c r="N6" s="91"/>
      <c r="O6" s="91"/>
    </row>
    <row r="7" spans="1:15" ht="12.75" x14ac:dyDescent="0.2">
      <c r="A7" s="112" t="s">
        <v>490</v>
      </c>
      <c r="B7" s="90"/>
      <c r="C7" s="90"/>
      <c r="D7" s="90"/>
      <c r="E7" s="90"/>
      <c r="F7" s="90"/>
      <c r="G7" s="90"/>
      <c r="H7" s="90"/>
      <c r="I7" s="90"/>
      <c r="J7" s="90"/>
      <c r="K7" s="91"/>
      <c r="L7" s="90"/>
      <c r="M7" s="119" t="s">
        <v>491</v>
      </c>
      <c r="N7" s="91"/>
      <c r="O7" s="91"/>
    </row>
    <row r="8" spans="1:15" ht="12.75" x14ac:dyDescent="0.2">
      <c r="A8" s="120" t="s">
        <v>840</v>
      </c>
      <c r="B8" s="121"/>
      <c r="C8" s="121"/>
      <c r="D8" s="121"/>
      <c r="E8" s="121"/>
      <c r="F8" s="121"/>
      <c r="G8" s="121"/>
      <c r="H8" s="121"/>
      <c r="I8" s="121"/>
      <c r="J8" s="122"/>
      <c r="K8" s="346"/>
      <c r="L8" s="122"/>
      <c r="M8" s="361" t="str">
        <f>+Input!E27</f>
        <v>WITNESS:  C. Y. LAI</v>
      </c>
      <c r="N8" s="91"/>
      <c r="O8" s="91"/>
    </row>
    <row r="9" spans="1:15" ht="12.75" x14ac:dyDescent="0.2">
      <c r="A9" s="90"/>
      <c r="B9" s="90"/>
      <c r="C9" s="90"/>
      <c r="D9" s="90"/>
      <c r="E9" s="90"/>
      <c r="F9" s="90"/>
      <c r="G9" s="113" t="s">
        <v>1235</v>
      </c>
      <c r="H9" s="90"/>
      <c r="I9" s="113" t="s">
        <v>834</v>
      </c>
      <c r="J9" s="90"/>
      <c r="K9" s="90"/>
      <c r="L9" s="90"/>
      <c r="M9" s="90"/>
      <c r="N9" s="91"/>
      <c r="O9" s="91"/>
    </row>
    <row r="10" spans="1:15" ht="12.75" x14ac:dyDescent="0.2">
      <c r="A10" s="90"/>
      <c r="B10" s="90"/>
      <c r="C10" s="90"/>
      <c r="D10" s="90"/>
      <c r="E10" s="90"/>
      <c r="F10" s="90"/>
      <c r="G10" s="113" t="s">
        <v>1739</v>
      </c>
      <c r="H10" s="90"/>
      <c r="I10" s="113" t="s">
        <v>1740</v>
      </c>
      <c r="J10" s="90"/>
      <c r="K10" s="113" t="s">
        <v>1740</v>
      </c>
      <c r="L10" s="90"/>
      <c r="M10" s="90"/>
      <c r="N10" s="91"/>
      <c r="O10" s="91"/>
    </row>
    <row r="11" spans="1:15" ht="12.75" x14ac:dyDescent="0.2">
      <c r="A11" s="113" t="s">
        <v>493</v>
      </c>
      <c r="B11" s="90"/>
      <c r="C11" s="113" t="s">
        <v>1741</v>
      </c>
      <c r="D11" s="90"/>
      <c r="E11" s="113" t="s">
        <v>1740</v>
      </c>
      <c r="F11" s="90"/>
      <c r="G11" s="113" t="s">
        <v>982</v>
      </c>
      <c r="H11" s="90"/>
      <c r="I11" s="113" t="s">
        <v>1742</v>
      </c>
      <c r="J11" s="90"/>
      <c r="K11" s="113" t="s">
        <v>1743</v>
      </c>
      <c r="L11" s="90"/>
      <c r="M11" s="113" t="s">
        <v>523</v>
      </c>
      <c r="N11" s="91"/>
      <c r="O11" s="91"/>
    </row>
    <row r="12" spans="1:15" ht="12.75" x14ac:dyDescent="0.2">
      <c r="A12" s="113" t="s">
        <v>496</v>
      </c>
      <c r="B12" s="90"/>
      <c r="C12" s="113" t="s">
        <v>1744</v>
      </c>
      <c r="D12" s="90"/>
      <c r="E12" s="113" t="s">
        <v>1148</v>
      </c>
      <c r="F12" s="90"/>
      <c r="G12" s="113" t="s">
        <v>1740</v>
      </c>
      <c r="H12" s="90"/>
      <c r="I12" s="113" t="s">
        <v>982</v>
      </c>
      <c r="J12" s="90"/>
      <c r="K12" s="113" t="s">
        <v>531</v>
      </c>
      <c r="L12" s="90"/>
      <c r="M12" s="113" t="s">
        <v>1745</v>
      </c>
      <c r="N12" s="91"/>
      <c r="O12" s="91"/>
    </row>
    <row r="13" spans="1:15" ht="12.75" x14ac:dyDescent="0.2">
      <c r="A13" s="124" t="s">
        <v>1746</v>
      </c>
      <c r="B13" s="121"/>
      <c r="C13" s="124" t="s">
        <v>1747</v>
      </c>
      <c r="D13" s="121"/>
      <c r="E13" s="124" t="s">
        <v>1748</v>
      </c>
      <c r="F13" s="121"/>
      <c r="G13" s="124" t="s">
        <v>1749</v>
      </c>
      <c r="H13" s="121"/>
      <c r="I13" s="124" t="s">
        <v>1750</v>
      </c>
      <c r="J13" s="121"/>
      <c r="K13" s="124" t="s">
        <v>1751</v>
      </c>
      <c r="L13" s="121"/>
      <c r="M13" s="124" t="s">
        <v>1752</v>
      </c>
      <c r="N13" s="91"/>
      <c r="O13" s="91"/>
    </row>
    <row r="14" spans="1:15" ht="12.75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1"/>
    </row>
    <row r="15" spans="1:15" ht="12.75" x14ac:dyDescent="0.2">
      <c r="A15" s="90"/>
      <c r="B15" s="90"/>
      <c r="C15" s="90"/>
      <c r="D15" s="90"/>
      <c r="E15" s="90"/>
      <c r="F15" s="128"/>
      <c r="G15" s="347"/>
      <c r="H15" s="128"/>
      <c r="I15" s="128"/>
      <c r="J15" s="128"/>
      <c r="K15" s="90"/>
      <c r="L15" s="128"/>
      <c r="M15" s="90"/>
      <c r="N15" s="91"/>
      <c r="O15" s="91"/>
    </row>
    <row r="16" spans="1:15" ht="12.75" x14ac:dyDescent="0.2">
      <c r="A16" s="90"/>
      <c r="B16" s="90"/>
      <c r="C16" s="90"/>
      <c r="D16" s="90"/>
      <c r="E16" s="90"/>
      <c r="F16" s="128"/>
      <c r="G16" s="90"/>
      <c r="H16" s="128"/>
      <c r="I16" s="128"/>
      <c r="J16" s="128"/>
      <c r="K16" s="90"/>
      <c r="L16" s="90"/>
      <c r="M16" s="90"/>
      <c r="N16" s="91"/>
      <c r="O16" s="91"/>
    </row>
    <row r="17" spans="1:15" ht="12.75" x14ac:dyDescent="0.2">
      <c r="A17" s="1391" t="s">
        <v>1737</v>
      </c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91"/>
      <c r="O17" s="91"/>
    </row>
    <row r="18" spans="1:15" ht="12.75" x14ac:dyDescent="0.2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1"/>
      <c r="O18" s="91"/>
    </row>
    <row r="19" spans="1:15" ht="11.25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</row>
    <row r="20" spans="1:15" ht="11.25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11.25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</row>
    <row r="22" spans="1:15" ht="11.25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</row>
    <row r="23" spans="1:15" ht="11.25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15" ht="11.25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</row>
    <row r="25" spans="1:15" ht="11.25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11.25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11.25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 ht="11.25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11.25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5" ht="11.25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1:15" ht="11.25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</row>
    <row r="32" spans="1:15" ht="11.25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</row>
    <row r="33" spans="1:15" ht="11.25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</row>
    <row r="34" spans="1:15" ht="11.25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</row>
    <row r="35" spans="1:15" ht="11.25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</row>
    <row r="36" spans="1:15" ht="11.25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</row>
    <row r="37" spans="1:15" ht="11.25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</row>
    <row r="38" spans="1:15" ht="11.25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1:15" ht="11.25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1:15" ht="11.25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1:15" ht="11.25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1:15" ht="11.25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</row>
    <row r="43" spans="1:15" ht="11.25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</row>
    <row r="44" spans="1:15" ht="11.25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  <row r="45" spans="1:15" ht="11.25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</row>
    <row r="46" spans="1:15" ht="11.25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</row>
    <row r="47" spans="1:15" ht="11.25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</row>
    <row r="48" spans="1:15" ht="11.25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</row>
    <row r="49" spans="1:15" ht="11.25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</row>
    <row r="50" spans="1:15" ht="11.25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</row>
    <row r="51" spans="1:15" ht="11.25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</row>
    <row r="52" spans="1:15" ht="11.25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</row>
    <row r="53" spans="1:15" ht="11.25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</row>
    <row r="54" spans="1:15" ht="11.25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</row>
    <row r="55" spans="1:15" ht="11.25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</row>
    <row r="56" spans="1:15" ht="11.25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1:15" ht="11.25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1:15" ht="11.25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</row>
    <row r="59" spans="1:15" ht="11.25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</row>
    <row r="60" spans="1:15" ht="11.25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</row>
    <row r="61" spans="1:15" ht="11.25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</row>
    <row r="62" spans="1:15" ht="11.25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</row>
    <row r="63" spans="1:15" ht="11.25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</row>
    <row r="64" spans="1:15" ht="11.25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</row>
    <row r="65" spans="1:15" ht="11.25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</row>
    <row r="66" spans="1:15" ht="11.25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</row>
    <row r="67" spans="1:15" ht="11.25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1:15" ht="11.25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15" ht="11.25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1:15" ht="11.25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</row>
    <row r="71" spans="1:15" ht="11.25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1:15" ht="11.25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</row>
    <row r="73" spans="1:15" ht="11.25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  <row r="74" spans="1:15" ht="11.25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</row>
    <row r="75" spans="1:15" ht="11.25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1:15" ht="11.25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</row>
    <row r="77" spans="1:15" ht="11.25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</row>
    <row r="78" spans="1:15" ht="11.25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</row>
    <row r="79" spans="1:15" ht="11.25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</row>
    <row r="80" spans="1:15" ht="11.25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</row>
    <row r="81" spans="1:15" ht="11.25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</row>
    <row r="82" spans="1:15" ht="11.25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</row>
    <row r="83" spans="1:15" ht="11.25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</row>
    <row r="84" spans="1:15" ht="11.25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</row>
    <row r="85" spans="1:15" ht="11.25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</row>
    <row r="86" spans="1:15" ht="11.25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</row>
    <row r="87" spans="1:15" ht="11.25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1:15" ht="11.25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1:15" ht="11.25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</row>
    <row r="90" spans="1:15" ht="11.25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</row>
    <row r="91" spans="1:15" ht="11.25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</row>
    <row r="92" spans="1:15" ht="11.25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</row>
    <row r="93" spans="1:15" ht="11.25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</row>
    <row r="94" spans="1:15" ht="11.25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</row>
    <row r="95" spans="1:15" ht="11.25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</row>
    <row r="96" spans="1:15" ht="11.25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</row>
    <row r="97" spans="1:15" ht="11.25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</row>
    <row r="98" spans="1:15" ht="11.25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</row>
    <row r="99" spans="1:15" ht="11.25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</row>
    <row r="100" spans="1:15" ht="11.25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</row>
    <row r="101" spans="1:15" ht="11.25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</row>
    <row r="102" spans="1:15" ht="11.25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</row>
    <row r="103" spans="1:15" ht="11.25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</row>
    <row r="104" spans="1:15" ht="11.25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</row>
    <row r="105" spans="1:15" ht="11.25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</row>
    <row r="106" spans="1:15" ht="11.25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</row>
    <row r="107" spans="1:15" ht="11.25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1:15" ht="11.25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</row>
    <row r="109" spans="1:15" ht="11.25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</row>
    <row r="110" spans="1:15" ht="11.25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</row>
    <row r="111" spans="1:15" ht="11.25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</row>
    <row r="112" spans="1:15" ht="11.25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</row>
    <row r="113" spans="1:15" ht="11.25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</row>
    <row r="114" spans="1:15" ht="11.25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</row>
    <row r="115" spans="1:15" ht="11.25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</row>
    <row r="116" spans="1:15" ht="11.25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</row>
    <row r="117" spans="1:15" ht="11.25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</row>
    <row r="118" spans="1:15" ht="11.25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</row>
    <row r="119" spans="1:15" ht="11.25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</row>
    <row r="120" spans="1:15" ht="11.25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</row>
    <row r="121" spans="1:15" ht="11.25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</row>
    <row r="122" spans="1:15" ht="11.25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</row>
    <row r="123" spans="1:15" ht="11.25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</row>
    <row r="124" spans="1:15" ht="11.25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</row>
    <row r="125" spans="1:15" ht="11.25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</row>
    <row r="126" spans="1:15" ht="11.25" x14ac:dyDescent="0.2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</row>
  </sheetData>
  <mergeCells count="1">
    <mergeCell ref="A17:M17"/>
  </mergeCells>
  <phoneticPr fontId="14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workbookViewId="0">
      <selection activeCell="L10" sqref="L10"/>
    </sheetView>
  </sheetViews>
  <sheetFormatPr defaultRowHeight="10.5" x14ac:dyDescent="0.15"/>
  <cols>
    <col min="3" max="3" width="16.6640625" bestFit="1" customWidth="1"/>
    <col min="5" max="5" width="16.5" bestFit="1" customWidth="1"/>
    <col min="7" max="7" width="13.33203125" customWidth="1"/>
  </cols>
  <sheetData>
    <row r="1" spans="1:12" ht="12.75" x14ac:dyDescent="0.2">
      <c r="A1" s="1391" t="s">
        <v>477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</row>
    <row r="2" spans="1:12" ht="12.75" x14ac:dyDescent="0.2">
      <c r="A2" s="1391" t="str">
        <f>+Input!C4</f>
        <v>CASE NO. 2017-xxxxx</v>
      </c>
      <c r="B2" s="1391"/>
      <c r="C2" s="1391"/>
      <c r="D2" s="1391"/>
      <c r="E2" s="1391"/>
      <c r="F2" s="1391"/>
      <c r="G2" s="1391"/>
      <c r="H2" s="1391"/>
      <c r="I2" s="1391"/>
      <c r="J2" s="1391"/>
      <c r="K2" s="1391"/>
      <c r="L2" s="1391"/>
    </row>
    <row r="3" spans="1:12" ht="12.75" x14ac:dyDescent="0.2">
      <c r="A3" s="1391" t="s">
        <v>1753</v>
      </c>
      <c r="B3" s="1391"/>
      <c r="C3" s="1391"/>
      <c r="D3" s="1391"/>
      <c r="E3" s="1391"/>
      <c r="F3" s="1391"/>
      <c r="G3" s="1391"/>
      <c r="H3" s="1391"/>
      <c r="I3" s="1391"/>
      <c r="J3" s="1391"/>
      <c r="K3" s="1391"/>
      <c r="L3" s="1391"/>
    </row>
    <row r="4" spans="1:12" ht="12.75" x14ac:dyDescent="0.2">
      <c r="A4" s="1391" t="str">
        <f>+Input!C9</f>
        <v>FOR THE HISTORIC PERIOD DECEMBER 31, 2017</v>
      </c>
      <c r="B4" s="1391"/>
      <c r="C4" s="1391"/>
      <c r="D4" s="1391"/>
      <c r="E4" s="1391"/>
      <c r="F4" s="1391"/>
      <c r="G4" s="1391"/>
      <c r="H4" s="1391"/>
      <c r="I4" s="1391"/>
      <c r="J4" s="1391"/>
      <c r="K4" s="1391"/>
      <c r="L4" s="1391"/>
    </row>
    <row r="5" spans="1:12" ht="12.75" x14ac:dyDescent="0.2">
      <c r="A5" s="90"/>
      <c r="B5" s="90"/>
      <c r="C5" s="90"/>
      <c r="D5" s="90"/>
      <c r="E5" s="90"/>
      <c r="F5" s="90"/>
      <c r="G5" s="113"/>
      <c r="H5" s="90"/>
      <c r="I5" s="90"/>
      <c r="J5" s="90"/>
      <c r="K5" s="90"/>
      <c r="L5" s="90"/>
    </row>
    <row r="6" spans="1:12" ht="12.75" x14ac:dyDescent="0.2">
      <c r="A6" s="90"/>
      <c r="B6" s="90"/>
      <c r="C6" s="90"/>
      <c r="D6" s="90"/>
      <c r="E6" s="90"/>
      <c r="F6" s="90"/>
      <c r="G6" s="113"/>
      <c r="H6" s="90"/>
      <c r="I6" s="90"/>
      <c r="J6" s="90"/>
      <c r="K6" s="90"/>
      <c r="L6" s="90"/>
    </row>
    <row r="7" spans="1:12" ht="12.75" x14ac:dyDescent="0.2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ht="12.75" x14ac:dyDescent="0.2">
      <c r="A8" s="112" t="s">
        <v>839</v>
      </c>
      <c r="B8" s="90"/>
      <c r="C8" s="90"/>
      <c r="D8" s="90"/>
      <c r="E8" s="90"/>
      <c r="F8" s="90"/>
      <c r="G8" s="90"/>
      <c r="H8" s="90"/>
      <c r="I8" s="90"/>
      <c r="J8" s="91"/>
      <c r="K8" s="90"/>
      <c r="L8" s="119" t="s">
        <v>1754</v>
      </c>
    </row>
    <row r="9" spans="1:12" ht="12.75" x14ac:dyDescent="0.2">
      <c r="A9" s="112" t="s">
        <v>490</v>
      </c>
      <c r="B9" s="90"/>
      <c r="C9" s="90"/>
      <c r="D9" s="90"/>
      <c r="E9" s="90"/>
      <c r="F9" s="90"/>
      <c r="G9" s="90"/>
      <c r="H9" s="90"/>
      <c r="I9" s="90"/>
      <c r="J9" s="91"/>
      <c r="K9" s="90"/>
      <c r="L9" s="119" t="s">
        <v>491</v>
      </c>
    </row>
    <row r="10" spans="1:12" ht="12.75" x14ac:dyDescent="0.2">
      <c r="A10" s="120" t="s">
        <v>840</v>
      </c>
      <c r="B10" s="121"/>
      <c r="C10" s="121"/>
      <c r="D10" s="121"/>
      <c r="E10" s="121"/>
      <c r="F10" s="121"/>
      <c r="G10" s="121"/>
      <c r="H10" s="121"/>
      <c r="I10" s="121"/>
      <c r="J10" s="346"/>
      <c r="K10" s="122"/>
      <c r="L10" s="123" t="str">
        <f>+Input!E27</f>
        <v>WITNESS:  C. Y. LAI</v>
      </c>
    </row>
    <row r="11" spans="1:12" ht="12.75" x14ac:dyDescent="0.2">
      <c r="A11" s="113" t="s">
        <v>493</v>
      </c>
      <c r="B11" s="90"/>
      <c r="C11" s="90"/>
      <c r="D11" s="90"/>
      <c r="E11" s="90"/>
      <c r="F11" s="90"/>
      <c r="G11" s="113" t="s">
        <v>1755</v>
      </c>
      <c r="H11" s="90"/>
      <c r="I11" s="90"/>
      <c r="J11" s="90"/>
      <c r="K11" s="90"/>
      <c r="L11" s="90"/>
    </row>
    <row r="12" spans="1:12" ht="12.75" x14ac:dyDescent="0.2">
      <c r="A12" s="124" t="s">
        <v>496</v>
      </c>
      <c r="B12" s="121"/>
      <c r="C12" s="124" t="s">
        <v>1756</v>
      </c>
      <c r="D12" s="121"/>
      <c r="E12" s="124" t="s">
        <v>480</v>
      </c>
      <c r="F12" s="121"/>
      <c r="G12" s="124" t="s">
        <v>1757</v>
      </c>
      <c r="H12" s="121"/>
      <c r="I12" s="121"/>
      <c r="J12" s="124" t="s">
        <v>1758</v>
      </c>
      <c r="K12" s="121"/>
      <c r="L12" s="121"/>
    </row>
    <row r="13" spans="1:12" ht="12.75" x14ac:dyDescent="0.2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2.75" x14ac:dyDescent="0.2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12.75" x14ac:dyDescent="0.2">
      <c r="A15" s="90"/>
      <c r="B15" s="90"/>
      <c r="C15" s="90"/>
      <c r="D15" s="90"/>
      <c r="E15" s="90"/>
      <c r="F15" s="128"/>
      <c r="G15" s="347"/>
      <c r="H15" s="128"/>
      <c r="I15" s="128"/>
      <c r="J15" s="128"/>
      <c r="K15" s="90"/>
      <c r="L15" s="128"/>
    </row>
    <row r="16" spans="1:12" ht="12.75" x14ac:dyDescent="0.2">
      <c r="A16" s="90"/>
      <c r="B16" s="90"/>
      <c r="C16" s="90"/>
      <c r="D16" s="90"/>
      <c r="E16" s="90"/>
      <c r="F16" s="128"/>
      <c r="G16" s="90"/>
      <c r="H16" s="128"/>
      <c r="I16" s="128"/>
      <c r="J16" s="128"/>
      <c r="K16" s="90"/>
      <c r="L16" s="90"/>
    </row>
    <row r="17" spans="1:12" ht="12.75" x14ac:dyDescent="0.2">
      <c r="A17" s="1391" t="s">
        <v>1759</v>
      </c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</row>
    <row r="18" spans="1:12" ht="12.75" x14ac:dyDescent="0.2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11.25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1.25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1.25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1.25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1.25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1.25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1.25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11.25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1.25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1:12" ht="11.25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1:12" ht="11.25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1:12" ht="11.25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ht="11.25" x14ac:dyDescent="0.2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</row>
    <row r="32" spans="1:12" ht="11.25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</row>
    <row r="33" spans="1:12" ht="11.25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</row>
    <row r="34" spans="1:12" ht="11.25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</row>
    <row r="35" spans="1:12" ht="11.25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  <row r="36" spans="1:12" ht="11.25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</row>
    <row r="37" spans="1:12" ht="11.25" x14ac:dyDescent="0.2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</row>
    <row r="38" spans="1:12" ht="11.25" x14ac:dyDescent="0.2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</row>
    <row r="39" spans="1:12" ht="11.25" x14ac:dyDescent="0.2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2" ht="11.25" x14ac:dyDescent="0.2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11.25" x14ac:dyDescent="0.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2" ht="11.25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1:12" ht="11.25" x14ac:dyDescent="0.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1:12" ht="11.25" x14ac:dyDescent="0.2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1:12" ht="11.25" x14ac:dyDescent="0.2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1:12" ht="11.25" x14ac:dyDescent="0.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1:12" ht="11.25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1.25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1.25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1.25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1.25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1.25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2" ht="11.25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1.25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1.25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1.25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1.25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1.25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1.25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1.25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1.25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1.25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1.25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1.25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1.25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1.25" x14ac:dyDescent="0.2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1.25" x14ac:dyDescent="0.2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1.25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1:12" ht="11.25" x14ac:dyDescent="0.2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2" ht="11.25" x14ac:dyDescent="0.2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1:12" ht="11.25" x14ac:dyDescent="0.2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2" ht="11.25" x14ac:dyDescent="0.2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2" ht="11.25" x14ac:dyDescent="0.2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1:12" ht="11.25" x14ac:dyDescent="0.2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1:12" ht="11.25" x14ac:dyDescent="0.2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1:12" ht="11.25" x14ac:dyDescent="0.2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1:12" ht="11.25" x14ac:dyDescent="0.2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1:12" ht="11.25" x14ac:dyDescent="0.2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1:12" ht="11.25" x14ac:dyDescent="0.2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1:12" ht="11.25" x14ac:dyDescent="0.2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1:12" ht="11.25" x14ac:dyDescent="0.2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1:12" ht="11.25" x14ac:dyDescent="0.2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1:12" ht="11.25" x14ac:dyDescent="0.2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1:12" ht="11.25" x14ac:dyDescent="0.2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1:12" ht="11.25" x14ac:dyDescent="0.2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1:12" ht="11.25" x14ac:dyDescent="0.2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ht="11.25" x14ac:dyDescent="0.2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ht="11.25" x14ac:dyDescent="0.2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ht="11.25" x14ac:dyDescent="0.2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1:12" ht="11.25" x14ac:dyDescent="0.2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ht="11.25" x14ac:dyDescent="0.2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1:12" ht="11.25" x14ac:dyDescent="0.2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ht="11.25" x14ac:dyDescent="0.2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1:12" ht="11.25" x14ac:dyDescent="0.2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ht="11.25" x14ac:dyDescent="0.2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1:12" ht="11.25" x14ac:dyDescent="0.2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1:12" ht="11.25" x14ac:dyDescent="0.2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1:12" ht="11.25" x14ac:dyDescent="0.2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1:12" ht="11.25" x14ac:dyDescent="0.2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1:12" ht="11.25" x14ac:dyDescent="0.2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1:12" ht="11.25" x14ac:dyDescent="0.2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1:12" ht="11.25" x14ac:dyDescent="0.2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1:12" ht="11.25" x14ac:dyDescent="0.2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2" ht="11.25" x14ac:dyDescent="0.2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1:12" ht="11.25" x14ac:dyDescent="0.2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ht="11.25" x14ac:dyDescent="0.2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1:12" ht="11.25" x14ac:dyDescent="0.2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1:12" ht="11.25" x14ac:dyDescent="0.2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1:12" ht="11.25" x14ac:dyDescent="0.2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1:12" ht="11.25" x14ac:dyDescent="0.2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ht="11.25" x14ac:dyDescent="0.2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1:12" ht="11.25" x14ac:dyDescent="0.2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1:12" ht="11.25" x14ac:dyDescent="0.2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1:12" ht="11.25" x14ac:dyDescent="0.2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1:12" ht="11.25" x14ac:dyDescent="0.2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1:12" ht="11.25" x14ac:dyDescent="0.2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1:12" ht="11.25" x14ac:dyDescent="0.2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1:12" ht="11.25" x14ac:dyDescent="0.2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1:12" ht="11.25" x14ac:dyDescent="0.2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1:12" ht="11.25" x14ac:dyDescent="0.2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1:12" ht="11.25" x14ac:dyDescent="0.2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1:12" ht="11.25" x14ac:dyDescent="0.2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1:12" ht="11.25" x14ac:dyDescent="0.2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1:12" ht="11.25" x14ac:dyDescent="0.2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1:12" ht="11.25" x14ac:dyDescent="0.2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1:12" ht="11.25" x14ac:dyDescent="0.2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</sheetData>
  <mergeCells count="5">
    <mergeCell ref="A17:L17"/>
    <mergeCell ref="A1:L1"/>
    <mergeCell ref="A2:L2"/>
    <mergeCell ref="A3:L3"/>
    <mergeCell ref="A4:L4"/>
  </mergeCells>
  <phoneticPr fontId="14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1"/>
  <sheetViews>
    <sheetView workbookViewId="0">
      <selection activeCell="M32" sqref="M32"/>
    </sheetView>
  </sheetViews>
  <sheetFormatPr defaultColWidth="9.83203125" defaultRowHeight="10.5" x14ac:dyDescent="0.15"/>
  <cols>
    <col min="1" max="1" width="27.1640625" bestFit="1" customWidth="1"/>
    <col min="2" max="2" width="4.83203125" customWidth="1"/>
    <col min="3" max="3" width="81.6640625" bestFit="1" customWidth="1"/>
    <col min="4" max="4" width="11.83203125" customWidth="1"/>
    <col min="10" max="10" width="9.83203125" customWidth="1"/>
    <col min="12" max="12" width="1.83203125" customWidth="1"/>
    <col min="13" max="13" width="7.83203125" customWidth="1"/>
    <col min="14" max="14" width="6.83203125" customWidth="1"/>
  </cols>
  <sheetData>
    <row r="1" spans="1:10" ht="12.75" x14ac:dyDescent="0.2">
      <c r="A1" s="90"/>
      <c r="B1" s="90"/>
      <c r="C1" s="90"/>
      <c r="D1" s="90"/>
      <c r="E1" s="18"/>
    </row>
    <row r="2" spans="1:10" ht="12.75" x14ac:dyDescent="0.2">
      <c r="A2" s="90"/>
      <c r="B2" s="90"/>
      <c r="C2" s="90"/>
      <c r="D2" s="90"/>
    </row>
    <row r="3" spans="1:10" ht="12.75" x14ac:dyDescent="0.2">
      <c r="A3" s="90"/>
      <c r="B3" s="90"/>
      <c r="C3" s="113" t="s">
        <v>1760</v>
      </c>
      <c r="D3" s="90"/>
    </row>
    <row r="4" spans="1:10" ht="12.75" x14ac:dyDescent="0.2">
      <c r="A4" s="90"/>
      <c r="B4" s="90"/>
      <c r="C4" s="90"/>
      <c r="D4" s="90"/>
    </row>
    <row r="5" spans="1:10" ht="12.75" x14ac:dyDescent="0.2">
      <c r="A5" s="90"/>
      <c r="B5" s="90"/>
      <c r="C5" s="113" t="s">
        <v>1488</v>
      </c>
      <c r="D5" s="90"/>
    </row>
    <row r="6" spans="1:10" ht="12.75" x14ac:dyDescent="0.2">
      <c r="A6" s="90"/>
      <c r="B6" s="90"/>
      <c r="C6" s="90"/>
      <c r="D6" s="90"/>
    </row>
    <row r="7" spans="1:10" ht="12.75" x14ac:dyDescent="0.2">
      <c r="A7" s="112" t="s">
        <v>476</v>
      </c>
      <c r="B7" s="90"/>
      <c r="C7" s="113" t="s">
        <v>477</v>
      </c>
      <c r="D7" s="90"/>
    </row>
    <row r="8" spans="1:10" ht="12.75" x14ac:dyDescent="0.2">
      <c r="A8" s="90"/>
      <c r="B8" s="90"/>
      <c r="C8" s="90"/>
      <c r="D8" s="90"/>
    </row>
    <row r="9" spans="1:10" ht="12.75" x14ac:dyDescent="0.2">
      <c r="A9" s="112" t="s">
        <v>937</v>
      </c>
      <c r="B9" s="90"/>
      <c r="C9" s="113" t="str">
        <f>+Input!C4</f>
        <v>CASE NO. 2017-xxxxx</v>
      </c>
      <c r="D9" s="90"/>
    </row>
    <row r="10" spans="1:10" ht="12.75" x14ac:dyDescent="0.2">
      <c r="A10" s="90"/>
      <c r="B10" s="90"/>
      <c r="C10" s="90"/>
      <c r="D10" s="90"/>
    </row>
    <row r="11" spans="1:10" ht="12.75" x14ac:dyDescent="0.2">
      <c r="A11" s="112" t="s">
        <v>843</v>
      </c>
      <c r="B11" s="90"/>
      <c r="C11" s="113" t="str">
        <f>+Input!C6</f>
        <v>TWELVE MONTHS ENDED DECEMBER 31, 2017</v>
      </c>
      <c r="D11" s="90"/>
    </row>
    <row r="12" spans="1:10" ht="12.75" x14ac:dyDescent="0.2">
      <c r="A12" s="90"/>
      <c r="B12" s="90"/>
      <c r="C12" s="90"/>
      <c r="D12" s="90"/>
    </row>
    <row r="13" spans="1:10" ht="12.75" x14ac:dyDescent="0.2">
      <c r="A13" s="112" t="s">
        <v>478</v>
      </c>
      <c r="B13" s="90"/>
      <c r="C13" s="113" t="str">
        <f>+Input!C6</f>
        <v>TWELVE MONTHS ENDED DECEMBER 31, 2017</v>
      </c>
      <c r="D13" s="90"/>
    </row>
    <row r="14" spans="1:10" ht="12.75" x14ac:dyDescent="0.2">
      <c r="A14" s="90"/>
      <c r="B14" s="90"/>
      <c r="C14" s="90"/>
      <c r="D14" s="90"/>
    </row>
    <row r="15" spans="1:10" ht="12.75" x14ac:dyDescent="0.2">
      <c r="A15" s="90"/>
      <c r="B15" s="90"/>
      <c r="C15" s="90"/>
      <c r="D15" s="90"/>
    </row>
    <row r="16" spans="1:10" ht="12.75" x14ac:dyDescent="0.2">
      <c r="A16" s="115" t="s">
        <v>479</v>
      </c>
      <c r="B16" s="116"/>
      <c r="C16" s="117" t="s">
        <v>480</v>
      </c>
      <c r="D16" s="359"/>
      <c r="E16" s="48"/>
      <c r="F16" s="48"/>
      <c r="G16" s="48"/>
      <c r="H16" s="48"/>
      <c r="I16" s="48"/>
      <c r="J16" s="48"/>
    </row>
    <row r="17" spans="1:4" ht="12.75" x14ac:dyDescent="0.2">
      <c r="A17" s="90"/>
      <c r="B17" s="90"/>
      <c r="C17" s="90"/>
      <c r="D17" s="90"/>
    </row>
    <row r="18" spans="1:4" ht="12.75" x14ac:dyDescent="0.2">
      <c r="A18" s="90" t="s">
        <v>1761</v>
      </c>
      <c r="B18" s="90"/>
      <c r="C18" s="582" t="s">
        <v>1762</v>
      </c>
      <c r="D18" s="90"/>
    </row>
    <row r="19" spans="1:4" ht="12.75" x14ac:dyDescent="0.2">
      <c r="A19" s="112" t="s">
        <v>1763</v>
      </c>
      <c r="B19" s="90"/>
      <c r="C19" s="112" t="s">
        <v>1764</v>
      </c>
      <c r="D19" s="90"/>
    </row>
    <row r="20" spans="1:4" ht="12.75" x14ac:dyDescent="0.2">
      <c r="A20" s="90"/>
      <c r="B20" s="90"/>
      <c r="C20" s="112"/>
      <c r="D20" s="90"/>
    </row>
    <row r="21" spans="1:4" ht="12.75" x14ac:dyDescent="0.2">
      <c r="A21" s="90"/>
      <c r="B21" s="90"/>
      <c r="C21" s="90"/>
      <c r="D21" s="90"/>
    </row>
  </sheetData>
  <phoneticPr fontId="0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2"/>
  <sheetViews>
    <sheetView topLeftCell="A10" zoomScaleNormal="100" zoomScaleSheetLayoutView="75" workbookViewId="0">
      <selection activeCell="M32" sqref="M32"/>
    </sheetView>
  </sheetViews>
  <sheetFormatPr defaultColWidth="9.33203125" defaultRowHeight="10.5" x14ac:dyDescent="0.15"/>
  <cols>
    <col min="1" max="1" width="5.83203125" style="50" customWidth="1"/>
    <col min="2" max="2" width="3.83203125" style="50" customWidth="1"/>
    <col min="3" max="3" width="48.5" style="50" bestFit="1" customWidth="1"/>
    <col min="4" max="4" width="14.6640625" style="50" customWidth="1"/>
    <col min="5" max="7" width="16.83203125" style="50" customWidth="1"/>
    <col min="8" max="8" width="12" style="50" customWidth="1"/>
    <col min="9" max="16384" width="9.33203125" style="50"/>
  </cols>
  <sheetData>
    <row r="1" spans="1:8" ht="12.75" x14ac:dyDescent="0.2">
      <c r="A1" s="1457" t="s">
        <v>993</v>
      </c>
      <c r="B1" s="1457"/>
      <c r="C1" s="1457"/>
      <c r="D1" s="1457"/>
      <c r="E1" s="1457"/>
      <c r="F1" s="1457"/>
      <c r="G1" s="1457"/>
    </row>
    <row r="2" spans="1:8" ht="12.75" x14ac:dyDescent="0.2">
      <c r="A2" s="1457" t="str">
        <f>+Input!C4</f>
        <v>CASE NO. 2017-xxxxx</v>
      </c>
      <c r="B2" s="1457"/>
      <c r="C2" s="1457"/>
      <c r="D2" s="1457"/>
      <c r="E2" s="1457"/>
      <c r="F2" s="1457"/>
      <c r="G2" s="1457"/>
    </row>
    <row r="3" spans="1:8" ht="12.75" x14ac:dyDescent="0.2">
      <c r="A3" s="1457" t="s">
        <v>1765</v>
      </c>
      <c r="B3" s="1457"/>
      <c r="C3" s="1457"/>
      <c r="D3" s="1457"/>
      <c r="E3" s="1457"/>
      <c r="F3" s="1457"/>
      <c r="G3" s="1457"/>
    </row>
    <row r="4" spans="1:8" ht="12.75" x14ac:dyDescent="0.2">
      <c r="A4" s="1457" t="str">
        <f>+Input!C8</f>
        <v>FOR THE TWELVE MONTHS ENDED DECEMBER 31, 2017</v>
      </c>
      <c r="B4" s="1457"/>
      <c r="C4" s="1457"/>
      <c r="D4" s="1457"/>
      <c r="E4" s="1457"/>
      <c r="F4" s="1457"/>
      <c r="G4" s="1457"/>
    </row>
    <row r="5" spans="1:8" ht="12.75" x14ac:dyDescent="0.2">
      <c r="A5" s="584"/>
      <c r="B5" s="584"/>
      <c r="C5" s="584"/>
      <c r="D5" s="584"/>
      <c r="E5" s="584"/>
      <c r="F5" s="584"/>
      <c r="G5" s="584"/>
    </row>
    <row r="6" spans="1:8" ht="12.75" x14ac:dyDescent="0.2">
      <c r="A6" s="584" t="s">
        <v>839</v>
      </c>
      <c r="B6" s="584"/>
      <c r="C6" s="584"/>
      <c r="D6" s="584"/>
      <c r="E6" s="584"/>
      <c r="F6" s="584"/>
      <c r="G6" s="586" t="s">
        <v>1766</v>
      </c>
    </row>
    <row r="7" spans="1:8" ht="12.75" x14ac:dyDescent="0.2">
      <c r="A7" s="584" t="s">
        <v>490</v>
      </c>
      <c r="B7" s="584"/>
      <c r="C7" s="584"/>
      <c r="D7" s="584"/>
      <c r="E7" s="584"/>
      <c r="F7" s="584"/>
      <c r="G7" s="586" t="s">
        <v>997</v>
      </c>
    </row>
    <row r="8" spans="1:8" ht="12.75" x14ac:dyDescent="0.2">
      <c r="A8" s="587" t="s">
        <v>840</v>
      </c>
      <c r="B8" s="587"/>
      <c r="C8" s="587"/>
      <c r="D8" s="587"/>
      <c r="E8" s="587"/>
      <c r="F8" s="1279"/>
      <c r="G8" s="1280" t="str">
        <f>+Input!E31</f>
        <v>WITNESS:  P.  FISCHER</v>
      </c>
      <c r="H8" s="51"/>
    </row>
    <row r="9" spans="1:8" s="49" customFormat="1" ht="12.75" x14ac:dyDescent="0.2">
      <c r="A9" s="583"/>
      <c r="B9" s="583"/>
      <c r="C9" s="583"/>
      <c r="D9" s="583"/>
      <c r="E9" s="1458" t="s">
        <v>1767</v>
      </c>
      <c r="F9" s="1458"/>
      <c r="G9" s="1458"/>
    </row>
    <row r="10" spans="1:8" s="49" customFormat="1" ht="12.75" x14ac:dyDescent="0.2">
      <c r="A10" s="583" t="s">
        <v>1768</v>
      </c>
      <c r="B10" s="583"/>
      <c r="C10" s="583"/>
      <c r="D10" s="583"/>
      <c r="E10" s="583" t="s">
        <v>1769</v>
      </c>
      <c r="F10" s="583" t="s">
        <v>1770</v>
      </c>
      <c r="G10" s="583"/>
    </row>
    <row r="11" spans="1:8" s="49" customFormat="1" ht="12.75" x14ac:dyDescent="0.2">
      <c r="A11" s="589" t="s">
        <v>1771</v>
      </c>
      <c r="B11" s="590"/>
      <c r="C11" s="589" t="s">
        <v>1772</v>
      </c>
      <c r="D11" s="590"/>
      <c r="E11" s="589" t="s">
        <v>1791</v>
      </c>
      <c r="F11" s="589" t="s">
        <v>1773</v>
      </c>
      <c r="G11" s="589" t="s">
        <v>1774</v>
      </c>
    </row>
    <row r="12" spans="1:8" s="49" customFormat="1" ht="12.75" x14ac:dyDescent="0.2">
      <c r="A12" s="591"/>
      <c r="B12" s="583"/>
      <c r="C12" s="583"/>
      <c r="D12" s="583"/>
      <c r="E12" s="583" t="s">
        <v>532</v>
      </c>
      <c r="F12" s="583" t="s">
        <v>533</v>
      </c>
      <c r="G12" s="583" t="s">
        <v>534</v>
      </c>
    </row>
    <row r="13" spans="1:8" s="49" customFormat="1" ht="12.75" x14ac:dyDescent="0.2">
      <c r="A13" s="591"/>
      <c r="B13" s="583"/>
      <c r="C13" s="583"/>
      <c r="D13" s="583"/>
      <c r="E13" s="583" t="s">
        <v>500</v>
      </c>
      <c r="F13" s="583" t="s">
        <v>500</v>
      </c>
      <c r="G13" s="583" t="s">
        <v>500</v>
      </c>
    </row>
    <row r="14" spans="1:8" ht="12.75" x14ac:dyDescent="0.2">
      <c r="A14" s="591"/>
      <c r="B14" s="584"/>
      <c r="C14" s="584"/>
      <c r="D14" s="584"/>
      <c r="E14" s="584"/>
      <c r="F14" s="584"/>
      <c r="G14" s="584"/>
    </row>
    <row r="15" spans="1:8" ht="12.75" x14ac:dyDescent="0.2">
      <c r="A15" s="591">
        <v>1</v>
      </c>
      <c r="B15" s="584"/>
      <c r="C15" s="584" t="s">
        <v>1775</v>
      </c>
      <c r="D15" s="584"/>
      <c r="E15" s="946" t="e">
        <f>'Operating Income Summary C-1'!E23</f>
        <v>#REF!</v>
      </c>
      <c r="F15" s="584" t="e">
        <f>G15-E15</f>
        <v>#REF!</v>
      </c>
      <c r="G15" s="584" t="e">
        <f>+'Operating Income Summary C-1'!E23</f>
        <v>#REF!</v>
      </c>
    </row>
    <row r="16" spans="1:8" ht="12.75" x14ac:dyDescent="0.2">
      <c r="A16" s="591">
        <f>A15+1</f>
        <v>2</v>
      </c>
      <c r="B16" s="584"/>
      <c r="C16" s="584" t="s">
        <v>1776</v>
      </c>
      <c r="D16" s="584"/>
      <c r="E16" s="947">
        <v>6123529.9000000004</v>
      </c>
      <c r="F16" s="592">
        <f>G16-E16</f>
        <v>0</v>
      </c>
      <c r="G16" s="592">
        <f>E16</f>
        <v>6123529.9000000004</v>
      </c>
    </row>
    <row r="17" spans="1:7" ht="12.75" x14ac:dyDescent="0.2">
      <c r="A17" s="591">
        <f>A16+1</f>
        <v>3</v>
      </c>
      <c r="B17" s="584"/>
      <c r="C17" s="584" t="s">
        <v>0</v>
      </c>
      <c r="D17" s="584" t="s">
        <v>1</v>
      </c>
      <c r="E17" s="584" t="e">
        <f>+E15-E16</f>
        <v>#REF!</v>
      </c>
      <c r="F17" s="584" t="e">
        <f>G17-E17</f>
        <v>#REF!</v>
      </c>
      <c r="G17" s="584" t="e">
        <f>+G15-G16</f>
        <v>#REF!</v>
      </c>
    </row>
    <row r="18" spans="1:7" ht="12.75" x14ac:dyDescent="0.2">
      <c r="A18" s="591"/>
      <c r="B18" s="584"/>
      <c r="C18" s="584"/>
      <c r="D18" s="584"/>
      <c r="E18" s="584"/>
      <c r="F18" s="584"/>
      <c r="G18" s="584"/>
    </row>
    <row r="19" spans="1:7" ht="12.75" x14ac:dyDescent="0.2">
      <c r="A19" s="591"/>
      <c r="B19" s="584"/>
      <c r="C19" s="1334" t="s">
        <v>1807</v>
      </c>
      <c r="D19" s="1333"/>
      <c r="E19" s="584" t="e">
        <f>E17*0.21</f>
        <v>#REF!</v>
      </c>
      <c r="F19" s="584"/>
      <c r="G19" s="584"/>
    </row>
    <row r="20" spans="1:7" ht="12.75" x14ac:dyDescent="0.2">
      <c r="A20" s="591"/>
      <c r="B20" s="584"/>
      <c r="C20" s="1334" t="s">
        <v>1806</v>
      </c>
      <c r="D20" s="584"/>
      <c r="E20" s="1336">
        <f>-1140000</f>
        <v>-1140000</v>
      </c>
      <c r="F20" s="584"/>
      <c r="G20" s="584"/>
    </row>
    <row r="21" spans="1:7" ht="12.75" x14ac:dyDescent="0.2">
      <c r="A21" s="591"/>
      <c r="B21" s="584"/>
      <c r="C21" s="1334" t="s">
        <v>1808</v>
      </c>
      <c r="D21" s="584"/>
      <c r="E21" s="584" t="e">
        <f>E19+E20</f>
        <v>#REF!</v>
      </c>
      <c r="F21" s="584"/>
      <c r="G21" s="584"/>
    </row>
    <row r="22" spans="1:7" ht="12.75" x14ac:dyDescent="0.2">
      <c r="A22" s="591"/>
      <c r="B22" s="584"/>
      <c r="C22" s="584"/>
      <c r="D22" s="584"/>
      <c r="E22" s="584"/>
      <c r="F22" s="584"/>
      <c r="G22" s="584"/>
    </row>
    <row r="23" spans="1:7" ht="12.75" x14ac:dyDescent="0.2">
      <c r="A23" s="591"/>
      <c r="B23" s="584"/>
      <c r="C23" s="584"/>
      <c r="D23" s="584"/>
      <c r="E23" s="584"/>
      <c r="F23" s="584"/>
      <c r="G23" s="584"/>
    </row>
    <row r="24" spans="1:7" ht="12.75" x14ac:dyDescent="0.2">
      <c r="A24" s="591"/>
      <c r="B24" s="584"/>
      <c r="C24" s="584"/>
      <c r="D24" s="584"/>
      <c r="E24" s="584"/>
      <c r="F24" s="584"/>
      <c r="G24" s="584"/>
    </row>
    <row r="25" spans="1:7" ht="12.75" x14ac:dyDescent="0.2">
      <c r="A25" s="591"/>
      <c r="B25" s="584"/>
      <c r="C25" s="584"/>
      <c r="D25" s="584"/>
      <c r="E25" s="584"/>
      <c r="F25" s="584"/>
      <c r="G25" s="584"/>
    </row>
    <row r="26" spans="1:7" ht="12.75" x14ac:dyDescent="0.2">
      <c r="A26" s="591"/>
      <c r="B26" s="584"/>
      <c r="C26" s="584"/>
      <c r="D26" s="584"/>
      <c r="E26" s="584"/>
      <c r="F26" s="584"/>
      <c r="G26" s="584"/>
    </row>
    <row r="27" spans="1:7" ht="12.75" x14ac:dyDescent="0.2">
      <c r="A27" s="591"/>
      <c r="B27" s="584"/>
      <c r="C27" s="584"/>
      <c r="D27" s="584"/>
      <c r="E27" s="584"/>
      <c r="F27" s="584"/>
      <c r="G27" s="584"/>
    </row>
    <row r="28" spans="1:7" ht="12.75" x14ac:dyDescent="0.2">
      <c r="A28" s="591">
        <f>A17+1</f>
        <v>4</v>
      </c>
      <c r="B28" s="584"/>
      <c r="C28" s="584" t="s">
        <v>2</v>
      </c>
      <c r="D28" s="584" t="s">
        <v>3</v>
      </c>
      <c r="E28" s="592">
        <f>E111*0</f>
        <v>0</v>
      </c>
      <c r="F28" s="592">
        <f>G28-E28</f>
        <v>46320</v>
      </c>
      <c r="G28" s="592">
        <f>G111</f>
        <v>46320</v>
      </c>
    </row>
    <row r="29" spans="1:7" ht="12.75" x14ac:dyDescent="0.2">
      <c r="A29" s="591"/>
      <c r="B29" s="584"/>
      <c r="C29" s="584"/>
      <c r="D29" s="584"/>
      <c r="E29" s="584"/>
      <c r="F29" s="584"/>
      <c r="G29" s="584"/>
    </row>
    <row r="30" spans="1:7" ht="12.75" x14ac:dyDescent="0.2">
      <c r="A30" s="591">
        <f>A28+1</f>
        <v>5</v>
      </c>
      <c r="B30" s="584"/>
      <c r="C30" s="584" t="s">
        <v>4</v>
      </c>
      <c r="D30" s="584" t="s">
        <v>5</v>
      </c>
      <c r="E30" s="584" t="e">
        <f>+E17+E28</f>
        <v>#REF!</v>
      </c>
      <c r="F30" s="584" t="e">
        <f>G30-E30</f>
        <v>#REF!</v>
      </c>
      <c r="G30" s="584" t="e">
        <f>+G17+G28</f>
        <v>#REF!</v>
      </c>
    </row>
    <row r="31" spans="1:7" ht="12.75" x14ac:dyDescent="0.2">
      <c r="A31" s="591"/>
      <c r="B31" s="584"/>
      <c r="C31" s="584"/>
      <c r="D31" s="584"/>
      <c r="E31" s="584"/>
      <c r="F31" s="584"/>
      <c r="G31" s="584"/>
    </row>
    <row r="32" spans="1:7" ht="12.75" x14ac:dyDescent="0.2">
      <c r="A32" s="591">
        <f>A30+1</f>
        <v>6</v>
      </c>
      <c r="B32" s="584"/>
      <c r="C32" s="584" t="s">
        <v>6</v>
      </c>
      <c r="D32" s="584" t="s">
        <v>7</v>
      </c>
      <c r="E32" s="1281">
        <v>0</v>
      </c>
      <c r="F32" s="584" t="e">
        <f>G32-E32</f>
        <v>#REF!</v>
      </c>
      <c r="G32" s="584" t="e">
        <f>((+G30-100000)*0.06)+4500</f>
        <v>#REF!</v>
      </c>
    </row>
    <row r="33" spans="1:7" ht="12.75" x14ac:dyDescent="0.2">
      <c r="A33" s="591">
        <f>A32+1</f>
        <v>7</v>
      </c>
      <c r="B33" s="584"/>
      <c r="C33" s="584" t="s">
        <v>8</v>
      </c>
      <c r="D33" s="584"/>
      <c r="E33" s="1282">
        <v>0</v>
      </c>
      <c r="F33" s="592">
        <f>G33-E33</f>
        <v>0</v>
      </c>
      <c r="G33" s="947">
        <v>0</v>
      </c>
    </row>
    <row r="34" spans="1:7" ht="12.75" x14ac:dyDescent="0.2">
      <c r="A34" s="591">
        <f>A33+1</f>
        <v>8</v>
      </c>
      <c r="B34" s="584"/>
      <c r="C34" s="584" t="s">
        <v>9</v>
      </c>
      <c r="D34" s="584" t="s">
        <v>67</v>
      </c>
      <c r="E34" s="593">
        <f>+E32+E33</f>
        <v>0</v>
      </c>
      <c r="F34" s="584" t="e">
        <f>G34-E34</f>
        <v>#REF!</v>
      </c>
      <c r="G34" s="584" t="e">
        <f>+G32+G33</f>
        <v>#REF!</v>
      </c>
    </row>
    <row r="35" spans="1:7" ht="12.75" x14ac:dyDescent="0.2">
      <c r="A35" s="591"/>
      <c r="B35" s="584"/>
      <c r="C35" s="584"/>
      <c r="D35" s="584"/>
      <c r="E35" s="593"/>
      <c r="F35" s="584"/>
      <c r="G35" s="584"/>
    </row>
    <row r="36" spans="1:7" ht="12.75" x14ac:dyDescent="0.2">
      <c r="A36" s="591">
        <f>A34+1</f>
        <v>9</v>
      </c>
      <c r="B36" s="584"/>
      <c r="C36" s="584" t="s">
        <v>10</v>
      </c>
      <c r="D36" s="584" t="s">
        <v>68</v>
      </c>
      <c r="E36" s="593" t="e">
        <f>+E30-E34</f>
        <v>#REF!</v>
      </c>
      <c r="F36" s="584" t="e">
        <f>G36-E36</f>
        <v>#REF!</v>
      </c>
      <c r="G36" s="584" t="e">
        <f>+G30-G34</f>
        <v>#REF!</v>
      </c>
    </row>
    <row r="37" spans="1:7" ht="12.75" x14ac:dyDescent="0.2">
      <c r="A37" s="591"/>
      <c r="B37" s="584"/>
      <c r="C37" s="584"/>
      <c r="D37" s="584"/>
      <c r="E37" s="593"/>
      <c r="F37" s="584"/>
      <c r="G37" s="584"/>
    </row>
    <row r="38" spans="1:7" ht="12.75" x14ac:dyDescent="0.2">
      <c r="A38" s="591">
        <f>A36+1</f>
        <v>10</v>
      </c>
      <c r="B38" s="584"/>
      <c r="C38" s="584" t="s">
        <v>23</v>
      </c>
      <c r="D38" s="584" t="s">
        <v>69</v>
      </c>
      <c r="E38" s="584" t="e">
        <f>IF(E36&gt;10000000,((+E36-10000000)*0.35)+(10000000*0.34),E36*0.34)</f>
        <v>#REF!</v>
      </c>
      <c r="F38" s="584" t="e">
        <f>G38-E38</f>
        <v>#REF!</v>
      </c>
      <c r="G38" s="584" t="e">
        <f>IF(G36&gt;10000000,((+G36-10000000)*0.35)+(10000000*0.34),G36*0.34)</f>
        <v>#REF!</v>
      </c>
    </row>
    <row r="39" spans="1:7" ht="12.75" x14ac:dyDescent="0.2">
      <c r="A39" s="591"/>
      <c r="B39" s="584"/>
      <c r="C39" s="584"/>
      <c r="D39" s="584"/>
      <c r="E39" s="593"/>
      <c r="F39" s="584"/>
      <c r="G39" s="584"/>
    </row>
    <row r="40" spans="1:7" ht="12.75" x14ac:dyDescent="0.2">
      <c r="A40" s="591">
        <f>A38+1</f>
        <v>11</v>
      </c>
      <c r="B40" s="584"/>
      <c r="C40" s="584" t="s">
        <v>24</v>
      </c>
      <c r="D40" s="584"/>
      <c r="E40" s="1281">
        <v>0</v>
      </c>
      <c r="F40" s="584">
        <f>G40-E40</f>
        <v>0</v>
      </c>
      <c r="G40" s="946">
        <v>0</v>
      </c>
    </row>
    <row r="41" spans="1:7" ht="12.75" x14ac:dyDescent="0.2">
      <c r="A41" s="591">
        <f>A40+1</f>
        <v>12</v>
      </c>
      <c r="B41" s="584"/>
      <c r="C41" s="584" t="s">
        <v>25</v>
      </c>
      <c r="D41" s="584"/>
      <c r="E41" s="1282">
        <v>0</v>
      </c>
      <c r="F41" s="592">
        <f>G41-E41</f>
        <v>0</v>
      </c>
      <c r="G41" s="947">
        <v>0</v>
      </c>
    </row>
    <row r="42" spans="1:7" ht="12.75" x14ac:dyDescent="0.2">
      <c r="A42" s="591"/>
      <c r="B42" s="584"/>
      <c r="C42" s="584"/>
      <c r="D42" s="584"/>
      <c r="E42" s="584"/>
      <c r="F42" s="584"/>
      <c r="G42" s="584"/>
    </row>
    <row r="43" spans="1:7" ht="12.75" x14ac:dyDescent="0.2">
      <c r="A43" s="591">
        <f>A41+1</f>
        <v>13</v>
      </c>
      <c r="B43" s="584"/>
      <c r="C43" s="584" t="s">
        <v>26</v>
      </c>
      <c r="D43" s="593" t="s">
        <v>70</v>
      </c>
      <c r="E43" s="594" t="e">
        <f>E38+E40+E41</f>
        <v>#REF!</v>
      </c>
      <c r="F43" s="584" t="e">
        <f>G43-E43</f>
        <v>#REF!</v>
      </c>
      <c r="G43" s="594" t="e">
        <f>G38+G40+G41</f>
        <v>#REF!</v>
      </c>
    </row>
    <row r="44" spans="1:7" ht="12.75" x14ac:dyDescent="0.2">
      <c r="A44" s="591">
        <f>A43+1</f>
        <v>14</v>
      </c>
      <c r="B44" s="584"/>
      <c r="C44" s="584" t="s">
        <v>27</v>
      </c>
      <c r="D44" s="584"/>
      <c r="E44" s="947">
        <v>0</v>
      </c>
      <c r="F44" s="592" t="e">
        <f>G44-E44</f>
        <v>#REF!</v>
      </c>
      <c r="G44" s="595" t="e">
        <f>+G34</f>
        <v>#REF!</v>
      </c>
    </row>
    <row r="45" spans="1:7" ht="12.75" x14ac:dyDescent="0.2">
      <c r="A45" s="591">
        <f>A44+1</f>
        <v>15</v>
      </c>
      <c r="B45" s="584"/>
      <c r="C45" s="584" t="s">
        <v>28</v>
      </c>
      <c r="D45" s="584" t="s">
        <v>71</v>
      </c>
      <c r="E45" s="584" t="e">
        <f>+E43+E44</f>
        <v>#REF!</v>
      </c>
      <c r="F45" s="584" t="e">
        <f>G45-E45</f>
        <v>#REF!</v>
      </c>
      <c r="G45" s="584" t="e">
        <f>+G43+G44</f>
        <v>#REF!</v>
      </c>
    </row>
    <row r="46" spans="1:7" ht="12.75" x14ac:dyDescent="0.2">
      <c r="A46" s="591"/>
      <c r="B46" s="584"/>
      <c r="C46" s="584"/>
      <c r="D46" s="584"/>
      <c r="E46" s="584"/>
      <c r="F46" s="584"/>
      <c r="G46" s="584"/>
    </row>
    <row r="47" spans="1:7" ht="12.75" x14ac:dyDescent="0.2">
      <c r="A47" s="591">
        <f>A45+1</f>
        <v>16</v>
      </c>
      <c r="B47" s="584"/>
      <c r="C47" s="584" t="s">
        <v>1468</v>
      </c>
      <c r="D47" s="584"/>
      <c r="E47" s="1281">
        <v>0</v>
      </c>
      <c r="F47" s="584">
        <f>G47-E47</f>
        <v>0</v>
      </c>
      <c r="G47" s="735">
        <v>0</v>
      </c>
    </row>
    <row r="48" spans="1:7" ht="12.75" x14ac:dyDescent="0.2">
      <c r="A48" s="591">
        <f>A47+1</f>
        <v>17</v>
      </c>
      <c r="B48" s="584"/>
      <c r="C48" s="584" t="s">
        <v>29</v>
      </c>
      <c r="D48" s="584"/>
      <c r="E48" s="1282">
        <v>0</v>
      </c>
      <c r="F48" s="592">
        <f>G48-E48</f>
        <v>0</v>
      </c>
      <c r="G48" s="947">
        <v>0</v>
      </c>
    </row>
    <row r="49" spans="1:7" ht="12.75" x14ac:dyDescent="0.2">
      <c r="A49" s="591">
        <f>A48+1</f>
        <v>18</v>
      </c>
      <c r="B49" s="584"/>
      <c r="C49" s="584" t="s">
        <v>559</v>
      </c>
      <c r="D49" s="584" t="s">
        <v>72</v>
      </c>
      <c r="E49" s="584">
        <f>SUM(E47:E48)</f>
        <v>0</v>
      </c>
      <c r="F49" s="584">
        <f>SUM(F47:F48)</f>
        <v>0</v>
      </c>
      <c r="G49" s="584">
        <f>SUM(G47:G48)</f>
        <v>0</v>
      </c>
    </row>
    <row r="50" spans="1:7" ht="12.75" x14ac:dyDescent="0.2">
      <c r="A50" s="591"/>
      <c r="B50" s="584"/>
      <c r="C50" s="584"/>
      <c r="D50" s="584"/>
      <c r="E50" s="735"/>
      <c r="F50" s="584"/>
      <c r="G50" s="584"/>
    </row>
    <row r="51" spans="1:7" ht="12.75" x14ac:dyDescent="0.2">
      <c r="A51" s="591">
        <f>A49+1</f>
        <v>19</v>
      </c>
      <c r="B51" s="584"/>
      <c r="C51" s="584" t="s">
        <v>1467</v>
      </c>
      <c r="D51" s="584"/>
      <c r="E51" s="1281">
        <v>0</v>
      </c>
      <c r="F51" s="584">
        <f>G51-E51</f>
        <v>0</v>
      </c>
      <c r="G51" s="735">
        <v>0</v>
      </c>
    </row>
    <row r="52" spans="1:7" ht="12.75" x14ac:dyDescent="0.2">
      <c r="A52" s="591">
        <f>A51+1</f>
        <v>20</v>
      </c>
      <c r="B52" s="584"/>
      <c r="C52" s="584" t="s">
        <v>30</v>
      </c>
      <c r="D52" s="584"/>
      <c r="E52" s="1282">
        <v>0</v>
      </c>
      <c r="F52" s="592">
        <f>G52-E52</f>
        <v>0</v>
      </c>
      <c r="G52" s="736">
        <v>0</v>
      </c>
    </row>
    <row r="53" spans="1:7" ht="12.75" x14ac:dyDescent="0.2">
      <c r="A53" s="591">
        <f>A52+1</f>
        <v>21</v>
      </c>
      <c r="B53" s="584"/>
      <c r="C53" s="584" t="s">
        <v>560</v>
      </c>
      <c r="D53" s="584" t="s">
        <v>73</v>
      </c>
      <c r="E53" s="594">
        <f>SUM(E51:E52)</f>
        <v>0</v>
      </c>
      <c r="F53" s="594">
        <f>SUM(F51:F52)</f>
        <v>0</v>
      </c>
      <c r="G53" s="594">
        <f>SUM(G51:G52)</f>
        <v>0</v>
      </c>
    </row>
    <row r="54" spans="1:7" ht="12.75" x14ac:dyDescent="0.2">
      <c r="A54" s="591"/>
      <c r="B54" s="584"/>
      <c r="C54" s="584"/>
      <c r="D54" s="584"/>
      <c r="E54" s="768"/>
      <c r="F54" s="594"/>
      <c r="G54" s="594"/>
    </row>
    <row r="55" spans="1:7" ht="12.75" x14ac:dyDescent="0.2">
      <c r="A55" s="591">
        <f>A53+1</f>
        <v>22</v>
      </c>
      <c r="B55" s="584"/>
      <c r="C55" s="584" t="s">
        <v>31</v>
      </c>
      <c r="D55" s="584" t="s">
        <v>74</v>
      </c>
      <c r="E55" s="584">
        <f>E49+E53</f>
        <v>0</v>
      </c>
      <c r="F55" s="594">
        <f>G55-E55</f>
        <v>0</v>
      </c>
      <c r="G55" s="584">
        <f>G49+G53</f>
        <v>0</v>
      </c>
    </row>
    <row r="56" spans="1:7" ht="12.75" x14ac:dyDescent="0.2">
      <c r="A56" s="591"/>
      <c r="B56" s="584"/>
      <c r="C56" s="584"/>
      <c r="D56" s="584"/>
      <c r="E56" s="584"/>
      <c r="F56" s="584"/>
      <c r="G56" s="584"/>
    </row>
    <row r="57" spans="1:7" ht="12.75" x14ac:dyDescent="0.2">
      <c r="A57" s="591">
        <f>A55+1</f>
        <v>23</v>
      </c>
      <c r="B57" s="584"/>
      <c r="C57" s="584" t="s">
        <v>32</v>
      </c>
      <c r="D57" s="584" t="s">
        <v>75</v>
      </c>
      <c r="E57" s="1283" t="e">
        <f>E43+E49</f>
        <v>#REF!</v>
      </c>
      <c r="F57" s="584" t="e">
        <f>G57-E57</f>
        <v>#REF!</v>
      </c>
      <c r="G57" s="584" t="e">
        <f>G43+G49</f>
        <v>#REF!</v>
      </c>
    </row>
    <row r="58" spans="1:7" ht="12.75" x14ac:dyDescent="0.2">
      <c r="A58" s="591">
        <f>A57+1</f>
        <v>24</v>
      </c>
      <c r="B58" s="584"/>
      <c r="C58" s="584" t="s">
        <v>33</v>
      </c>
      <c r="D58" s="584"/>
      <c r="E58" s="1282">
        <v>0</v>
      </c>
      <c r="F58" s="592">
        <f>G58-E58</f>
        <v>0</v>
      </c>
      <c r="G58" s="736">
        <v>0</v>
      </c>
    </row>
    <row r="59" spans="1:7" ht="12.75" x14ac:dyDescent="0.2">
      <c r="A59" s="591">
        <f>A58+1</f>
        <v>25</v>
      </c>
      <c r="B59" s="584"/>
      <c r="C59" s="584" t="s">
        <v>34</v>
      </c>
      <c r="D59" s="584" t="s">
        <v>558</v>
      </c>
      <c r="E59" s="584" t="e">
        <f>+E57+E58</f>
        <v>#REF!</v>
      </c>
      <c r="F59" s="584" t="e">
        <f>G59-E59</f>
        <v>#REF!</v>
      </c>
      <c r="G59" s="584" t="e">
        <f>+G57+G58</f>
        <v>#REF!</v>
      </c>
    </row>
    <row r="60" spans="1:7" ht="12.75" x14ac:dyDescent="0.2">
      <c r="A60" s="591"/>
      <c r="B60" s="584"/>
      <c r="C60" s="584"/>
      <c r="D60" s="584"/>
      <c r="E60" s="584"/>
      <c r="F60" s="584"/>
      <c r="G60" s="584"/>
    </row>
    <row r="61" spans="1:7" ht="12.75" x14ac:dyDescent="0.2">
      <c r="A61" s="591">
        <f>A59+1</f>
        <v>26</v>
      </c>
      <c r="B61" s="584"/>
      <c r="C61" s="584" t="s">
        <v>35</v>
      </c>
      <c r="D61" s="584" t="s">
        <v>76</v>
      </c>
      <c r="E61" s="592">
        <f>+E44+E53</f>
        <v>0</v>
      </c>
      <c r="F61" s="592" t="e">
        <f>G61-E61</f>
        <v>#REF!</v>
      </c>
      <c r="G61" s="592" t="e">
        <f>+G44+G53</f>
        <v>#REF!</v>
      </c>
    </row>
    <row r="62" spans="1:7" ht="12.75" x14ac:dyDescent="0.2">
      <c r="A62" s="591"/>
      <c r="B62" s="584"/>
      <c r="C62" s="584"/>
      <c r="D62" s="584"/>
      <c r="E62" s="584"/>
      <c r="F62" s="584"/>
      <c r="G62" s="584"/>
    </row>
    <row r="63" spans="1:7" ht="12.75" x14ac:dyDescent="0.2">
      <c r="A63" s="591">
        <f>A61+1</f>
        <v>27</v>
      </c>
      <c r="B63" s="584"/>
      <c r="C63" s="584" t="s">
        <v>36</v>
      </c>
      <c r="D63" s="584" t="s">
        <v>77</v>
      </c>
      <c r="E63" s="584" t="e">
        <f>+E61+E59</f>
        <v>#REF!</v>
      </c>
      <c r="F63" s="584" t="e">
        <f>G63-E63</f>
        <v>#REF!</v>
      </c>
      <c r="G63" s="584" t="e">
        <f>+G61+G59</f>
        <v>#REF!</v>
      </c>
    </row>
    <row r="64" spans="1:7" ht="12.75" x14ac:dyDescent="0.2">
      <c r="A64" s="584"/>
      <c r="B64" s="584"/>
      <c r="C64" s="584"/>
      <c r="D64" s="584"/>
      <c r="E64" s="584"/>
      <c r="F64" s="584"/>
      <c r="G64" s="584"/>
    </row>
    <row r="65" spans="1:8" ht="12.75" x14ac:dyDescent="0.2">
      <c r="A65" s="584"/>
      <c r="B65" s="584"/>
      <c r="C65" s="584"/>
      <c r="D65" s="584"/>
      <c r="E65" s="584"/>
      <c r="F65" s="584"/>
      <c r="G65" s="584"/>
    </row>
    <row r="66" spans="1:8" ht="12.75" x14ac:dyDescent="0.2">
      <c r="A66" s="584"/>
      <c r="B66" s="584"/>
      <c r="C66" s="584"/>
      <c r="D66" s="584"/>
      <c r="E66" s="584"/>
      <c r="F66" s="584"/>
      <c r="G66" s="584"/>
    </row>
    <row r="67" spans="1:8" ht="12.75" x14ac:dyDescent="0.2">
      <c r="A67" s="584"/>
      <c r="B67" s="584"/>
      <c r="C67" s="584"/>
      <c r="D67" s="584"/>
      <c r="E67" s="584"/>
      <c r="F67" s="584"/>
      <c r="G67" s="584"/>
    </row>
    <row r="68" spans="1:8" ht="12.75" x14ac:dyDescent="0.2">
      <c r="A68" s="584"/>
      <c r="B68" s="584"/>
      <c r="C68" s="584"/>
      <c r="D68" s="584"/>
      <c r="E68" s="584"/>
      <c r="F68" s="584"/>
      <c r="G68" s="584"/>
    </row>
    <row r="69" spans="1:8" ht="12.75" x14ac:dyDescent="0.2">
      <c r="A69" s="1457" t="s">
        <v>993</v>
      </c>
      <c r="B69" s="1457"/>
      <c r="C69" s="1457"/>
      <c r="D69" s="1457"/>
      <c r="E69" s="1457"/>
      <c r="F69" s="1457"/>
      <c r="G69" s="1457"/>
    </row>
    <row r="70" spans="1:8" ht="12.75" x14ac:dyDescent="0.2">
      <c r="A70" s="1457" t="str">
        <f>+Input!C4</f>
        <v>CASE NO. 2017-xxxxx</v>
      </c>
      <c r="B70" s="1457"/>
      <c r="C70" s="1457"/>
      <c r="D70" s="1457"/>
      <c r="E70" s="1457"/>
      <c r="F70" s="1457"/>
      <c r="G70" s="1457"/>
    </row>
    <row r="71" spans="1:8" ht="12.75" x14ac:dyDescent="0.2">
      <c r="A71" s="1457" t="str">
        <f>A3</f>
        <v>COMPUTATION OF FEDERAL AND STATE INCOME TAX</v>
      </c>
      <c r="B71" s="1457"/>
      <c r="C71" s="1457"/>
      <c r="D71" s="1457"/>
      <c r="E71" s="1457"/>
      <c r="F71" s="1457"/>
      <c r="G71" s="1457"/>
    </row>
    <row r="72" spans="1:8" ht="12.75" x14ac:dyDescent="0.2">
      <c r="A72" s="1457" t="str">
        <f>+Input!C8</f>
        <v>FOR THE TWELVE MONTHS ENDED DECEMBER 31, 2017</v>
      </c>
      <c r="B72" s="1457"/>
      <c r="C72" s="1457"/>
      <c r="D72" s="1457"/>
      <c r="E72" s="1457"/>
      <c r="F72" s="1457"/>
      <c r="G72" s="1457"/>
      <c r="H72" s="51"/>
    </row>
    <row r="73" spans="1:8" s="49" customFormat="1" ht="12.75" x14ac:dyDescent="0.2">
      <c r="A73" s="584"/>
      <c r="B73" s="584"/>
      <c r="C73" s="584"/>
      <c r="D73" s="584"/>
      <c r="E73" s="584"/>
      <c r="F73" s="584"/>
      <c r="G73" s="584"/>
    </row>
    <row r="74" spans="1:8" s="49" customFormat="1" ht="12.75" x14ac:dyDescent="0.2">
      <c r="A74" s="584" t="s">
        <v>839</v>
      </c>
      <c r="B74" s="584"/>
      <c r="C74" s="584"/>
      <c r="D74" s="584"/>
      <c r="E74" s="584"/>
      <c r="F74" s="584"/>
      <c r="G74" s="586" t="str">
        <f>G6</f>
        <v>SCHEDULE E-1</v>
      </c>
    </row>
    <row r="75" spans="1:8" s="49" customFormat="1" ht="12.75" x14ac:dyDescent="0.2">
      <c r="A75" s="584" t="s">
        <v>490</v>
      </c>
      <c r="B75" s="584"/>
      <c r="C75" s="584"/>
      <c r="D75" s="584"/>
      <c r="E75" s="584"/>
      <c r="F75" s="584"/>
      <c r="G75" s="586" t="s">
        <v>1182</v>
      </c>
    </row>
    <row r="76" spans="1:8" s="49" customFormat="1" ht="12.75" x14ac:dyDescent="0.2">
      <c r="A76" s="592" t="s">
        <v>840</v>
      </c>
      <c r="B76" s="592"/>
      <c r="C76" s="592"/>
      <c r="D76" s="592"/>
      <c r="E76" s="592"/>
      <c r="F76" s="592"/>
      <c r="G76" s="596" t="str">
        <f>+Input!E31</f>
        <v>WITNESS:  P.  FISCHER</v>
      </c>
    </row>
    <row r="77" spans="1:8" s="49" customFormat="1" ht="12.75" x14ac:dyDescent="0.2">
      <c r="A77" s="583"/>
      <c r="B77" s="583"/>
      <c r="C77" s="583"/>
      <c r="D77" s="583"/>
      <c r="E77" s="590"/>
      <c r="F77" s="590" t="s">
        <v>1767</v>
      </c>
      <c r="G77" s="590"/>
    </row>
    <row r="78" spans="1:8" ht="12.75" x14ac:dyDescent="0.2">
      <c r="A78" s="583" t="s">
        <v>1768</v>
      </c>
      <c r="B78" s="583"/>
      <c r="C78" s="583"/>
      <c r="D78" s="583"/>
      <c r="E78" s="583"/>
      <c r="F78" s="583" t="s">
        <v>1770</v>
      </c>
      <c r="G78" s="583"/>
    </row>
    <row r="79" spans="1:8" ht="12.75" x14ac:dyDescent="0.2">
      <c r="A79" s="590" t="s">
        <v>1771</v>
      </c>
      <c r="B79" s="590"/>
      <c r="C79" s="590" t="s">
        <v>1772</v>
      </c>
      <c r="D79" s="590"/>
      <c r="E79" s="590" t="s">
        <v>37</v>
      </c>
      <c r="F79" s="590" t="s">
        <v>1773</v>
      </c>
      <c r="G79" s="590" t="s">
        <v>1774</v>
      </c>
    </row>
    <row r="80" spans="1:8" ht="12.75" x14ac:dyDescent="0.2">
      <c r="A80" s="583"/>
      <c r="B80" s="583"/>
      <c r="C80" s="583"/>
      <c r="D80" s="583"/>
      <c r="E80" s="583" t="s">
        <v>532</v>
      </c>
      <c r="F80" s="583" t="s">
        <v>533</v>
      </c>
      <c r="G80" s="583" t="s">
        <v>534</v>
      </c>
    </row>
    <row r="81" spans="1:7" ht="12.75" x14ac:dyDescent="0.2">
      <c r="A81" s="583"/>
      <c r="B81" s="583"/>
      <c r="C81" s="583"/>
      <c r="D81" s="583"/>
      <c r="E81" s="583" t="s">
        <v>500</v>
      </c>
      <c r="F81" s="583" t="s">
        <v>500</v>
      </c>
      <c r="G81" s="583" t="s">
        <v>500</v>
      </c>
    </row>
    <row r="82" spans="1:7" ht="10.5" customHeight="1" x14ac:dyDescent="0.2">
      <c r="A82" s="591">
        <v>1</v>
      </c>
      <c r="B82" s="584"/>
      <c r="C82" s="584" t="s">
        <v>38</v>
      </c>
      <c r="D82" s="584"/>
      <c r="E82" s="584"/>
      <c r="F82" s="584"/>
      <c r="G82" s="584"/>
    </row>
    <row r="83" spans="1:7" ht="12.75" x14ac:dyDescent="0.2">
      <c r="A83" s="591"/>
      <c r="B83" s="584"/>
      <c r="C83" s="584"/>
      <c r="D83" s="584"/>
      <c r="E83" s="584"/>
      <c r="F83" s="584"/>
      <c r="G83" s="584"/>
    </row>
    <row r="84" spans="1:7" ht="12.75" x14ac:dyDescent="0.2">
      <c r="A84" s="591">
        <f>A82+1</f>
        <v>2</v>
      </c>
      <c r="B84" s="584"/>
      <c r="C84" s="584" t="s">
        <v>1469</v>
      </c>
      <c r="D84" s="584"/>
      <c r="E84" s="1281">
        <f>19143+168</f>
        <v>19311</v>
      </c>
      <c r="F84" s="584">
        <f>G84-E84</f>
        <v>-19311</v>
      </c>
      <c r="G84" s="1283">
        <f>K120</f>
        <v>0</v>
      </c>
    </row>
    <row r="85" spans="1:7" ht="12.75" x14ac:dyDescent="0.2">
      <c r="A85" s="591">
        <f>A84+1</f>
        <v>3</v>
      </c>
      <c r="B85" s="584"/>
      <c r="C85" s="584" t="s">
        <v>933</v>
      </c>
      <c r="D85" s="584"/>
      <c r="E85" s="1281">
        <f>65631-19311-42481+1121</f>
        <v>4960</v>
      </c>
      <c r="F85" s="584">
        <f>G85-E85</f>
        <v>0</v>
      </c>
      <c r="G85" s="1281">
        <v>4960</v>
      </c>
    </row>
    <row r="86" spans="1:7" ht="12.75" x14ac:dyDescent="0.2">
      <c r="A86" s="591">
        <f>A85+1</f>
        <v>4</v>
      </c>
      <c r="B86" s="584"/>
      <c r="C86" s="584" t="s">
        <v>934</v>
      </c>
      <c r="D86" s="584"/>
      <c r="E86" s="1281">
        <v>-1121</v>
      </c>
      <c r="F86" s="584">
        <f>G86-E86</f>
        <v>0</v>
      </c>
      <c r="G86" s="1281">
        <v>-1121</v>
      </c>
    </row>
    <row r="87" spans="1:7" ht="12.75" x14ac:dyDescent="0.2">
      <c r="A87" s="591">
        <f>A86+1</f>
        <v>5</v>
      </c>
      <c r="B87" s="584"/>
      <c r="C87" s="584" t="s">
        <v>39</v>
      </c>
      <c r="D87" s="584"/>
      <c r="E87" s="1282">
        <v>42481</v>
      </c>
      <c r="F87" s="592">
        <f>G87-E87</f>
        <v>0</v>
      </c>
      <c r="G87" s="1282">
        <v>42481</v>
      </c>
    </row>
    <row r="88" spans="1:7" ht="12.75" x14ac:dyDescent="0.2">
      <c r="A88" s="591"/>
      <c r="B88" s="584"/>
      <c r="C88" s="584"/>
      <c r="D88" s="584"/>
      <c r="E88" s="584"/>
      <c r="F88" s="584"/>
      <c r="G88" s="584"/>
    </row>
    <row r="89" spans="1:7" ht="12.75" x14ac:dyDescent="0.2">
      <c r="A89" s="591">
        <f>A87+1</f>
        <v>6</v>
      </c>
      <c r="B89" s="584"/>
      <c r="C89" s="584" t="s">
        <v>40</v>
      </c>
      <c r="D89" s="584"/>
      <c r="E89" s="584">
        <f>SUM(E84:E87)</f>
        <v>65631</v>
      </c>
      <c r="F89" s="584">
        <f>SUM(F84:F87)</f>
        <v>-19311</v>
      </c>
      <c r="G89" s="584">
        <f>SUM(G84:G87)</f>
        <v>46320</v>
      </c>
    </row>
    <row r="90" spans="1:7" ht="12.75" x14ac:dyDescent="0.2">
      <c r="A90" s="591"/>
      <c r="B90" s="584"/>
      <c r="C90" s="584"/>
      <c r="D90" s="584"/>
      <c r="E90" s="584"/>
      <c r="F90" s="584"/>
      <c r="G90" s="584"/>
    </row>
    <row r="91" spans="1:7" ht="12.75" x14ac:dyDescent="0.2">
      <c r="A91" s="591">
        <f>A89+1</f>
        <v>7</v>
      </c>
      <c r="B91" s="584"/>
      <c r="C91" s="584" t="s">
        <v>41</v>
      </c>
      <c r="D91" s="584"/>
      <c r="E91" s="584"/>
      <c r="F91" s="584"/>
      <c r="G91" s="584"/>
    </row>
    <row r="92" spans="1:7" ht="12.75" x14ac:dyDescent="0.2">
      <c r="A92" s="591">
        <f t="shared" ref="A92:A107" si="0">A91+1</f>
        <v>8</v>
      </c>
      <c r="B92" s="584"/>
      <c r="C92" s="594" t="s">
        <v>42</v>
      </c>
      <c r="D92" s="584"/>
      <c r="E92" s="1281">
        <f>-3917845-5201811</f>
        <v>-9119656</v>
      </c>
      <c r="F92" s="584">
        <f t="shared" ref="F92:F107" si="1">G92-E92</f>
        <v>9119656</v>
      </c>
      <c r="G92" s="584">
        <v>0</v>
      </c>
    </row>
    <row r="93" spans="1:7" ht="12.75" x14ac:dyDescent="0.2">
      <c r="A93" s="591">
        <f t="shared" si="0"/>
        <v>9</v>
      </c>
      <c r="B93" s="584"/>
      <c r="C93" s="584" t="s">
        <v>43</v>
      </c>
      <c r="D93" s="584"/>
      <c r="E93" s="1281">
        <v>-586528</v>
      </c>
      <c r="F93" s="584">
        <f t="shared" si="1"/>
        <v>586528</v>
      </c>
      <c r="G93" s="584">
        <f t="shared" ref="G93:G105" si="2">K129</f>
        <v>0</v>
      </c>
    </row>
    <row r="94" spans="1:7" ht="12.75" x14ac:dyDescent="0.2">
      <c r="A94" s="591">
        <f t="shared" si="0"/>
        <v>10</v>
      </c>
      <c r="B94" s="584"/>
      <c r="C94" s="584" t="s">
        <v>44</v>
      </c>
      <c r="D94" s="584"/>
      <c r="E94" s="1281">
        <v>-20150</v>
      </c>
      <c r="F94" s="584">
        <f t="shared" si="1"/>
        <v>20150</v>
      </c>
      <c r="G94" s="584">
        <f t="shared" si="2"/>
        <v>0</v>
      </c>
    </row>
    <row r="95" spans="1:7" ht="12.75" x14ac:dyDescent="0.2">
      <c r="A95" s="591">
        <f t="shared" si="0"/>
        <v>11</v>
      </c>
      <c r="B95" s="584"/>
      <c r="C95" s="584" t="s">
        <v>45</v>
      </c>
      <c r="D95" s="584"/>
      <c r="E95" s="1281">
        <v>56966</v>
      </c>
      <c r="F95" s="584">
        <f t="shared" si="1"/>
        <v>-56966</v>
      </c>
      <c r="G95" s="584">
        <f t="shared" si="2"/>
        <v>0</v>
      </c>
    </row>
    <row r="96" spans="1:7" ht="12.75" x14ac:dyDescent="0.2">
      <c r="A96" s="591">
        <f t="shared" si="0"/>
        <v>12</v>
      </c>
      <c r="B96" s="584"/>
      <c r="C96" s="584" t="s">
        <v>46</v>
      </c>
      <c r="D96" s="584"/>
      <c r="E96" s="1281">
        <v>101721</v>
      </c>
      <c r="F96" s="584">
        <f t="shared" si="1"/>
        <v>-101721</v>
      </c>
      <c r="G96" s="584">
        <f t="shared" si="2"/>
        <v>0</v>
      </c>
    </row>
    <row r="97" spans="1:7" ht="12.75" x14ac:dyDescent="0.2">
      <c r="A97" s="591">
        <f t="shared" si="0"/>
        <v>13</v>
      </c>
      <c r="B97" s="584"/>
      <c r="C97" s="584" t="s">
        <v>636</v>
      </c>
      <c r="D97" s="584"/>
      <c r="E97" s="1281">
        <v>-403153</v>
      </c>
      <c r="F97" s="584">
        <f t="shared" si="1"/>
        <v>403153</v>
      </c>
      <c r="G97" s="584">
        <f t="shared" si="2"/>
        <v>0</v>
      </c>
    </row>
    <row r="98" spans="1:7" ht="12.75" x14ac:dyDescent="0.2">
      <c r="A98" s="591">
        <f t="shared" si="0"/>
        <v>14</v>
      </c>
      <c r="B98" s="584"/>
      <c r="C98" s="584" t="s">
        <v>47</v>
      </c>
      <c r="D98" s="584"/>
      <c r="E98" s="1281">
        <v>-6142</v>
      </c>
      <c r="F98" s="584">
        <f t="shared" si="1"/>
        <v>6142</v>
      </c>
      <c r="G98" s="584">
        <f t="shared" si="2"/>
        <v>0</v>
      </c>
    </row>
    <row r="99" spans="1:7" ht="12.75" x14ac:dyDescent="0.2">
      <c r="A99" s="591">
        <f t="shared" si="0"/>
        <v>15</v>
      </c>
      <c r="B99" s="584"/>
      <c r="C99" s="584" t="s">
        <v>48</v>
      </c>
      <c r="D99" s="584"/>
      <c r="E99" s="1281">
        <v>-5181698</v>
      </c>
      <c r="F99" s="584">
        <f t="shared" si="1"/>
        <v>5181698</v>
      </c>
      <c r="G99" s="584">
        <f t="shared" si="2"/>
        <v>0</v>
      </c>
    </row>
    <row r="100" spans="1:7" ht="12.75" x14ac:dyDescent="0.2">
      <c r="A100" s="591">
        <f t="shared" si="0"/>
        <v>16</v>
      </c>
      <c r="B100" s="584"/>
      <c r="C100" s="584" t="s">
        <v>49</v>
      </c>
      <c r="D100" s="584"/>
      <c r="E100" s="1281">
        <v>145034</v>
      </c>
      <c r="F100" s="584">
        <f t="shared" si="1"/>
        <v>-145034</v>
      </c>
      <c r="G100" s="584">
        <f t="shared" si="2"/>
        <v>0</v>
      </c>
    </row>
    <row r="101" spans="1:7" ht="12.75" x14ac:dyDescent="0.2">
      <c r="A101" s="591">
        <f t="shared" si="0"/>
        <v>17</v>
      </c>
      <c r="B101" s="584"/>
      <c r="C101" s="584" t="s">
        <v>50</v>
      </c>
      <c r="D101" s="584"/>
      <c r="E101" s="1281">
        <v>-7475</v>
      </c>
      <c r="F101" s="584">
        <f t="shared" si="1"/>
        <v>7475</v>
      </c>
      <c r="G101" s="584">
        <f t="shared" si="2"/>
        <v>0</v>
      </c>
    </row>
    <row r="102" spans="1:7" ht="12.75" x14ac:dyDescent="0.2">
      <c r="A102" s="591">
        <f t="shared" si="0"/>
        <v>18</v>
      </c>
      <c r="B102" s="584"/>
      <c r="C102" s="584" t="s">
        <v>53</v>
      </c>
      <c r="D102" s="584"/>
      <c r="E102" s="1281">
        <v>-13099</v>
      </c>
      <c r="F102" s="584">
        <f t="shared" si="1"/>
        <v>13099</v>
      </c>
      <c r="G102" s="584">
        <f t="shared" si="2"/>
        <v>0</v>
      </c>
    </row>
    <row r="103" spans="1:7" ht="12.75" x14ac:dyDescent="0.2">
      <c r="A103" s="591">
        <f t="shared" si="0"/>
        <v>19</v>
      </c>
      <c r="B103" s="584"/>
      <c r="C103" s="584" t="s">
        <v>54</v>
      </c>
      <c r="D103" s="584"/>
      <c r="E103" s="1281">
        <f>100230</f>
        <v>100230</v>
      </c>
      <c r="F103" s="584">
        <f t="shared" si="1"/>
        <v>-100230</v>
      </c>
      <c r="G103" s="584">
        <f t="shared" si="2"/>
        <v>0</v>
      </c>
    </row>
    <row r="104" spans="1:7" ht="12.75" x14ac:dyDescent="0.2">
      <c r="A104" s="591">
        <f t="shared" si="0"/>
        <v>20</v>
      </c>
      <c r="B104" s="584"/>
      <c r="C104" s="584" t="s">
        <v>1470</v>
      </c>
      <c r="D104" s="584"/>
      <c r="E104" s="1281">
        <v>-289046</v>
      </c>
      <c r="F104" s="584">
        <f t="shared" si="1"/>
        <v>289046</v>
      </c>
      <c r="G104" s="584">
        <f t="shared" si="2"/>
        <v>0</v>
      </c>
    </row>
    <row r="105" spans="1:7" ht="12.75" x14ac:dyDescent="0.2">
      <c r="A105" s="591">
        <f t="shared" si="0"/>
        <v>21</v>
      </c>
      <c r="B105" s="584"/>
      <c r="C105" s="584" t="s">
        <v>1472</v>
      </c>
      <c r="D105" s="584"/>
      <c r="E105" s="1281">
        <v>194143</v>
      </c>
      <c r="F105" s="584">
        <f t="shared" si="1"/>
        <v>-194143</v>
      </c>
      <c r="G105" s="584">
        <f t="shared" si="2"/>
        <v>0</v>
      </c>
    </row>
    <row r="106" spans="1:7" ht="12.75" x14ac:dyDescent="0.2">
      <c r="A106" s="591">
        <f t="shared" si="0"/>
        <v>22</v>
      </c>
      <c r="B106" s="584"/>
      <c r="C106" s="584" t="s">
        <v>1473</v>
      </c>
      <c r="D106" s="584"/>
      <c r="E106" s="1281">
        <v>-152522</v>
      </c>
      <c r="F106" s="584">
        <f t="shared" si="1"/>
        <v>152522</v>
      </c>
      <c r="G106" s="584">
        <v>0</v>
      </c>
    </row>
    <row r="107" spans="1:7" ht="12.75" x14ac:dyDescent="0.2">
      <c r="A107" s="591">
        <f t="shared" si="0"/>
        <v>23</v>
      </c>
      <c r="B107" s="584"/>
      <c r="C107" s="584" t="s">
        <v>55</v>
      </c>
      <c r="D107" s="584"/>
      <c r="E107" s="1284">
        <v>10034</v>
      </c>
      <c r="F107" s="587">
        <f t="shared" si="1"/>
        <v>-10034</v>
      </c>
      <c r="G107" s="587">
        <f>K142</f>
        <v>0</v>
      </c>
    </row>
    <row r="108" spans="1:7" ht="12.75" x14ac:dyDescent="0.2">
      <c r="A108" s="591"/>
      <c r="B108" s="584"/>
      <c r="C108" s="584"/>
      <c r="D108" s="584"/>
      <c r="E108" s="584"/>
      <c r="F108" s="584"/>
      <c r="G108" s="584"/>
    </row>
    <row r="109" spans="1:7" ht="12.75" x14ac:dyDescent="0.2">
      <c r="A109" s="591">
        <f>A107+1</f>
        <v>24</v>
      </c>
      <c r="B109" s="584"/>
      <c r="C109" s="584" t="s">
        <v>56</v>
      </c>
      <c r="D109" s="584"/>
      <c r="E109" s="587">
        <f>SUM(E92:E107)</f>
        <v>-15171341</v>
      </c>
      <c r="F109" s="587">
        <f>SUM(F92:F107)</f>
        <v>15171341</v>
      </c>
      <c r="G109" s="587">
        <f>SUM(G92:G107)</f>
        <v>0</v>
      </c>
    </row>
    <row r="110" spans="1:7" ht="12.75" x14ac:dyDescent="0.2">
      <c r="A110" s="591"/>
      <c r="B110" s="584"/>
      <c r="C110" s="584"/>
      <c r="D110" s="584"/>
      <c r="E110" s="584"/>
      <c r="F110" s="584"/>
      <c r="G110" s="584"/>
    </row>
    <row r="111" spans="1:7" ht="12.75" x14ac:dyDescent="0.2">
      <c r="A111" s="591">
        <f>A109+1</f>
        <v>25</v>
      </c>
      <c r="B111" s="584"/>
      <c r="C111" s="584" t="s">
        <v>57</v>
      </c>
      <c r="D111" s="584"/>
      <c r="E111" s="584">
        <f>E89+E109</f>
        <v>-15105710</v>
      </c>
      <c r="F111" s="584">
        <f>F89+F109</f>
        <v>15152030</v>
      </c>
      <c r="G111" s="584">
        <f>G89+G109</f>
        <v>46320</v>
      </c>
    </row>
    <row r="112" spans="1:7" ht="11.25" x14ac:dyDescent="0.2">
      <c r="A112" s="585"/>
      <c r="B112" s="585"/>
      <c r="C112" s="585"/>
      <c r="D112" s="585"/>
      <c r="E112" s="585"/>
      <c r="F112" s="585"/>
      <c r="G112" s="585"/>
    </row>
    <row r="113" spans="1:7" ht="11.25" x14ac:dyDescent="0.2">
      <c r="A113" s="669"/>
      <c r="B113" s="669"/>
      <c r="C113" s="669"/>
      <c r="D113" s="669"/>
      <c r="E113" s="669"/>
      <c r="F113" s="669"/>
      <c r="G113" s="669"/>
    </row>
    <row r="114" spans="1:7" ht="11.25" x14ac:dyDescent="0.2">
      <c r="A114" s="669"/>
      <c r="B114" s="669"/>
      <c r="C114" s="669"/>
      <c r="D114" s="669"/>
      <c r="E114" s="669"/>
      <c r="F114" s="669"/>
      <c r="G114" s="669"/>
    </row>
    <row r="115" spans="1:7" ht="11.25" x14ac:dyDescent="0.2">
      <c r="A115" s="669"/>
      <c r="B115" s="669"/>
      <c r="C115" s="669"/>
      <c r="D115" s="669"/>
      <c r="E115" s="669"/>
      <c r="F115" s="669"/>
      <c r="G115" s="669"/>
    </row>
    <row r="116" spans="1:7" ht="11.25" x14ac:dyDescent="0.2">
      <c r="A116" s="669"/>
      <c r="B116" s="669"/>
      <c r="C116" s="669"/>
      <c r="D116" s="669"/>
      <c r="E116" s="669"/>
      <c r="F116" s="669"/>
      <c r="G116" s="669"/>
    </row>
    <row r="117" spans="1:7" ht="11.25" x14ac:dyDescent="0.2">
      <c r="A117" s="669"/>
      <c r="B117" s="669"/>
      <c r="C117" s="669"/>
      <c r="D117" s="669"/>
      <c r="E117" s="669"/>
      <c r="F117" s="669"/>
      <c r="G117" s="669"/>
    </row>
    <row r="118" spans="1:7" ht="11.25" x14ac:dyDescent="0.2">
      <c r="A118" s="669"/>
      <c r="B118" s="669"/>
      <c r="C118" s="669"/>
      <c r="D118" s="669"/>
      <c r="E118" s="669"/>
      <c r="F118" s="669"/>
      <c r="G118" s="669"/>
    </row>
    <row r="119" spans="1:7" ht="11.25" x14ac:dyDescent="0.2">
      <c r="A119" s="669"/>
      <c r="B119" s="669"/>
      <c r="C119" s="669"/>
      <c r="D119" s="669"/>
      <c r="E119" s="669"/>
      <c r="F119" s="669"/>
      <c r="G119" s="669"/>
    </row>
    <row r="120" spans="1:7" ht="11.25" x14ac:dyDescent="0.2">
      <c r="A120" s="669"/>
      <c r="B120" s="669"/>
      <c r="C120" s="669"/>
      <c r="D120" s="669"/>
      <c r="E120" s="669"/>
      <c r="F120" s="669"/>
      <c r="G120" s="669"/>
    </row>
    <row r="121" spans="1:7" ht="11.25" x14ac:dyDescent="0.2">
      <c r="A121" s="669"/>
      <c r="B121" s="669"/>
      <c r="C121" s="669"/>
      <c r="D121" s="669"/>
      <c r="E121" s="669"/>
      <c r="F121" s="669"/>
      <c r="G121" s="669"/>
    </row>
    <row r="122" spans="1:7" ht="11.25" x14ac:dyDescent="0.2">
      <c r="A122" s="669"/>
      <c r="B122" s="669"/>
      <c r="C122" s="669"/>
      <c r="D122" s="669"/>
      <c r="E122" s="669"/>
      <c r="F122" s="669"/>
      <c r="G122" s="669"/>
    </row>
    <row r="123" spans="1:7" ht="11.25" x14ac:dyDescent="0.2">
      <c r="A123" s="669"/>
      <c r="B123" s="669"/>
      <c r="C123" s="669"/>
      <c r="D123" s="669"/>
      <c r="E123" s="669"/>
      <c r="F123" s="669"/>
      <c r="G123" s="669"/>
    </row>
    <row r="124" spans="1:7" ht="11.25" x14ac:dyDescent="0.2">
      <c r="A124" s="669"/>
      <c r="B124" s="669"/>
      <c r="C124" s="669"/>
      <c r="D124" s="669"/>
      <c r="E124" s="669"/>
      <c r="F124" s="669"/>
      <c r="G124" s="669"/>
    </row>
    <row r="125" spans="1:7" ht="11.25" x14ac:dyDescent="0.2">
      <c r="A125" s="669"/>
      <c r="B125" s="669"/>
      <c r="C125" s="669"/>
      <c r="D125" s="669"/>
      <c r="E125" s="669"/>
      <c r="F125" s="669"/>
      <c r="G125" s="669"/>
    </row>
    <row r="126" spans="1:7" ht="11.25" x14ac:dyDescent="0.2">
      <c r="A126" s="669"/>
      <c r="B126" s="669"/>
      <c r="C126" s="669"/>
      <c r="D126" s="669"/>
      <c r="E126" s="669"/>
      <c r="F126" s="669"/>
      <c r="G126" s="669"/>
    </row>
    <row r="127" spans="1:7" ht="11.25" x14ac:dyDescent="0.2">
      <c r="A127" s="669"/>
      <c r="B127" s="669"/>
      <c r="C127" s="669"/>
      <c r="D127" s="669"/>
      <c r="E127" s="669"/>
      <c r="F127" s="669"/>
      <c r="G127" s="669"/>
    </row>
    <row r="128" spans="1:7" ht="11.25" x14ac:dyDescent="0.2">
      <c r="A128" s="669"/>
      <c r="B128" s="669"/>
      <c r="C128" s="669"/>
      <c r="D128" s="669"/>
      <c r="E128" s="669"/>
      <c r="F128" s="669"/>
      <c r="G128" s="669"/>
    </row>
    <row r="129" spans="1:7" ht="11.25" x14ac:dyDescent="0.2">
      <c r="A129" s="669"/>
      <c r="B129" s="669"/>
      <c r="C129" s="669"/>
      <c r="D129" s="669"/>
      <c r="E129" s="669"/>
      <c r="F129" s="669"/>
      <c r="G129" s="669"/>
    </row>
    <row r="130" spans="1:7" ht="11.25" x14ac:dyDescent="0.2">
      <c r="A130" s="669"/>
      <c r="B130" s="669"/>
      <c r="C130" s="669"/>
      <c r="D130" s="669"/>
      <c r="E130" s="669"/>
      <c r="F130" s="669"/>
      <c r="G130" s="669"/>
    </row>
    <row r="131" spans="1:7" ht="11.25" x14ac:dyDescent="0.2">
      <c r="A131" s="669"/>
      <c r="B131" s="669"/>
      <c r="C131" s="669"/>
      <c r="D131" s="669"/>
      <c r="E131" s="669"/>
      <c r="F131" s="669"/>
      <c r="G131" s="669"/>
    </row>
    <row r="132" spans="1:7" ht="11.25" x14ac:dyDescent="0.2">
      <c r="A132" s="669"/>
      <c r="B132" s="669"/>
      <c r="C132" s="669"/>
      <c r="D132" s="669"/>
      <c r="E132" s="669"/>
      <c r="F132" s="669"/>
      <c r="G132" s="669"/>
    </row>
    <row r="133" spans="1:7" ht="11.25" x14ac:dyDescent="0.2">
      <c r="A133" s="669"/>
      <c r="B133" s="669"/>
      <c r="C133" s="669"/>
      <c r="D133" s="669"/>
      <c r="E133" s="669"/>
      <c r="F133" s="669"/>
      <c r="G133" s="669"/>
    </row>
    <row r="134" spans="1:7" ht="11.25" x14ac:dyDescent="0.2">
      <c r="A134" s="669"/>
      <c r="B134" s="669"/>
      <c r="C134" s="669"/>
      <c r="D134" s="669"/>
      <c r="E134" s="669"/>
      <c r="F134" s="669"/>
      <c r="G134" s="669"/>
    </row>
    <row r="135" spans="1:7" ht="11.25" x14ac:dyDescent="0.2">
      <c r="A135" s="669"/>
      <c r="B135" s="669"/>
      <c r="C135" s="669"/>
      <c r="D135" s="669"/>
      <c r="E135" s="669"/>
      <c r="F135" s="669"/>
      <c r="G135" s="669"/>
    </row>
    <row r="136" spans="1:7" ht="11.25" x14ac:dyDescent="0.2">
      <c r="A136" s="669"/>
      <c r="B136" s="669"/>
      <c r="C136" s="669"/>
      <c r="D136" s="669"/>
      <c r="E136" s="669"/>
      <c r="F136" s="669"/>
      <c r="G136" s="669"/>
    </row>
    <row r="137" spans="1:7" ht="11.25" x14ac:dyDescent="0.2">
      <c r="A137" s="669"/>
      <c r="B137" s="669"/>
      <c r="C137" s="669"/>
      <c r="D137" s="669"/>
      <c r="E137" s="669"/>
      <c r="F137" s="669"/>
      <c r="G137" s="669"/>
    </row>
    <row r="138" spans="1:7" ht="11.25" x14ac:dyDescent="0.2">
      <c r="A138" s="669"/>
      <c r="B138" s="669"/>
      <c r="C138" s="669"/>
      <c r="D138" s="669"/>
      <c r="E138" s="669"/>
      <c r="F138" s="669"/>
      <c r="G138" s="669"/>
    </row>
    <row r="139" spans="1:7" ht="11.25" x14ac:dyDescent="0.2">
      <c r="A139" s="669"/>
      <c r="B139" s="669"/>
      <c r="C139" s="669"/>
      <c r="D139" s="669"/>
      <c r="E139" s="669"/>
      <c r="F139" s="669"/>
      <c r="G139" s="669"/>
    </row>
    <row r="140" spans="1:7" ht="11.25" x14ac:dyDescent="0.2">
      <c r="A140" s="669"/>
      <c r="B140" s="669"/>
      <c r="C140" s="669"/>
      <c r="D140" s="669"/>
      <c r="E140" s="669"/>
      <c r="F140" s="669"/>
      <c r="G140" s="669"/>
    </row>
    <row r="141" spans="1:7" ht="11.25" x14ac:dyDescent="0.2">
      <c r="A141" s="669"/>
      <c r="B141" s="669"/>
      <c r="C141" s="669"/>
      <c r="D141" s="669"/>
      <c r="E141" s="669"/>
      <c r="F141" s="669"/>
      <c r="G141" s="669"/>
    </row>
    <row r="142" spans="1:7" ht="11.25" x14ac:dyDescent="0.2">
      <c r="A142" s="669"/>
      <c r="B142" s="669"/>
      <c r="C142" s="669"/>
      <c r="D142" s="669"/>
      <c r="E142" s="669"/>
      <c r="F142" s="669"/>
      <c r="G142" s="669"/>
    </row>
    <row r="143" spans="1:7" ht="11.25" x14ac:dyDescent="0.2">
      <c r="A143" s="669"/>
      <c r="B143" s="669"/>
      <c r="C143" s="669"/>
      <c r="D143" s="669"/>
      <c r="E143" s="669"/>
      <c r="F143" s="669"/>
      <c r="G143" s="669"/>
    </row>
    <row r="144" spans="1:7" ht="11.25" x14ac:dyDescent="0.2">
      <c r="A144" s="669"/>
      <c r="B144" s="669"/>
      <c r="C144" s="669"/>
      <c r="D144" s="669"/>
      <c r="E144" s="669"/>
      <c r="F144" s="669"/>
      <c r="G144" s="669"/>
    </row>
    <row r="145" spans="1:7" ht="11.25" x14ac:dyDescent="0.2">
      <c r="A145" s="669"/>
      <c r="B145" s="669"/>
      <c r="C145" s="669"/>
      <c r="D145" s="669"/>
      <c r="E145" s="669"/>
      <c r="F145" s="669"/>
      <c r="G145" s="669"/>
    </row>
    <row r="146" spans="1:7" ht="11.25" x14ac:dyDescent="0.2">
      <c r="A146" s="669"/>
      <c r="B146" s="669"/>
      <c r="C146" s="669"/>
      <c r="D146" s="669"/>
      <c r="E146" s="669"/>
      <c r="F146" s="669"/>
      <c r="G146" s="669"/>
    </row>
    <row r="147" spans="1:7" ht="11.25" x14ac:dyDescent="0.2">
      <c r="A147" s="669"/>
      <c r="B147" s="669"/>
      <c r="C147" s="669"/>
      <c r="D147" s="669"/>
      <c r="E147" s="669"/>
      <c r="F147" s="669"/>
      <c r="G147" s="669"/>
    </row>
    <row r="148" spans="1:7" ht="11.25" x14ac:dyDescent="0.2">
      <c r="A148" s="669"/>
      <c r="B148" s="669"/>
      <c r="C148" s="669"/>
      <c r="D148" s="669"/>
      <c r="E148" s="669"/>
      <c r="F148" s="669"/>
      <c r="G148" s="669"/>
    </row>
    <row r="149" spans="1:7" ht="11.25" x14ac:dyDescent="0.2">
      <c r="A149" s="669"/>
      <c r="B149" s="669"/>
      <c r="C149" s="669"/>
      <c r="D149" s="669"/>
      <c r="E149" s="669"/>
      <c r="F149" s="669"/>
      <c r="G149" s="669"/>
    </row>
    <row r="150" spans="1:7" ht="11.25" x14ac:dyDescent="0.2">
      <c r="A150" s="669"/>
      <c r="B150" s="669"/>
      <c r="C150" s="669"/>
      <c r="D150" s="669"/>
      <c r="E150" s="669"/>
      <c r="F150" s="669"/>
      <c r="G150" s="669"/>
    </row>
    <row r="151" spans="1:7" ht="11.25" x14ac:dyDescent="0.2">
      <c r="A151" s="669"/>
      <c r="B151" s="669"/>
      <c r="C151" s="669"/>
      <c r="D151" s="669"/>
      <c r="E151" s="669"/>
      <c r="F151" s="669"/>
      <c r="G151" s="669"/>
    </row>
    <row r="152" spans="1:7" ht="11.25" x14ac:dyDescent="0.2">
      <c r="A152" s="669"/>
      <c r="B152" s="669"/>
      <c r="C152" s="669"/>
      <c r="D152" s="669"/>
      <c r="E152" s="669"/>
      <c r="F152" s="669"/>
      <c r="G152" s="669"/>
    </row>
    <row r="153" spans="1:7" ht="11.25" x14ac:dyDescent="0.2">
      <c r="A153" s="669"/>
      <c r="B153" s="669"/>
      <c r="C153" s="669"/>
      <c r="D153" s="669"/>
      <c r="E153" s="669"/>
      <c r="F153" s="669"/>
      <c r="G153" s="669"/>
    </row>
    <row r="154" spans="1:7" ht="11.25" x14ac:dyDescent="0.2">
      <c r="A154" s="669"/>
      <c r="B154" s="669"/>
      <c r="C154" s="669"/>
      <c r="D154" s="669"/>
      <c r="E154" s="669"/>
      <c r="F154" s="669"/>
      <c r="G154" s="669"/>
    </row>
    <row r="155" spans="1:7" ht="11.25" x14ac:dyDescent="0.2">
      <c r="A155" s="669"/>
      <c r="B155" s="669"/>
      <c r="C155" s="669"/>
      <c r="D155" s="669"/>
      <c r="E155" s="669"/>
      <c r="F155" s="669"/>
      <c r="G155" s="669"/>
    </row>
    <row r="156" spans="1:7" ht="11.25" x14ac:dyDescent="0.2">
      <c r="A156" s="669"/>
      <c r="B156" s="669"/>
      <c r="C156" s="669"/>
      <c r="D156" s="669"/>
      <c r="E156" s="669"/>
      <c r="F156" s="669"/>
      <c r="G156" s="669"/>
    </row>
    <row r="157" spans="1:7" ht="11.25" x14ac:dyDescent="0.2">
      <c r="A157" s="669"/>
      <c r="B157" s="669"/>
      <c r="C157" s="669"/>
      <c r="D157" s="669"/>
      <c r="E157" s="669"/>
      <c r="F157" s="669"/>
      <c r="G157" s="669"/>
    </row>
    <row r="158" spans="1:7" ht="11.25" x14ac:dyDescent="0.2">
      <c r="A158" s="669"/>
      <c r="B158" s="669"/>
      <c r="C158" s="669"/>
      <c r="D158" s="669"/>
      <c r="E158" s="669"/>
      <c r="F158" s="669"/>
      <c r="G158" s="669"/>
    </row>
    <row r="159" spans="1:7" ht="11.25" x14ac:dyDescent="0.2">
      <c r="A159" s="669"/>
      <c r="B159" s="669"/>
      <c r="C159" s="669"/>
      <c r="D159" s="669"/>
      <c r="E159" s="669"/>
      <c r="F159" s="669"/>
      <c r="G159" s="669"/>
    </row>
    <row r="160" spans="1:7" ht="11.25" x14ac:dyDescent="0.2">
      <c r="A160" s="669"/>
      <c r="B160" s="669"/>
      <c r="C160" s="669"/>
      <c r="D160" s="669"/>
      <c r="E160" s="669"/>
      <c r="F160" s="669"/>
      <c r="G160" s="669"/>
    </row>
    <row r="161" spans="1:7" ht="11.25" x14ac:dyDescent="0.2">
      <c r="A161" s="669"/>
      <c r="B161" s="669"/>
      <c r="C161" s="669"/>
      <c r="D161" s="669"/>
      <c r="E161" s="669"/>
      <c r="F161" s="669"/>
      <c r="G161" s="669"/>
    </row>
    <row r="162" spans="1:7" ht="11.25" x14ac:dyDescent="0.2">
      <c r="A162" s="669"/>
      <c r="B162" s="669"/>
      <c r="C162" s="669"/>
      <c r="D162" s="669"/>
      <c r="E162" s="669"/>
      <c r="F162" s="669"/>
      <c r="G162" s="669"/>
    </row>
    <row r="163" spans="1:7" ht="11.25" x14ac:dyDescent="0.2">
      <c r="A163" s="669"/>
      <c r="B163" s="669"/>
      <c r="C163" s="669"/>
      <c r="D163" s="669"/>
      <c r="E163" s="669"/>
      <c r="F163" s="669"/>
      <c r="G163" s="669"/>
    </row>
    <row r="164" spans="1:7" x14ac:dyDescent="0.15">
      <c r="A164" s="51"/>
      <c r="B164" s="51"/>
      <c r="C164" s="51"/>
      <c r="D164" s="51"/>
      <c r="E164" s="51"/>
      <c r="F164" s="51"/>
      <c r="G164" s="51"/>
    </row>
    <row r="165" spans="1:7" x14ac:dyDescent="0.15">
      <c r="A165" s="51"/>
      <c r="B165" s="51"/>
      <c r="C165" s="51"/>
      <c r="D165" s="51"/>
      <c r="E165" s="51"/>
      <c r="F165" s="51"/>
      <c r="G165" s="51"/>
    </row>
    <row r="166" spans="1:7" x14ac:dyDescent="0.15">
      <c r="A166" s="51"/>
      <c r="B166" s="51"/>
      <c r="C166" s="51"/>
      <c r="D166" s="51"/>
      <c r="E166" s="51"/>
      <c r="F166" s="51"/>
      <c r="G166" s="51"/>
    </row>
    <row r="167" spans="1:7" x14ac:dyDescent="0.15">
      <c r="A167" s="51"/>
      <c r="B167" s="51"/>
      <c r="C167" s="51"/>
      <c r="D167" s="51"/>
      <c r="E167" s="51"/>
      <c r="F167" s="51"/>
      <c r="G167" s="51"/>
    </row>
    <row r="168" spans="1:7" x14ac:dyDescent="0.15">
      <c r="A168" s="51"/>
      <c r="B168" s="51"/>
      <c r="C168" s="51"/>
      <c r="D168" s="51"/>
      <c r="E168" s="51"/>
      <c r="F168" s="51"/>
      <c r="G168" s="51"/>
    </row>
    <row r="169" spans="1:7" x14ac:dyDescent="0.15">
      <c r="A169" s="51"/>
      <c r="B169" s="51"/>
      <c r="C169" s="51"/>
      <c r="D169" s="51"/>
      <c r="E169" s="51"/>
      <c r="F169" s="51"/>
      <c r="G169" s="51"/>
    </row>
    <row r="170" spans="1:7" x14ac:dyDescent="0.15">
      <c r="A170" s="51"/>
      <c r="B170" s="51"/>
      <c r="C170" s="51"/>
      <c r="D170" s="51"/>
      <c r="E170" s="51"/>
      <c r="F170" s="51"/>
      <c r="G170" s="51"/>
    </row>
    <row r="171" spans="1:7" x14ac:dyDescent="0.15">
      <c r="A171" s="51"/>
      <c r="B171" s="51"/>
      <c r="C171" s="51"/>
      <c r="D171" s="51"/>
      <c r="E171" s="51"/>
      <c r="F171" s="51"/>
      <c r="G171" s="51"/>
    </row>
    <row r="172" spans="1:7" x14ac:dyDescent="0.15">
      <c r="A172" s="51"/>
      <c r="B172" s="51"/>
      <c r="C172" s="51"/>
      <c r="D172" s="51"/>
      <c r="E172" s="51"/>
      <c r="F172" s="51"/>
      <c r="G172" s="51"/>
    </row>
    <row r="173" spans="1:7" x14ac:dyDescent="0.15">
      <c r="A173" s="51"/>
      <c r="B173" s="51"/>
      <c r="C173" s="51"/>
      <c r="D173" s="51"/>
      <c r="E173" s="51"/>
      <c r="F173" s="51"/>
      <c r="G173" s="51"/>
    </row>
    <row r="174" spans="1:7" x14ac:dyDescent="0.15">
      <c r="A174" s="51"/>
      <c r="B174" s="51"/>
      <c r="C174" s="51"/>
      <c r="D174" s="51"/>
      <c r="E174" s="51"/>
      <c r="F174" s="51"/>
      <c r="G174" s="51"/>
    </row>
    <row r="175" spans="1:7" x14ac:dyDescent="0.15">
      <c r="A175" s="51"/>
      <c r="B175" s="51"/>
      <c r="C175" s="51"/>
      <c r="D175" s="51"/>
      <c r="E175" s="51"/>
      <c r="F175" s="51"/>
      <c r="G175" s="51"/>
    </row>
    <row r="176" spans="1:7" x14ac:dyDescent="0.15">
      <c r="A176" s="51"/>
      <c r="B176" s="51"/>
      <c r="C176" s="51"/>
      <c r="D176" s="51"/>
      <c r="E176" s="51"/>
      <c r="F176" s="51"/>
      <c r="G176" s="51"/>
    </row>
    <row r="177" spans="1:7" x14ac:dyDescent="0.15">
      <c r="A177" s="51"/>
      <c r="B177" s="51"/>
      <c r="C177" s="51"/>
      <c r="D177" s="51"/>
      <c r="E177" s="51"/>
      <c r="F177" s="51"/>
      <c r="G177" s="51"/>
    </row>
    <row r="178" spans="1:7" x14ac:dyDescent="0.15">
      <c r="A178" s="51"/>
      <c r="B178" s="51"/>
      <c r="C178" s="51"/>
      <c r="D178" s="51"/>
      <c r="E178" s="51"/>
      <c r="F178" s="51"/>
      <c r="G178" s="51"/>
    </row>
    <row r="179" spans="1:7" x14ac:dyDescent="0.15">
      <c r="A179" s="51"/>
      <c r="B179" s="51"/>
      <c r="C179" s="51"/>
      <c r="D179" s="51"/>
      <c r="E179" s="51"/>
      <c r="F179" s="51"/>
      <c r="G179" s="51"/>
    </row>
    <row r="180" spans="1:7" x14ac:dyDescent="0.15">
      <c r="A180" s="51"/>
      <c r="B180" s="51"/>
      <c r="C180" s="51"/>
      <c r="D180" s="51"/>
      <c r="E180" s="51"/>
      <c r="F180" s="51"/>
      <c r="G180" s="51"/>
    </row>
    <row r="181" spans="1:7" x14ac:dyDescent="0.15">
      <c r="A181" s="51"/>
      <c r="B181" s="51"/>
      <c r="C181" s="51"/>
      <c r="D181" s="51"/>
      <c r="E181" s="51"/>
      <c r="F181" s="51"/>
      <c r="G181" s="51"/>
    </row>
    <row r="182" spans="1:7" x14ac:dyDescent="0.15">
      <c r="A182" s="51"/>
      <c r="B182" s="51"/>
      <c r="C182" s="51"/>
      <c r="D182" s="51"/>
      <c r="E182" s="51"/>
      <c r="F182" s="51"/>
      <c r="G182" s="51"/>
    </row>
    <row r="183" spans="1:7" x14ac:dyDescent="0.15">
      <c r="A183" s="51"/>
      <c r="B183" s="51"/>
      <c r="C183" s="51"/>
      <c r="D183" s="51"/>
      <c r="E183" s="51"/>
      <c r="F183" s="51"/>
      <c r="G183" s="51"/>
    </row>
    <row r="184" spans="1:7" x14ac:dyDescent="0.15">
      <c r="A184" s="51"/>
      <c r="B184" s="51"/>
      <c r="C184" s="51"/>
      <c r="D184" s="51"/>
      <c r="E184" s="51"/>
      <c r="F184" s="51"/>
      <c r="G184" s="51"/>
    </row>
    <row r="185" spans="1:7" x14ac:dyDescent="0.15">
      <c r="A185" s="51"/>
      <c r="B185" s="51"/>
      <c r="C185" s="51"/>
      <c r="D185" s="51"/>
      <c r="E185" s="51"/>
      <c r="F185" s="51"/>
      <c r="G185" s="51"/>
    </row>
    <row r="186" spans="1:7" x14ac:dyDescent="0.15">
      <c r="A186" s="51"/>
      <c r="B186" s="51"/>
      <c r="C186" s="51"/>
      <c r="D186" s="51"/>
      <c r="E186" s="51"/>
      <c r="F186" s="51"/>
      <c r="G186" s="51"/>
    </row>
    <row r="187" spans="1:7" x14ac:dyDescent="0.15">
      <c r="A187" s="51"/>
      <c r="B187" s="51"/>
      <c r="C187" s="51"/>
      <c r="D187" s="51"/>
      <c r="E187" s="51"/>
      <c r="F187" s="51"/>
      <c r="G187" s="51"/>
    </row>
    <row r="188" spans="1:7" x14ac:dyDescent="0.15">
      <c r="A188" s="51"/>
      <c r="B188" s="51"/>
      <c r="C188" s="51"/>
      <c r="D188" s="51"/>
      <c r="E188" s="51"/>
      <c r="F188" s="51"/>
      <c r="G188" s="51"/>
    </row>
    <row r="189" spans="1:7" x14ac:dyDescent="0.15">
      <c r="A189" s="51"/>
      <c r="B189" s="51"/>
      <c r="C189" s="51"/>
      <c r="D189" s="51"/>
      <c r="E189" s="51"/>
      <c r="F189" s="51"/>
      <c r="G189" s="51"/>
    </row>
    <row r="190" spans="1:7" x14ac:dyDescent="0.15">
      <c r="A190" s="51"/>
      <c r="B190" s="51"/>
      <c r="C190" s="51"/>
      <c r="D190" s="51"/>
      <c r="E190" s="51"/>
      <c r="F190" s="51"/>
      <c r="G190" s="51"/>
    </row>
    <row r="191" spans="1:7" x14ac:dyDescent="0.15">
      <c r="A191" s="51"/>
      <c r="B191" s="51"/>
      <c r="C191" s="51"/>
      <c r="D191" s="51"/>
      <c r="E191" s="51"/>
      <c r="F191" s="51"/>
      <c r="G191" s="51"/>
    </row>
    <row r="192" spans="1:7" x14ac:dyDescent="0.15">
      <c r="A192" s="51"/>
      <c r="B192" s="51"/>
      <c r="C192" s="51"/>
      <c r="D192" s="51"/>
      <c r="E192" s="51"/>
      <c r="F192" s="51"/>
      <c r="G192" s="51"/>
    </row>
    <row r="193" spans="1:7" x14ac:dyDescent="0.15">
      <c r="A193" s="51"/>
      <c r="B193" s="51"/>
      <c r="C193" s="51"/>
      <c r="D193" s="51"/>
      <c r="E193" s="51"/>
      <c r="F193" s="51"/>
      <c r="G193" s="51"/>
    </row>
    <row r="194" spans="1:7" x14ac:dyDescent="0.15">
      <c r="A194" s="51"/>
      <c r="B194" s="51"/>
      <c r="C194" s="51"/>
      <c r="D194" s="51"/>
      <c r="E194" s="51"/>
      <c r="F194" s="51"/>
      <c r="G194" s="51"/>
    </row>
    <row r="195" spans="1:7" x14ac:dyDescent="0.15">
      <c r="A195" s="51"/>
      <c r="B195" s="51"/>
      <c r="C195" s="51"/>
      <c r="D195" s="51"/>
      <c r="E195" s="51"/>
      <c r="F195" s="51"/>
      <c r="G195" s="51"/>
    </row>
    <row r="196" spans="1:7" x14ac:dyDescent="0.15">
      <c r="A196" s="51"/>
      <c r="B196" s="51"/>
      <c r="C196" s="51"/>
      <c r="D196" s="51"/>
      <c r="E196" s="51"/>
      <c r="F196" s="51"/>
      <c r="G196" s="51"/>
    </row>
    <row r="197" spans="1:7" x14ac:dyDescent="0.15">
      <c r="A197" s="51"/>
      <c r="B197" s="51"/>
      <c r="C197" s="51"/>
      <c r="D197" s="51"/>
      <c r="E197" s="51"/>
      <c r="F197" s="51"/>
      <c r="G197" s="51"/>
    </row>
    <row r="198" spans="1:7" x14ac:dyDescent="0.15">
      <c r="A198" s="51"/>
      <c r="B198" s="51"/>
      <c r="C198" s="51"/>
      <c r="D198" s="51"/>
      <c r="E198" s="51"/>
      <c r="F198" s="51"/>
      <c r="G198" s="51"/>
    </row>
    <row r="199" spans="1:7" x14ac:dyDescent="0.15">
      <c r="A199" s="51"/>
      <c r="B199" s="51"/>
      <c r="C199" s="51"/>
      <c r="D199" s="51"/>
      <c r="E199" s="51"/>
      <c r="F199" s="51"/>
      <c r="G199" s="51"/>
    </row>
    <row r="200" spans="1:7" x14ac:dyDescent="0.15">
      <c r="A200" s="51"/>
      <c r="B200" s="51"/>
      <c r="C200" s="51"/>
      <c r="D200" s="51"/>
      <c r="E200" s="51"/>
      <c r="F200" s="51"/>
      <c r="G200" s="51"/>
    </row>
    <row r="201" spans="1:7" x14ac:dyDescent="0.15">
      <c r="A201" s="51"/>
      <c r="B201" s="51"/>
      <c r="C201" s="51"/>
      <c r="D201" s="51"/>
      <c r="E201" s="51"/>
      <c r="F201" s="51"/>
      <c r="G201" s="51"/>
    </row>
    <row r="202" spans="1:7" x14ac:dyDescent="0.15">
      <c r="A202" s="51"/>
      <c r="B202" s="51"/>
      <c r="C202" s="51"/>
      <c r="D202" s="51"/>
      <c r="E202" s="51"/>
      <c r="F202" s="51"/>
      <c r="G202" s="51"/>
    </row>
  </sheetData>
  <mergeCells count="9">
    <mergeCell ref="A70:G70"/>
    <mergeCell ref="A71:G71"/>
    <mergeCell ref="A72:G72"/>
    <mergeCell ref="E9:G9"/>
    <mergeCell ref="A1:G1"/>
    <mergeCell ref="A2:G2"/>
    <mergeCell ref="A3:G3"/>
    <mergeCell ref="A4:G4"/>
    <mergeCell ref="A69:G69"/>
  </mergeCells>
  <phoneticPr fontId="0" type="noConversion"/>
  <printOptions horizontalCentered="1"/>
  <pageMargins left="0.25" right="0.25" top="1" bottom="0.5" header="0.5" footer="0.5"/>
  <pageSetup orientation="portrait" r:id="rId1"/>
  <headerFooter alignWithMargins="0"/>
  <rowBreaks count="1" manualBreakCount="1">
    <brk id="64" max="16383" man="1"/>
  </rowBreaks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M31"/>
  <sheetViews>
    <sheetView zoomScaleNormal="90" zoomScaleSheetLayoutView="75" workbookViewId="0">
      <selection activeCell="K9" sqref="K9"/>
    </sheetView>
  </sheetViews>
  <sheetFormatPr defaultColWidth="9.83203125" defaultRowHeight="10.5" x14ac:dyDescent="0.15"/>
  <cols>
    <col min="1" max="1" width="5" style="50" customWidth="1"/>
    <col min="2" max="2" width="3.83203125" style="50" customWidth="1"/>
    <col min="3" max="3" width="45.6640625" style="50" customWidth="1"/>
    <col min="4" max="4" width="3.83203125" style="50" customWidth="1"/>
    <col min="5" max="5" width="14.83203125" style="50" customWidth="1"/>
    <col min="6" max="6" width="4" style="50" customWidth="1"/>
    <col min="7" max="7" width="12.83203125" style="50" customWidth="1"/>
    <col min="8" max="8" width="3.83203125" style="50" customWidth="1"/>
    <col min="9" max="9" width="14.83203125" style="50" customWidth="1"/>
    <col min="10" max="10" width="4" style="50" customWidth="1"/>
    <col min="11" max="11" width="13" style="50" customWidth="1"/>
    <col min="12" max="12" width="4.6640625" style="50" customWidth="1"/>
    <col min="13" max="13" width="22" style="50" customWidth="1"/>
    <col min="14" max="16384" width="9.83203125" style="50"/>
  </cols>
  <sheetData>
    <row r="1" spans="1:13" ht="12.75" x14ac:dyDescent="0.2">
      <c r="A1" s="1457" t="s">
        <v>993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</row>
    <row r="2" spans="1:13" ht="12.75" x14ac:dyDescent="0.2">
      <c r="A2" s="1457" t="str">
        <f>Input!C4</f>
        <v>CASE NO. 2017-xxxxx</v>
      </c>
      <c r="B2" s="1457"/>
      <c r="C2" s="1457"/>
      <c r="D2" s="1457"/>
      <c r="E2" s="1457"/>
      <c r="F2" s="1457"/>
      <c r="G2" s="1457"/>
      <c r="H2" s="1457"/>
      <c r="I2" s="1457"/>
      <c r="J2" s="1457"/>
      <c r="K2" s="1457"/>
    </row>
    <row r="3" spans="1:13" ht="12.75" x14ac:dyDescent="0.2">
      <c r="A3" s="1457" t="s">
        <v>58</v>
      </c>
      <c r="B3" s="1457"/>
      <c r="C3" s="1457"/>
      <c r="D3" s="1457"/>
      <c r="E3" s="1457"/>
      <c r="F3" s="1457"/>
      <c r="G3" s="1457"/>
      <c r="H3" s="1457"/>
      <c r="I3" s="1457"/>
      <c r="J3" s="1457"/>
      <c r="K3" s="1457"/>
      <c r="M3" s="52"/>
    </row>
    <row r="4" spans="1:13" ht="12.75" x14ac:dyDescent="0.2">
      <c r="A4" s="1457" t="str">
        <f>Input!C8</f>
        <v>FOR THE TWELVE MONTHS ENDED DECEMBER 31, 2017</v>
      </c>
      <c r="B4" s="1457"/>
      <c r="C4" s="1457"/>
      <c r="D4" s="1457"/>
      <c r="E4" s="1457"/>
      <c r="F4" s="1457"/>
      <c r="G4" s="1457"/>
      <c r="H4" s="1457"/>
      <c r="I4" s="1457"/>
      <c r="J4" s="1457"/>
      <c r="K4" s="1457"/>
    </row>
    <row r="5" spans="1:13" ht="12.75" x14ac:dyDescent="0.2">
      <c r="A5" s="584"/>
      <c r="B5" s="584"/>
      <c r="C5" s="584"/>
      <c r="D5" s="584"/>
      <c r="E5" s="597"/>
      <c r="F5" s="584"/>
      <c r="G5" s="584"/>
      <c r="H5" s="584"/>
      <c r="I5" s="584"/>
      <c r="J5" s="584"/>
      <c r="K5" s="584"/>
    </row>
    <row r="6" spans="1:13" ht="12.75" x14ac:dyDescent="0.2">
      <c r="A6" s="597" t="s">
        <v>839</v>
      </c>
      <c r="B6" s="584"/>
      <c r="C6" s="584"/>
      <c r="D6" s="584"/>
      <c r="E6" s="597"/>
      <c r="F6" s="584"/>
      <c r="G6" s="584"/>
      <c r="H6" s="584"/>
      <c r="I6" s="585"/>
      <c r="J6" s="584"/>
      <c r="K6" s="586" t="s">
        <v>59</v>
      </c>
    </row>
    <row r="7" spans="1:13" ht="12.75" x14ac:dyDescent="0.2">
      <c r="A7" s="597" t="s">
        <v>490</v>
      </c>
      <c r="B7" s="584"/>
      <c r="C7" s="584"/>
      <c r="D7" s="584"/>
      <c r="E7" s="584"/>
      <c r="F7" s="584"/>
      <c r="G7" s="584"/>
      <c r="H7" s="584"/>
      <c r="I7" s="585"/>
      <c r="J7" s="584"/>
      <c r="K7" s="586" t="s">
        <v>491</v>
      </c>
      <c r="L7" s="53"/>
    </row>
    <row r="8" spans="1:13" ht="12.75" x14ac:dyDescent="0.2">
      <c r="A8" s="598" t="s">
        <v>840</v>
      </c>
      <c r="B8" s="592"/>
      <c r="C8" s="592"/>
      <c r="D8" s="592"/>
      <c r="E8" s="592"/>
      <c r="F8" s="592"/>
      <c r="G8" s="592"/>
      <c r="H8" s="592"/>
      <c r="I8" s="599"/>
      <c r="J8" s="592"/>
      <c r="K8" s="588" t="str">
        <f>Input!E31</f>
        <v>WITNESS:  P.  FISCHER</v>
      </c>
      <c r="L8" s="54"/>
    </row>
    <row r="9" spans="1:13" ht="12.75" x14ac:dyDescent="0.2">
      <c r="A9" s="584"/>
      <c r="B9" s="584"/>
      <c r="C9" s="584"/>
      <c r="D9" s="584"/>
      <c r="E9" s="584"/>
      <c r="F9" s="584"/>
      <c r="G9" s="584"/>
      <c r="H9" s="584"/>
      <c r="I9" s="584"/>
      <c r="J9" s="584"/>
      <c r="K9" s="600" t="s">
        <v>60</v>
      </c>
      <c r="L9" s="51"/>
    </row>
    <row r="10" spans="1:13" ht="12.75" x14ac:dyDescent="0.2">
      <c r="A10" s="600" t="s">
        <v>1768</v>
      </c>
      <c r="B10" s="584"/>
      <c r="C10" s="584"/>
      <c r="D10" s="584"/>
      <c r="E10" s="600" t="s">
        <v>1580</v>
      </c>
      <c r="F10" s="584"/>
      <c r="G10" s="600" t="s">
        <v>60</v>
      </c>
      <c r="H10" s="584"/>
      <c r="I10" s="584"/>
      <c r="J10" s="584"/>
      <c r="K10" s="600" t="s">
        <v>61</v>
      </c>
      <c r="L10" s="51"/>
    </row>
    <row r="11" spans="1:13" ht="12.75" x14ac:dyDescent="0.2">
      <c r="A11" s="601" t="s">
        <v>1771</v>
      </c>
      <c r="B11" s="592"/>
      <c r="C11" s="601" t="s">
        <v>62</v>
      </c>
      <c r="D11" s="592"/>
      <c r="E11" s="601" t="s">
        <v>63</v>
      </c>
      <c r="F11" s="592"/>
      <c r="G11" s="601" t="s">
        <v>64</v>
      </c>
      <c r="H11" s="592"/>
      <c r="I11" s="601" t="s">
        <v>65</v>
      </c>
      <c r="J11" s="592"/>
      <c r="K11" s="601" t="s">
        <v>66</v>
      </c>
      <c r="L11" s="51"/>
    </row>
    <row r="12" spans="1:13" ht="12.75" x14ac:dyDescent="0.2">
      <c r="A12" s="584"/>
      <c r="B12" s="584"/>
      <c r="C12" s="584"/>
      <c r="D12" s="584"/>
      <c r="E12" s="600" t="s">
        <v>532</v>
      </c>
      <c r="F12" s="584"/>
      <c r="G12" s="600" t="s">
        <v>533</v>
      </c>
      <c r="H12" s="584"/>
      <c r="I12" s="600" t="s">
        <v>534</v>
      </c>
      <c r="J12" s="584"/>
      <c r="K12" s="600" t="s">
        <v>535</v>
      </c>
      <c r="L12" s="51"/>
    </row>
    <row r="13" spans="1:13" ht="12.75" x14ac:dyDescent="0.2">
      <c r="A13" s="584"/>
      <c r="B13" s="584"/>
      <c r="C13" s="584"/>
      <c r="D13" s="584"/>
      <c r="E13" s="600" t="s">
        <v>500</v>
      </c>
      <c r="F13" s="584"/>
      <c r="G13" s="584"/>
      <c r="H13" s="584"/>
      <c r="I13" s="600" t="s">
        <v>500</v>
      </c>
      <c r="J13" s="584"/>
      <c r="K13" s="584"/>
      <c r="L13" s="51"/>
    </row>
    <row r="14" spans="1:13" ht="12.75" x14ac:dyDescent="0.2">
      <c r="A14" s="584"/>
      <c r="B14" s="584"/>
      <c r="C14" s="584"/>
      <c r="D14" s="584"/>
      <c r="E14" s="600"/>
      <c r="F14" s="584"/>
      <c r="G14" s="584"/>
      <c r="H14" s="584"/>
      <c r="I14" s="600"/>
      <c r="J14" s="584"/>
      <c r="K14" s="584"/>
      <c r="L14" s="51"/>
    </row>
    <row r="15" spans="1:13" ht="12.75" x14ac:dyDescent="0.2">
      <c r="A15" s="602"/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1"/>
    </row>
    <row r="16" spans="1:13" ht="12.75" x14ac:dyDescent="0.2">
      <c r="A16" s="602"/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1"/>
    </row>
    <row r="17" spans="1:12" ht="12.75" x14ac:dyDescent="0.2">
      <c r="A17" s="1459" t="s">
        <v>81</v>
      </c>
      <c r="B17" s="1459"/>
      <c r="C17" s="1459"/>
      <c r="D17" s="1459"/>
      <c r="E17" s="1459"/>
      <c r="F17" s="1459"/>
      <c r="G17" s="1459"/>
      <c r="H17" s="1459"/>
      <c r="I17" s="1459"/>
      <c r="J17" s="1459"/>
      <c r="K17" s="1459"/>
      <c r="L17" s="51"/>
    </row>
    <row r="18" spans="1:12" ht="12.75" x14ac:dyDescent="0.2">
      <c r="A18" s="602"/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51"/>
    </row>
    <row r="19" spans="1:12" ht="12.75" x14ac:dyDescent="0.2">
      <c r="A19" s="1460" t="s">
        <v>82</v>
      </c>
      <c r="B19" s="1460"/>
      <c r="C19" s="1460"/>
      <c r="D19" s="1460"/>
      <c r="E19" s="1460"/>
      <c r="F19" s="1460"/>
      <c r="G19" s="1460"/>
      <c r="H19" s="1460"/>
      <c r="I19" s="1460"/>
      <c r="J19" s="1460"/>
      <c r="K19" s="1460"/>
      <c r="L19" s="51"/>
    </row>
    <row r="20" spans="1:12" ht="12.75" x14ac:dyDescent="0.2">
      <c r="A20" s="602"/>
      <c r="B20" s="584"/>
      <c r="C20" s="584"/>
      <c r="D20" s="584"/>
      <c r="E20" s="584"/>
      <c r="F20" s="584"/>
      <c r="G20" s="584"/>
      <c r="H20" s="584"/>
      <c r="I20" s="584"/>
      <c r="J20" s="584"/>
      <c r="K20" s="584"/>
      <c r="L20" s="51"/>
    </row>
    <row r="21" spans="1:12" ht="11.25" x14ac:dyDescent="0.2">
      <c r="A21" s="603"/>
      <c r="B21" s="585"/>
      <c r="C21" s="585"/>
      <c r="D21" s="585"/>
      <c r="E21" s="585"/>
      <c r="F21" s="585"/>
      <c r="G21" s="585"/>
      <c r="H21" s="585"/>
      <c r="I21" s="585"/>
      <c r="J21" s="585"/>
      <c r="K21" s="585"/>
      <c r="L21" s="51"/>
    </row>
    <row r="22" spans="1:12" ht="11.25" x14ac:dyDescent="0.2">
      <c r="A22" s="603"/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1"/>
    </row>
    <row r="23" spans="1:12" x14ac:dyDescent="0.15">
      <c r="A23" s="55"/>
      <c r="L23" s="51"/>
    </row>
    <row r="25" spans="1:12" x14ac:dyDescent="0.15">
      <c r="A25" s="55"/>
    </row>
    <row r="27" spans="1:12" x14ac:dyDescent="0.15">
      <c r="A27" s="55"/>
    </row>
    <row r="29" spans="1:12" x14ac:dyDescent="0.15">
      <c r="A29" s="55"/>
    </row>
    <row r="31" spans="1:12" x14ac:dyDescent="0.15">
      <c r="A31" s="55"/>
    </row>
  </sheetData>
  <mergeCells count="6">
    <mergeCell ref="A17:K17"/>
    <mergeCell ref="A19:K19"/>
    <mergeCell ref="A1:K1"/>
    <mergeCell ref="A2:K2"/>
    <mergeCell ref="A3:K3"/>
    <mergeCell ref="A4:K4"/>
  </mergeCells>
  <phoneticPr fontId="0" type="noConversion"/>
  <printOptions horizontalCentered="1"/>
  <pageMargins left="0.25" right="0.25" top="1" bottom="0.6" header="0.5" footer="0.5"/>
  <pageSetup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E82"/>
  <sheetViews>
    <sheetView zoomScaleNormal="100" workbookViewId="0">
      <selection activeCell="C11" sqref="C11"/>
    </sheetView>
  </sheetViews>
  <sheetFormatPr defaultColWidth="9.83203125" defaultRowHeight="10.5" x14ac:dyDescent="0.15"/>
  <cols>
    <col min="1" max="1" width="28.83203125" bestFit="1" customWidth="1"/>
    <col min="2" max="2" width="4.83203125" customWidth="1"/>
    <col min="3" max="3" width="54.5" customWidth="1"/>
    <col min="4" max="4" width="9.83203125" customWidth="1"/>
    <col min="6" max="6" width="1.83203125" customWidth="1"/>
    <col min="7" max="7" width="7.83203125" customWidth="1"/>
    <col min="8" max="8" width="6.83203125" customWidth="1"/>
  </cols>
  <sheetData>
    <row r="1" spans="1:5" ht="12.75" x14ac:dyDescent="0.2">
      <c r="A1" s="112" t="s">
        <v>549</v>
      </c>
      <c r="B1" s="90"/>
      <c r="C1" s="90"/>
      <c r="D1" s="91"/>
      <c r="E1" s="91"/>
    </row>
    <row r="2" spans="1:5" ht="12.75" x14ac:dyDescent="0.2">
      <c r="A2" s="90"/>
      <c r="B2" s="90"/>
      <c r="C2" s="90"/>
      <c r="D2" s="91"/>
      <c r="E2" s="91"/>
    </row>
    <row r="3" spans="1:5" ht="12.75" x14ac:dyDescent="0.2">
      <c r="A3" s="90"/>
      <c r="B3" s="90"/>
      <c r="C3" s="113" t="s">
        <v>83</v>
      </c>
      <c r="D3" s="91"/>
      <c r="E3" s="91"/>
    </row>
    <row r="4" spans="1:5" ht="12.75" x14ac:dyDescent="0.2">
      <c r="A4" s="90"/>
      <c r="B4" s="90"/>
      <c r="C4" s="90"/>
      <c r="D4" s="91"/>
      <c r="E4" s="91"/>
    </row>
    <row r="5" spans="1:5" ht="12.75" x14ac:dyDescent="0.2">
      <c r="A5" s="90"/>
      <c r="B5" s="90"/>
      <c r="C5" s="113" t="s">
        <v>84</v>
      </c>
      <c r="D5" s="91"/>
      <c r="E5" s="91"/>
    </row>
    <row r="6" spans="1:5" ht="12.75" x14ac:dyDescent="0.2">
      <c r="A6" s="90"/>
      <c r="B6" s="90"/>
      <c r="C6" s="90"/>
      <c r="D6" s="91"/>
      <c r="E6" s="91"/>
    </row>
    <row r="7" spans="1:5" ht="12.75" x14ac:dyDescent="0.2">
      <c r="A7" s="112" t="s">
        <v>476</v>
      </c>
      <c r="B7" s="90"/>
      <c r="C7" s="113" t="s">
        <v>477</v>
      </c>
      <c r="D7" s="91"/>
      <c r="E7" s="91"/>
    </row>
    <row r="8" spans="1:5" ht="12.75" x14ac:dyDescent="0.2">
      <c r="A8" s="90"/>
      <c r="B8" s="90"/>
      <c r="C8" s="90"/>
      <c r="D8" s="91"/>
      <c r="E8" s="91"/>
    </row>
    <row r="9" spans="1:5" ht="12.75" x14ac:dyDescent="0.2">
      <c r="A9" s="112" t="s">
        <v>937</v>
      </c>
      <c r="B9" s="90"/>
      <c r="C9" s="113" t="str">
        <f>+Input!C4</f>
        <v>CASE NO. 2017-xxxxx</v>
      </c>
      <c r="D9" s="91"/>
      <c r="E9" s="91"/>
    </row>
    <row r="10" spans="1:5" ht="12.75" x14ac:dyDescent="0.2">
      <c r="A10" s="90"/>
      <c r="B10" s="90"/>
      <c r="C10" s="90"/>
      <c r="D10" s="91"/>
      <c r="E10" s="91"/>
    </row>
    <row r="11" spans="1:5" ht="12.75" x14ac:dyDescent="0.2">
      <c r="A11" s="112" t="s">
        <v>85</v>
      </c>
      <c r="B11" s="90"/>
      <c r="C11" s="113" t="str">
        <f>+Input!C6</f>
        <v>TWELVE MONTHS ENDED DECEMBER 31, 2017</v>
      </c>
      <c r="D11" s="91"/>
      <c r="E11" s="91"/>
    </row>
    <row r="12" spans="1:5" ht="12.75" x14ac:dyDescent="0.2">
      <c r="A12" s="90"/>
      <c r="B12" s="90"/>
      <c r="C12" s="90"/>
      <c r="D12" s="91"/>
      <c r="E12" s="91"/>
    </row>
    <row r="13" spans="1:5" ht="12.75" x14ac:dyDescent="0.2">
      <c r="A13" s="112" t="s">
        <v>478</v>
      </c>
      <c r="B13" s="90"/>
      <c r="C13" s="113" t="str">
        <f>+Input!C6</f>
        <v>TWELVE MONTHS ENDED DECEMBER 31, 2017</v>
      </c>
      <c r="D13" s="91"/>
      <c r="E13" s="91"/>
    </row>
    <row r="14" spans="1:5" ht="12.75" x14ac:dyDescent="0.2">
      <c r="A14" s="90"/>
      <c r="B14" s="90"/>
      <c r="C14" s="90"/>
      <c r="D14" s="91"/>
      <c r="E14" s="91"/>
    </row>
    <row r="15" spans="1:5" ht="12.75" x14ac:dyDescent="0.2">
      <c r="A15" s="90"/>
      <c r="B15" s="90"/>
      <c r="C15" s="90"/>
      <c r="D15" s="91"/>
      <c r="E15" s="91"/>
    </row>
    <row r="16" spans="1:5" ht="12.75" x14ac:dyDescent="0.2">
      <c r="A16" s="116" t="s">
        <v>479</v>
      </c>
      <c r="B16" s="116"/>
      <c r="C16" s="117" t="s">
        <v>480</v>
      </c>
      <c r="D16" s="118"/>
      <c r="E16" s="118"/>
    </row>
    <row r="17" spans="1:5" ht="12.75" x14ac:dyDescent="0.2">
      <c r="A17" s="90"/>
      <c r="B17" s="90"/>
      <c r="C17" s="90"/>
      <c r="D17" s="91"/>
      <c r="E17" s="91"/>
    </row>
    <row r="18" spans="1:5" ht="12.75" x14ac:dyDescent="0.2">
      <c r="A18" s="90"/>
      <c r="B18" s="90"/>
      <c r="C18" s="90"/>
      <c r="D18" s="91"/>
      <c r="E18" s="91"/>
    </row>
    <row r="19" spans="1:5" ht="12.75" x14ac:dyDescent="0.2">
      <c r="A19" s="90"/>
      <c r="B19" s="90"/>
      <c r="C19" s="90"/>
      <c r="D19" s="91"/>
      <c r="E19" s="91"/>
    </row>
    <row r="20" spans="1:5" ht="12.75" x14ac:dyDescent="0.2">
      <c r="A20" s="90"/>
      <c r="B20" s="90"/>
      <c r="C20" s="90"/>
      <c r="D20" s="91"/>
      <c r="E20" s="91"/>
    </row>
    <row r="21" spans="1:5" ht="12.75" x14ac:dyDescent="0.2">
      <c r="A21" s="90"/>
      <c r="B21" s="90"/>
      <c r="C21" s="90"/>
      <c r="D21" s="91"/>
      <c r="E21" s="91"/>
    </row>
    <row r="22" spans="1:5" ht="12.75" x14ac:dyDescent="0.2">
      <c r="A22" s="1428" t="s">
        <v>86</v>
      </c>
      <c r="B22" s="1428"/>
      <c r="C22" s="1428"/>
      <c r="D22" s="1428"/>
      <c r="E22" s="91"/>
    </row>
    <row r="23" spans="1:5" ht="12.75" x14ac:dyDescent="0.2">
      <c r="A23" s="90"/>
      <c r="B23" s="90"/>
      <c r="C23" s="90"/>
      <c r="D23" s="91"/>
      <c r="E23" s="91"/>
    </row>
    <row r="24" spans="1:5" ht="11.25" x14ac:dyDescent="0.2">
      <c r="A24" s="91"/>
      <c r="B24" s="91"/>
      <c r="C24" s="91"/>
      <c r="D24" s="91"/>
      <c r="E24" s="91"/>
    </row>
    <row r="25" spans="1:5" ht="11.25" x14ac:dyDescent="0.2">
      <c r="A25" s="91"/>
      <c r="B25" s="91"/>
      <c r="C25" s="91"/>
      <c r="D25" s="91"/>
      <c r="E25" s="91"/>
    </row>
    <row r="26" spans="1:5" ht="11.25" x14ac:dyDescent="0.2">
      <c r="A26" s="91"/>
      <c r="B26" s="91"/>
      <c r="C26" s="91"/>
      <c r="D26" s="91"/>
      <c r="E26" s="91"/>
    </row>
    <row r="27" spans="1:5" ht="11.25" x14ac:dyDescent="0.2">
      <c r="A27" s="91"/>
      <c r="B27" s="91"/>
      <c r="C27" s="91"/>
      <c r="D27" s="91"/>
      <c r="E27" s="91"/>
    </row>
    <row r="28" spans="1:5" ht="11.25" x14ac:dyDescent="0.2">
      <c r="A28" s="91"/>
      <c r="B28" s="91"/>
      <c r="C28" s="91"/>
      <c r="D28" s="91"/>
      <c r="E28" s="91"/>
    </row>
    <row r="29" spans="1:5" ht="11.25" x14ac:dyDescent="0.2">
      <c r="A29" s="91"/>
      <c r="B29" s="91"/>
      <c r="C29" s="91"/>
      <c r="D29" s="91"/>
      <c r="E29" s="91"/>
    </row>
    <row r="30" spans="1:5" ht="11.25" x14ac:dyDescent="0.2">
      <c r="A30" s="91"/>
      <c r="B30" s="91"/>
      <c r="C30" s="91"/>
      <c r="D30" s="91"/>
      <c r="E30" s="91"/>
    </row>
    <row r="31" spans="1:5" ht="11.25" x14ac:dyDescent="0.2">
      <c r="A31" s="91"/>
      <c r="B31" s="91"/>
      <c r="C31" s="91"/>
      <c r="D31" s="91"/>
      <c r="E31" s="91"/>
    </row>
    <row r="32" spans="1:5" ht="11.25" x14ac:dyDescent="0.2">
      <c r="A32" s="91"/>
      <c r="B32" s="91"/>
      <c r="C32" s="91"/>
      <c r="D32" s="91"/>
      <c r="E32" s="91"/>
    </row>
    <row r="33" spans="1:5" ht="11.25" x14ac:dyDescent="0.2">
      <c r="A33" s="91"/>
      <c r="B33" s="91"/>
      <c r="C33" s="91"/>
      <c r="D33" s="91"/>
      <c r="E33" s="91"/>
    </row>
    <row r="34" spans="1:5" ht="11.25" x14ac:dyDescent="0.2">
      <c r="A34" s="91"/>
      <c r="B34" s="91"/>
      <c r="C34" s="91"/>
      <c r="D34" s="91"/>
      <c r="E34" s="91"/>
    </row>
    <row r="35" spans="1:5" ht="11.25" x14ac:dyDescent="0.2">
      <c r="A35" s="91"/>
      <c r="B35" s="91"/>
      <c r="C35" s="91"/>
      <c r="D35" s="91"/>
      <c r="E35" s="91"/>
    </row>
    <row r="36" spans="1:5" ht="11.25" x14ac:dyDescent="0.2">
      <c r="A36" s="91"/>
      <c r="B36" s="91"/>
      <c r="C36" s="91"/>
      <c r="D36" s="91"/>
      <c r="E36" s="91"/>
    </row>
    <row r="37" spans="1:5" ht="11.25" x14ac:dyDescent="0.2">
      <c r="A37" s="91"/>
      <c r="B37" s="91"/>
      <c r="C37" s="91"/>
      <c r="D37" s="91"/>
      <c r="E37" s="91"/>
    </row>
    <row r="38" spans="1:5" ht="11.25" x14ac:dyDescent="0.2">
      <c r="A38" s="91"/>
      <c r="B38" s="91"/>
      <c r="C38" s="91"/>
      <c r="D38" s="91"/>
      <c r="E38" s="91"/>
    </row>
    <row r="39" spans="1:5" ht="11.25" x14ac:dyDescent="0.2">
      <c r="A39" s="91"/>
      <c r="B39" s="91"/>
      <c r="C39" s="91"/>
      <c r="D39" s="91"/>
      <c r="E39" s="91"/>
    </row>
    <row r="40" spans="1:5" ht="11.25" x14ac:dyDescent="0.2">
      <c r="A40" s="91"/>
      <c r="B40" s="91"/>
      <c r="C40" s="91"/>
      <c r="D40" s="91"/>
      <c r="E40" s="91"/>
    </row>
    <row r="41" spans="1:5" ht="11.25" x14ac:dyDescent="0.2">
      <c r="A41" s="91"/>
      <c r="B41" s="91"/>
      <c r="C41" s="91"/>
      <c r="D41" s="91"/>
      <c r="E41" s="91"/>
    </row>
    <row r="42" spans="1:5" ht="11.25" x14ac:dyDescent="0.2">
      <c r="A42" s="91"/>
      <c r="B42" s="91"/>
      <c r="C42" s="91"/>
      <c r="D42" s="91"/>
      <c r="E42" s="91"/>
    </row>
    <row r="43" spans="1:5" ht="11.25" x14ac:dyDescent="0.2">
      <c r="A43" s="91"/>
      <c r="B43" s="91"/>
      <c r="C43" s="91"/>
      <c r="D43" s="91"/>
      <c r="E43" s="91"/>
    </row>
    <row r="44" spans="1:5" ht="11.25" x14ac:dyDescent="0.2">
      <c r="A44" s="91"/>
      <c r="B44" s="91"/>
      <c r="C44" s="91"/>
      <c r="D44" s="91"/>
      <c r="E44" s="91"/>
    </row>
    <row r="45" spans="1:5" ht="11.25" x14ac:dyDescent="0.2">
      <c r="A45" s="91"/>
      <c r="B45" s="91"/>
      <c r="C45" s="91"/>
      <c r="D45" s="91"/>
      <c r="E45" s="91"/>
    </row>
    <row r="46" spans="1:5" ht="11.25" x14ac:dyDescent="0.2">
      <c r="A46" s="91"/>
      <c r="B46" s="91"/>
      <c r="C46" s="91"/>
      <c r="D46" s="91"/>
      <c r="E46" s="91"/>
    </row>
    <row r="47" spans="1:5" ht="11.25" x14ac:dyDescent="0.2">
      <c r="A47" s="91"/>
      <c r="B47" s="91"/>
      <c r="C47" s="91"/>
      <c r="D47" s="91"/>
      <c r="E47" s="91"/>
    </row>
    <row r="48" spans="1:5" ht="11.25" x14ac:dyDescent="0.2">
      <c r="A48" s="91"/>
      <c r="B48" s="91"/>
      <c r="C48" s="91"/>
      <c r="D48" s="91"/>
      <c r="E48" s="91"/>
    </row>
    <row r="49" spans="1:5" ht="11.25" x14ac:dyDescent="0.2">
      <c r="A49" s="91"/>
      <c r="B49" s="91"/>
      <c r="C49" s="91"/>
      <c r="D49" s="91"/>
      <c r="E49" s="91"/>
    </row>
    <row r="50" spans="1:5" ht="11.25" x14ac:dyDescent="0.2">
      <c r="A50" s="91"/>
      <c r="B50" s="91"/>
      <c r="C50" s="91"/>
      <c r="D50" s="91"/>
      <c r="E50" s="91"/>
    </row>
    <row r="51" spans="1:5" ht="11.25" x14ac:dyDescent="0.2">
      <c r="A51" s="91"/>
      <c r="B51" s="91"/>
      <c r="C51" s="91"/>
      <c r="D51" s="91"/>
      <c r="E51" s="91"/>
    </row>
    <row r="52" spans="1:5" ht="11.25" x14ac:dyDescent="0.2">
      <c r="A52" s="91"/>
      <c r="B52" s="91"/>
      <c r="C52" s="91"/>
      <c r="D52" s="91"/>
      <c r="E52" s="91"/>
    </row>
    <row r="53" spans="1:5" ht="11.25" x14ac:dyDescent="0.2">
      <c r="A53" s="91"/>
      <c r="B53" s="91"/>
      <c r="C53" s="91"/>
      <c r="D53" s="91"/>
      <c r="E53" s="91"/>
    </row>
    <row r="54" spans="1:5" ht="11.25" x14ac:dyDescent="0.2">
      <c r="A54" s="91"/>
      <c r="B54" s="91"/>
      <c r="C54" s="91"/>
      <c r="D54" s="91"/>
      <c r="E54" s="91"/>
    </row>
    <row r="55" spans="1:5" ht="11.25" x14ac:dyDescent="0.2">
      <c r="A55" s="91"/>
      <c r="B55" s="91"/>
      <c r="C55" s="91"/>
      <c r="D55" s="91"/>
      <c r="E55" s="91"/>
    </row>
    <row r="56" spans="1:5" ht="11.25" x14ac:dyDescent="0.2">
      <c r="A56" s="91"/>
      <c r="B56" s="91"/>
      <c r="C56" s="91"/>
      <c r="D56" s="91"/>
      <c r="E56" s="91"/>
    </row>
    <row r="57" spans="1:5" ht="11.25" x14ac:dyDescent="0.2">
      <c r="A57" s="91"/>
      <c r="B57" s="91"/>
      <c r="C57" s="91"/>
      <c r="D57" s="91"/>
      <c r="E57" s="91"/>
    </row>
    <row r="58" spans="1:5" ht="11.25" x14ac:dyDescent="0.2">
      <c r="A58" s="91"/>
      <c r="B58" s="91"/>
      <c r="C58" s="91"/>
      <c r="D58" s="91"/>
      <c r="E58" s="91"/>
    </row>
    <row r="59" spans="1:5" ht="11.25" x14ac:dyDescent="0.2">
      <c r="A59" s="91"/>
      <c r="B59" s="91"/>
      <c r="C59" s="91"/>
      <c r="D59" s="91"/>
      <c r="E59" s="91"/>
    </row>
    <row r="60" spans="1:5" ht="11.25" x14ac:dyDescent="0.2">
      <c r="A60" s="91"/>
      <c r="B60" s="91"/>
      <c r="C60" s="91"/>
      <c r="D60" s="91"/>
      <c r="E60" s="91"/>
    </row>
    <row r="61" spans="1:5" ht="11.25" x14ac:dyDescent="0.2">
      <c r="A61" s="91"/>
      <c r="B61" s="91"/>
      <c r="C61" s="91"/>
      <c r="D61" s="91"/>
      <c r="E61" s="91"/>
    </row>
    <row r="62" spans="1:5" ht="11.25" x14ac:dyDescent="0.2">
      <c r="A62" s="91"/>
      <c r="B62" s="91"/>
      <c r="C62" s="91"/>
      <c r="D62" s="91"/>
      <c r="E62" s="91"/>
    </row>
    <row r="63" spans="1:5" ht="11.25" x14ac:dyDescent="0.2">
      <c r="A63" s="91"/>
      <c r="B63" s="91"/>
      <c r="C63" s="91"/>
      <c r="D63" s="91"/>
      <c r="E63" s="91"/>
    </row>
    <row r="64" spans="1:5" ht="11.25" x14ac:dyDescent="0.2">
      <c r="A64" s="91"/>
      <c r="B64" s="91"/>
      <c r="C64" s="91"/>
      <c r="D64" s="91"/>
      <c r="E64" s="91"/>
    </row>
    <row r="65" spans="1:5" ht="11.25" x14ac:dyDescent="0.2">
      <c r="A65" s="91"/>
      <c r="B65" s="91"/>
      <c r="C65" s="91"/>
      <c r="D65" s="91"/>
      <c r="E65" s="91"/>
    </row>
    <row r="66" spans="1:5" ht="11.25" x14ac:dyDescent="0.2">
      <c r="A66" s="91"/>
      <c r="B66" s="91"/>
      <c r="C66" s="91"/>
      <c r="D66" s="91"/>
      <c r="E66" s="91"/>
    </row>
    <row r="67" spans="1:5" ht="11.25" x14ac:dyDescent="0.2">
      <c r="A67" s="91"/>
      <c r="B67" s="91"/>
      <c r="C67" s="91"/>
      <c r="D67" s="91"/>
      <c r="E67" s="91"/>
    </row>
    <row r="68" spans="1:5" ht="11.25" x14ac:dyDescent="0.2">
      <c r="A68" s="91"/>
      <c r="B68" s="91"/>
      <c r="C68" s="91"/>
      <c r="D68" s="91"/>
      <c r="E68" s="91"/>
    </row>
    <row r="69" spans="1:5" ht="11.25" x14ac:dyDescent="0.2">
      <c r="A69" s="91"/>
      <c r="B69" s="91"/>
      <c r="C69" s="91"/>
      <c r="D69" s="91"/>
      <c r="E69" s="91"/>
    </row>
    <row r="70" spans="1:5" ht="11.25" x14ac:dyDescent="0.2">
      <c r="A70" s="91"/>
      <c r="B70" s="91"/>
      <c r="C70" s="91"/>
      <c r="D70" s="91"/>
      <c r="E70" s="91"/>
    </row>
    <row r="71" spans="1:5" ht="11.25" x14ac:dyDescent="0.2">
      <c r="A71" s="91"/>
      <c r="B71" s="91"/>
      <c r="C71" s="91"/>
      <c r="D71" s="91"/>
      <c r="E71" s="91"/>
    </row>
    <row r="72" spans="1:5" ht="11.25" x14ac:dyDescent="0.2">
      <c r="A72" s="91"/>
      <c r="B72" s="91"/>
      <c r="C72" s="91"/>
      <c r="D72" s="91"/>
      <c r="E72" s="91"/>
    </row>
    <row r="73" spans="1:5" ht="11.25" x14ac:dyDescent="0.2">
      <c r="A73" s="91"/>
      <c r="B73" s="91"/>
      <c r="C73" s="91"/>
      <c r="D73" s="91"/>
      <c r="E73" s="91"/>
    </row>
    <row r="74" spans="1:5" ht="11.25" x14ac:dyDescent="0.2">
      <c r="A74" s="91"/>
      <c r="B74" s="91"/>
      <c r="C74" s="91"/>
      <c r="D74" s="91"/>
      <c r="E74" s="91"/>
    </row>
    <row r="75" spans="1:5" ht="11.25" x14ac:dyDescent="0.2">
      <c r="A75" s="91"/>
      <c r="B75" s="91"/>
      <c r="C75" s="91"/>
      <c r="D75" s="91"/>
      <c r="E75" s="91"/>
    </row>
    <row r="76" spans="1:5" ht="11.25" x14ac:dyDescent="0.2">
      <c r="A76" s="91"/>
      <c r="B76" s="91"/>
      <c r="C76" s="91"/>
      <c r="D76" s="91"/>
      <c r="E76" s="91"/>
    </row>
    <row r="77" spans="1:5" ht="11.25" x14ac:dyDescent="0.2">
      <c r="A77" s="91"/>
      <c r="B77" s="91"/>
      <c r="C77" s="91"/>
      <c r="D77" s="91"/>
      <c r="E77" s="91"/>
    </row>
    <row r="78" spans="1:5" ht="11.25" x14ac:dyDescent="0.2">
      <c r="A78" s="91"/>
      <c r="B78" s="91"/>
      <c r="C78" s="91"/>
      <c r="D78" s="91"/>
      <c r="E78" s="91"/>
    </row>
    <row r="79" spans="1:5" ht="11.25" x14ac:dyDescent="0.2">
      <c r="A79" s="91"/>
      <c r="B79" s="91"/>
      <c r="C79" s="91"/>
      <c r="D79" s="91"/>
      <c r="E79" s="91"/>
    </row>
    <row r="80" spans="1:5" ht="11.25" x14ac:dyDescent="0.2">
      <c r="A80" s="91"/>
      <c r="B80" s="91"/>
      <c r="C80" s="91"/>
      <c r="D80" s="91"/>
      <c r="E80" s="91"/>
    </row>
    <row r="81" spans="1:5" ht="11.25" x14ac:dyDescent="0.2">
      <c r="A81" s="91"/>
      <c r="B81" s="91"/>
      <c r="C81" s="91"/>
      <c r="D81" s="91"/>
      <c r="E81" s="91"/>
    </row>
    <row r="82" spans="1:5" ht="11.25" x14ac:dyDescent="0.2">
      <c r="A82" s="91"/>
      <c r="B82" s="91"/>
      <c r="C82" s="91"/>
      <c r="D82" s="91"/>
      <c r="E82" s="91"/>
    </row>
  </sheetData>
  <mergeCells count="1">
    <mergeCell ref="A22:D22"/>
  </mergeCells>
  <phoneticPr fontId="0" type="noConversion"/>
  <printOptions horizontalCentered="1"/>
  <pageMargins left="0.5" right="0.5" top="1" bottom="1" header="0.5" footer="0.5"/>
  <pageSetup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F168"/>
  <sheetViews>
    <sheetView zoomScaleNormal="100" workbookViewId="0">
      <selection activeCell="C14" sqref="C14"/>
    </sheetView>
  </sheetViews>
  <sheetFormatPr defaultColWidth="9.83203125" defaultRowHeight="10.5" x14ac:dyDescent="0.15"/>
  <cols>
    <col min="1" max="1" width="31.83203125" customWidth="1"/>
    <col min="2" max="2" width="4.83203125" customWidth="1"/>
    <col min="3" max="3" width="52.6640625" bestFit="1" customWidth="1"/>
    <col min="8" max="8" width="9.83203125" customWidth="1"/>
    <col min="10" max="10" width="1.83203125" customWidth="1"/>
    <col min="11" max="11" width="7.83203125" customWidth="1"/>
    <col min="12" max="12" width="6.83203125" customWidth="1"/>
  </cols>
  <sheetData>
    <row r="1" spans="1:6" ht="12.75" x14ac:dyDescent="0.2">
      <c r="A1" s="112" t="s">
        <v>549</v>
      </c>
      <c r="B1" s="90"/>
      <c r="C1" s="90"/>
      <c r="D1" s="91"/>
      <c r="E1" s="91"/>
      <c r="F1" s="91"/>
    </row>
    <row r="2" spans="1:6" ht="12.75" x14ac:dyDescent="0.2">
      <c r="A2" s="90"/>
      <c r="B2" s="90"/>
      <c r="C2" s="90"/>
      <c r="D2" s="91"/>
      <c r="E2" s="91"/>
      <c r="F2" s="91"/>
    </row>
    <row r="3" spans="1:6" ht="12.75" x14ac:dyDescent="0.2">
      <c r="A3" s="90"/>
      <c r="B3" s="90"/>
      <c r="C3" s="113" t="s">
        <v>87</v>
      </c>
      <c r="D3" s="91"/>
      <c r="E3" s="91"/>
      <c r="F3" s="91"/>
    </row>
    <row r="4" spans="1:6" ht="12.75" x14ac:dyDescent="0.2">
      <c r="A4" s="90"/>
      <c r="B4" s="90"/>
      <c r="C4" s="90"/>
      <c r="D4" s="91"/>
      <c r="E4" s="91"/>
      <c r="F4" s="91"/>
    </row>
    <row r="5" spans="1:6" ht="12.75" x14ac:dyDescent="0.2">
      <c r="A5" s="90"/>
      <c r="B5" s="90"/>
      <c r="C5" s="113" t="s">
        <v>88</v>
      </c>
      <c r="D5" s="91"/>
      <c r="E5" s="91"/>
      <c r="F5" s="91"/>
    </row>
    <row r="6" spans="1:6" ht="12.75" x14ac:dyDescent="0.2">
      <c r="A6" s="90"/>
      <c r="B6" s="90"/>
      <c r="C6" s="90"/>
      <c r="D6" s="91"/>
      <c r="E6" s="91"/>
      <c r="F6" s="91"/>
    </row>
    <row r="7" spans="1:6" ht="12.75" x14ac:dyDescent="0.2">
      <c r="A7" s="112" t="s">
        <v>476</v>
      </c>
      <c r="B7" s="90"/>
      <c r="C7" s="113" t="s">
        <v>477</v>
      </c>
      <c r="D7" s="91"/>
      <c r="E7" s="91"/>
      <c r="F7" s="91"/>
    </row>
    <row r="8" spans="1:6" ht="12.75" x14ac:dyDescent="0.2">
      <c r="A8" s="90"/>
      <c r="B8" s="90"/>
      <c r="C8" s="90"/>
      <c r="D8" s="91"/>
      <c r="E8" s="91"/>
      <c r="F8" s="91"/>
    </row>
    <row r="9" spans="1:6" ht="12.75" x14ac:dyDescent="0.2">
      <c r="A9" s="112" t="s">
        <v>937</v>
      </c>
      <c r="B9" s="90"/>
      <c r="C9" s="113" t="str">
        <f>+Input!C4</f>
        <v>CASE NO. 2017-xxxxx</v>
      </c>
      <c r="D9" s="91"/>
      <c r="E9" s="91"/>
      <c r="F9" s="91"/>
    </row>
    <row r="10" spans="1:6" ht="12.75" x14ac:dyDescent="0.2">
      <c r="A10" s="90"/>
      <c r="B10" s="90"/>
      <c r="C10" s="90"/>
      <c r="D10" s="91"/>
      <c r="E10" s="91"/>
      <c r="F10" s="91"/>
    </row>
    <row r="11" spans="1:6" ht="12.75" x14ac:dyDescent="0.2">
      <c r="A11" s="112" t="s">
        <v>85</v>
      </c>
      <c r="B11" s="90"/>
      <c r="C11" s="113" t="str">
        <f>+Input!C6</f>
        <v>TWELVE MONTHS ENDED DECEMBER 31, 2017</v>
      </c>
      <c r="D11" s="91"/>
      <c r="E11" s="91"/>
      <c r="F11" s="91"/>
    </row>
    <row r="12" spans="1:6" ht="12.75" x14ac:dyDescent="0.2">
      <c r="A12" s="90"/>
      <c r="B12" s="90"/>
      <c r="C12" s="90"/>
      <c r="D12" s="91"/>
      <c r="E12" s="91"/>
      <c r="F12" s="91"/>
    </row>
    <row r="13" spans="1:6" ht="12.75" x14ac:dyDescent="0.2">
      <c r="A13" s="112" t="s">
        <v>478</v>
      </c>
      <c r="B13" s="90"/>
      <c r="C13" s="113" t="str">
        <f>+Input!C6</f>
        <v>TWELVE MONTHS ENDED DECEMBER 31, 2017</v>
      </c>
      <c r="D13" s="91"/>
      <c r="E13" s="91"/>
      <c r="F13" s="91"/>
    </row>
    <row r="14" spans="1:6" ht="12.75" x14ac:dyDescent="0.2">
      <c r="A14" s="90"/>
      <c r="B14" s="90"/>
      <c r="C14" s="90"/>
      <c r="D14" s="91"/>
      <c r="E14" s="91"/>
      <c r="F14" s="91"/>
    </row>
    <row r="15" spans="1:6" ht="12.75" x14ac:dyDescent="0.2">
      <c r="A15" s="90"/>
      <c r="B15" s="90"/>
      <c r="C15" s="90"/>
      <c r="D15" s="91"/>
      <c r="E15" s="91"/>
      <c r="F15" s="91"/>
    </row>
    <row r="16" spans="1:6" ht="12.75" x14ac:dyDescent="0.2">
      <c r="A16" s="115" t="s">
        <v>479</v>
      </c>
      <c r="B16" s="116"/>
      <c r="C16" s="117" t="s">
        <v>480</v>
      </c>
      <c r="D16" s="118"/>
      <c r="E16" s="91"/>
      <c r="F16" s="91"/>
    </row>
    <row r="17" spans="1:6" ht="12.75" x14ac:dyDescent="0.2">
      <c r="A17" s="604"/>
      <c r="B17" s="90"/>
      <c r="C17" s="605"/>
      <c r="D17" s="581"/>
      <c r="E17" s="91"/>
      <c r="F17" s="91"/>
    </row>
    <row r="18" spans="1:6" ht="12.75" x14ac:dyDescent="0.2">
      <c r="A18" s="604"/>
      <c r="B18" s="90"/>
      <c r="C18" s="605"/>
      <c r="D18" s="581"/>
      <c r="E18" s="91"/>
      <c r="F18" s="91"/>
    </row>
    <row r="19" spans="1:6" ht="12.75" x14ac:dyDescent="0.2">
      <c r="A19" s="90"/>
      <c r="B19" s="90"/>
      <c r="C19" s="90"/>
      <c r="D19" s="91"/>
      <c r="E19" s="91"/>
      <c r="F19" s="91"/>
    </row>
    <row r="20" spans="1:6" ht="12.75" x14ac:dyDescent="0.2">
      <c r="A20" s="90"/>
      <c r="B20" s="90"/>
      <c r="C20" s="90"/>
      <c r="D20" s="91"/>
      <c r="E20" s="91"/>
      <c r="F20" s="91"/>
    </row>
    <row r="21" spans="1:6" ht="12.75" x14ac:dyDescent="0.2">
      <c r="A21" s="1428" t="s">
        <v>89</v>
      </c>
      <c r="B21" s="1428"/>
      <c r="C21" s="1428"/>
      <c r="D21" s="1428"/>
      <c r="E21" s="91"/>
      <c r="F21" s="91"/>
    </row>
    <row r="22" spans="1:6" ht="12.75" x14ac:dyDescent="0.2">
      <c r="A22" s="112"/>
      <c r="B22" s="90"/>
      <c r="C22" s="90"/>
      <c r="D22" s="91"/>
      <c r="E22" s="91"/>
      <c r="F22" s="91"/>
    </row>
    <row r="23" spans="1:6" ht="11.25" x14ac:dyDescent="0.2">
      <c r="A23" s="133"/>
      <c r="B23" s="91"/>
      <c r="C23" s="91"/>
      <c r="D23" s="91"/>
      <c r="E23" s="91"/>
      <c r="F23" s="91"/>
    </row>
    <row r="24" spans="1:6" ht="11.25" x14ac:dyDescent="0.2">
      <c r="A24" s="91"/>
      <c r="B24" s="91"/>
      <c r="C24" s="91"/>
      <c r="D24" s="91"/>
      <c r="E24" s="91"/>
      <c r="F24" s="91"/>
    </row>
    <row r="25" spans="1:6" ht="11.25" x14ac:dyDescent="0.2">
      <c r="A25" s="91"/>
      <c r="B25" s="91"/>
      <c r="C25" s="91"/>
      <c r="D25" s="91"/>
      <c r="E25" s="91"/>
      <c r="F25" s="91"/>
    </row>
    <row r="26" spans="1:6" ht="11.25" x14ac:dyDescent="0.2">
      <c r="A26" s="91"/>
      <c r="B26" s="91"/>
      <c r="C26" s="91"/>
      <c r="D26" s="91"/>
      <c r="E26" s="91"/>
      <c r="F26" s="91"/>
    </row>
    <row r="27" spans="1:6" ht="11.25" x14ac:dyDescent="0.2">
      <c r="A27" s="91"/>
      <c r="B27" s="91"/>
      <c r="C27" s="91"/>
      <c r="D27" s="91"/>
      <c r="E27" s="91"/>
      <c r="F27" s="91"/>
    </row>
    <row r="28" spans="1:6" ht="11.25" x14ac:dyDescent="0.2">
      <c r="A28" s="91"/>
      <c r="B28" s="91"/>
      <c r="C28" s="91"/>
      <c r="D28" s="91"/>
      <c r="E28" s="91"/>
      <c r="F28" s="91"/>
    </row>
    <row r="29" spans="1:6" ht="11.25" x14ac:dyDescent="0.2">
      <c r="A29" s="91"/>
      <c r="B29" s="91"/>
      <c r="C29" s="91"/>
      <c r="D29" s="91"/>
      <c r="E29" s="91"/>
      <c r="F29" s="91"/>
    </row>
    <row r="30" spans="1:6" ht="11.25" x14ac:dyDescent="0.2">
      <c r="A30" s="91"/>
      <c r="B30" s="91"/>
      <c r="C30" s="91"/>
      <c r="D30" s="91"/>
      <c r="E30" s="91"/>
      <c r="F30" s="91"/>
    </row>
    <row r="31" spans="1:6" ht="11.25" x14ac:dyDescent="0.2">
      <c r="A31" s="91"/>
      <c r="B31" s="91"/>
      <c r="C31" s="91"/>
      <c r="D31" s="91"/>
      <c r="E31" s="91"/>
      <c r="F31" s="91"/>
    </row>
    <row r="32" spans="1:6" ht="11.25" x14ac:dyDescent="0.2">
      <c r="A32" s="91"/>
      <c r="B32" s="91"/>
      <c r="C32" s="91"/>
      <c r="D32" s="91"/>
      <c r="E32" s="91"/>
      <c r="F32" s="91"/>
    </row>
    <row r="33" spans="1:6" ht="11.25" x14ac:dyDescent="0.2">
      <c r="A33" s="91"/>
      <c r="B33" s="91"/>
      <c r="C33" s="91"/>
      <c r="D33" s="91"/>
      <c r="E33" s="91"/>
      <c r="F33" s="91"/>
    </row>
    <row r="34" spans="1:6" ht="11.25" x14ac:dyDescent="0.2">
      <c r="A34" s="91"/>
      <c r="B34" s="91"/>
      <c r="C34" s="91"/>
      <c r="D34" s="91"/>
      <c r="E34" s="91"/>
      <c r="F34" s="91"/>
    </row>
    <row r="35" spans="1:6" ht="11.25" x14ac:dyDescent="0.2">
      <c r="A35" s="91"/>
      <c r="B35" s="91"/>
      <c r="C35" s="91"/>
      <c r="D35" s="91"/>
      <c r="E35" s="91"/>
      <c r="F35" s="91"/>
    </row>
    <row r="36" spans="1:6" ht="11.25" x14ac:dyDescent="0.2">
      <c r="A36" s="91"/>
      <c r="B36" s="91"/>
      <c r="C36" s="91"/>
      <c r="D36" s="91"/>
      <c r="E36" s="91"/>
      <c r="F36" s="91"/>
    </row>
    <row r="37" spans="1:6" ht="11.25" x14ac:dyDescent="0.2">
      <c r="A37" s="91"/>
      <c r="B37" s="91"/>
      <c r="C37" s="91"/>
      <c r="D37" s="91"/>
      <c r="E37" s="91"/>
      <c r="F37" s="91"/>
    </row>
    <row r="38" spans="1:6" ht="11.25" x14ac:dyDescent="0.2">
      <c r="A38" s="91"/>
      <c r="B38" s="91"/>
      <c r="C38" s="91"/>
      <c r="D38" s="91"/>
      <c r="E38" s="91"/>
      <c r="F38" s="91"/>
    </row>
    <row r="39" spans="1:6" ht="11.25" x14ac:dyDescent="0.2">
      <c r="A39" s="91"/>
      <c r="B39" s="91"/>
      <c r="C39" s="91"/>
      <c r="D39" s="91"/>
      <c r="E39" s="91"/>
      <c r="F39" s="91"/>
    </row>
    <row r="40" spans="1:6" ht="11.25" x14ac:dyDescent="0.2">
      <c r="A40" s="91"/>
      <c r="B40" s="91"/>
      <c r="C40" s="91"/>
      <c r="D40" s="91"/>
      <c r="E40" s="91"/>
      <c r="F40" s="91"/>
    </row>
    <row r="41" spans="1:6" ht="11.25" x14ac:dyDescent="0.2">
      <c r="A41" s="91"/>
      <c r="B41" s="91"/>
      <c r="C41" s="91"/>
      <c r="D41" s="91"/>
      <c r="E41" s="91"/>
      <c r="F41" s="91"/>
    </row>
    <row r="42" spans="1:6" ht="11.25" x14ac:dyDescent="0.2">
      <c r="A42" s="91"/>
      <c r="B42" s="91"/>
      <c r="C42" s="91"/>
      <c r="D42" s="91"/>
      <c r="E42" s="91"/>
      <c r="F42" s="91"/>
    </row>
    <row r="43" spans="1:6" ht="11.25" x14ac:dyDescent="0.2">
      <c r="A43" s="91"/>
      <c r="B43" s="91"/>
      <c r="C43" s="91"/>
      <c r="D43" s="91"/>
      <c r="E43" s="91"/>
      <c r="F43" s="91"/>
    </row>
    <row r="44" spans="1:6" ht="11.25" x14ac:dyDescent="0.2">
      <c r="A44" s="91"/>
      <c r="B44" s="91"/>
      <c r="C44" s="91"/>
      <c r="D44" s="91"/>
      <c r="E44" s="91"/>
      <c r="F44" s="91"/>
    </row>
    <row r="45" spans="1:6" ht="11.25" x14ac:dyDescent="0.2">
      <c r="A45" s="91"/>
      <c r="B45" s="91"/>
      <c r="C45" s="91"/>
      <c r="D45" s="91"/>
      <c r="E45" s="91"/>
      <c r="F45" s="91"/>
    </row>
    <row r="46" spans="1:6" ht="11.25" x14ac:dyDescent="0.2">
      <c r="A46" s="91"/>
      <c r="B46" s="91"/>
      <c r="C46" s="91"/>
      <c r="D46" s="91"/>
      <c r="E46" s="91"/>
      <c r="F46" s="91"/>
    </row>
    <row r="47" spans="1:6" ht="11.25" x14ac:dyDescent="0.2">
      <c r="A47" s="91"/>
      <c r="B47" s="91"/>
      <c r="C47" s="91"/>
      <c r="D47" s="91"/>
      <c r="E47" s="91"/>
      <c r="F47" s="91"/>
    </row>
    <row r="48" spans="1:6" ht="11.25" x14ac:dyDescent="0.2">
      <c r="A48" s="91"/>
      <c r="B48" s="91"/>
      <c r="C48" s="91"/>
      <c r="D48" s="91"/>
      <c r="E48" s="91"/>
      <c r="F48" s="91"/>
    </row>
    <row r="49" spans="1:6" ht="11.25" x14ac:dyDescent="0.2">
      <c r="A49" s="91"/>
      <c r="B49" s="91"/>
      <c r="C49" s="91"/>
      <c r="D49" s="91"/>
      <c r="E49" s="91"/>
      <c r="F49" s="91"/>
    </row>
    <row r="50" spans="1:6" ht="11.25" x14ac:dyDescent="0.2">
      <c r="A50" s="91"/>
      <c r="B50" s="91"/>
      <c r="C50" s="91"/>
      <c r="D50" s="91"/>
      <c r="E50" s="91"/>
      <c r="F50" s="91"/>
    </row>
    <row r="51" spans="1:6" ht="11.25" x14ac:dyDescent="0.2">
      <c r="A51" s="91"/>
      <c r="B51" s="91"/>
      <c r="C51" s="91"/>
      <c r="D51" s="91"/>
      <c r="E51" s="91"/>
      <c r="F51" s="91"/>
    </row>
    <row r="52" spans="1:6" ht="11.25" x14ac:dyDescent="0.2">
      <c r="A52" s="91"/>
      <c r="B52" s="91"/>
      <c r="C52" s="91"/>
      <c r="D52" s="91"/>
      <c r="E52" s="91"/>
      <c r="F52" s="91"/>
    </row>
    <row r="53" spans="1:6" ht="11.25" x14ac:dyDescent="0.2">
      <c r="A53" s="91"/>
      <c r="B53" s="91"/>
      <c r="C53" s="91"/>
      <c r="D53" s="91"/>
      <c r="E53" s="91"/>
      <c r="F53" s="91"/>
    </row>
    <row r="54" spans="1:6" ht="11.25" x14ac:dyDescent="0.2">
      <c r="A54" s="91"/>
      <c r="B54" s="91"/>
      <c r="C54" s="91"/>
      <c r="D54" s="91"/>
      <c r="E54" s="91"/>
      <c r="F54" s="91"/>
    </row>
    <row r="55" spans="1:6" ht="11.25" x14ac:dyDescent="0.2">
      <c r="A55" s="91"/>
      <c r="B55" s="91"/>
      <c r="C55" s="91"/>
      <c r="D55" s="91"/>
      <c r="E55" s="91"/>
      <c r="F55" s="91"/>
    </row>
    <row r="56" spans="1:6" ht="11.25" x14ac:dyDescent="0.2">
      <c r="A56" s="91"/>
      <c r="B56" s="91"/>
      <c r="C56" s="91"/>
      <c r="D56" s="91"/>
      <c r="E56" s="91"/>
      <c r="F56" s="91"/>
    </row>
    <row r="57" spans="1:6" ht="11.25" x14ac:dyDescent="0.2">
      <c r="A57" s="91"/>
      <c r="B57" s="91"/>
      <c r="C57" s="91"/>
      <c r="D57" s="91"/>
      <c r="E57" s="91"/>
      <c r="F57" s="91"/>
    </row>
    <row r="58" spans="1:6" ht="11.25" x14ac:dyDescent="0.2">
      <c r="A58" s="91"/>
      <c r="B58" s="91"/>
      <c r="C58" s="91"/>
      <c r="D58" s="91"/>
      <c r="E58" s="91"/>
      <c r="F58" s="91"/>
    </row>
    <row r="59" spans="1:6" ht="11.25" x14ac:dyDescent="0.2">
      <c r="A59" s="91"/>
      <c r="B59" s="91"/>
      <c r="C59" s="91"/>
      <c r="D59" s="91"/>
      <c r="E59" s="91"/>
      <c r="F59" s="91"/>
    </row>
    <row r="60" spans="1:6" ht="11.25" x14ac:dyDescent="0.2">
      <c r="A60" s="91"/>
      <c r="B60" s="91"/>
      <c r="C60" s="91"/>
      <c r="D60" s="91"/>
      <c r="E60" s="91"/>
      <c r="F60" s="91"/>
    </row>
    <row r="61" spans="1:6" ht="11.25" x14ac:dyDescent="0.2">
      <c r="A61" s="91"/>
      <c r="B61" s="91"/>
      <c r="C61" s="91"/>
      <c r="D61" s="91"/>
      <c r="E61" s="91"/>
      <c r="F61" s="91"/>
    </row>
    <row r="62" spans="1:6" ht="11.25" x14ac:dyDescent="0.2">
      <c r="A62" s="91"/>
      <c r="B62" s="91"/>
      <c r="C62" s="91"/>
      <c r="D62" s="91"/>
      <c r="E62" s="91"/>
      <c r="F62" s="91"/>
    </row>
    <row r="63" spans="1:6" ht="11.25" x14ac:dyDescent="0.2">
      <c r="A63" s="91"/>
      <c r="B63" s="91"/>
      <c r="C63" s="91"/>
      <c r="D63" s="91"/>
      <c r="E63" s="91"/>
      <c r="F63" s="91"/>
    </row>
    <row r="64" spans="1:6" ht="11.25" x14ac:dyDescent="0.2">
      <c r="A64" s="91"/>
      <c r="B64" s="91"/>
      <c r="C64" s="91"/>
      <c r="D64" s="91"/>
      <c r="E64" s="91"/>
      <c r="F64" s="91"/>
    </row>
    <row r="65" spans="1:6" ht="11.25" x14ac:dyDescent="0.2">
      <c r="A65" s="91"/>
      <c r="B65" s="91"/>
      <c r="C65" s="91"/>
      <c r="D65" s="91"/>
      <c r="E65" s="91"/>
      <c r="F65" s="91"/>
    </row>
    <row r="66" spans="1:6" ht="11.25" x14ac:dyDescent="0.2">
      <c r="A66" s="91"/>
      <c r="B66" s="91"/>
      <c r="C66" s="91"/>
      <c r="D66" s="91"/>
      <c r="E66" s="91"/>
      <c r="F66" s="91"/>
    </row>
    <row r="67" spans="1:6" ht="11.25" x14ac:dyDescent="0.2">
      <c r="A67" s="91"/>
      <c r="B67" s="91"/>
      <c r="C67" s="91"/>
      <c r="D67" s="91"/>
      <c r="E67" s="91"/>
      <c r="F67" s="91"/>
    </row>
    <row r="68" spans="1:6" ht="11.25" x14ac:dyDescent="0.2">
      <c r="A68" s="91"/>
      <c r="B68" s="91"/>
      <c r="C68" s="91"/>
      <c r="D68" s="91"/>
      <c r="E68" s="91"/>
      <c r="F68" s="91"/>
    </row>
    <row r="69" spans="1:6" ht="11.25" x14ac:dyDescent="0.2">
      <c r="A69" s="91"/>
      <c r="B69" s="91"/>
      <c r="C69" s="91"/>
      <c r="D69" s="91"/>
      <c r="E69" s="91"/>
      <c r="F69" s="91"/>
    </row>
    <row r="70" spans="1:6" ht="11.25" x14ac:dyDescent="0.2">
      <c r="A70" s="91"/>
      <c r="B70" s="91"/>
      <c r="C70" s="91"/>
      <c r="D70" s="91"/>
      <c r="E70" s="91"/>
      <c r="F70" s="91"/>
    </row>
    <row r="71" spans="1:6" ht="11.25" x14ac:dyDescent="0.2">
      <c r="A71" s="91"/>
      <c r="B71" s="91"/>
      <c r="C71" s="91"/>
      <c r="D71" s="91"/>
      <c r="E71" s="91"/>
      <c r="F71" s="91"/>
    </row>
    <row r="72" spans="1:6" ht="11.25" x14ac:dyDescent="0.2">
      <c r="A72" s="91"/>
      <c r="B72" s="91"/>
      <c r="C72" s="91"/>
      <c r="D72" s="91"/>
      <c r="E72" s="91"/>
      <c r="F72" s="91"/>
    </row>
    <row r="73" spans="1:6" ht="11.25" x14ac:dyDescent="0.2">
      <c r="A73" s="91"/>
      <c r="B73" s="91"/>
      <c r="C73" s="91"/>
      <c r="D73" s="91"/>
      <c r="E73" s="91"/>
      <c r="F73" s="91"/>
    </row>
    <row r="74" spans="1:6" ht="11.25" x14ac:dyDescent="0.2">
      <c r="A74" s="91"/>
      <c r="B74" s="91"/>
      <c r="C74" s="91"/>
      <c r="D74" s="91"/>
      <c r="E74" s="91"/>
      <c r="F74" s="91"/>
    </row>
    <row r="75" spans="1:6" ht="11.25" x14ac:dyDescent="0.2">
      <c r="A75" s="91"/>
      <c r="B75" s="91"/>
      <c r="C75" s="91"/>
      <c r="D75" s="91"/>
      <c r="E75" s="91"/>
      <c r="F75" s="91"/>
    </row>
    <row r="76" spans="1:6" ht="11.25" x14ac:dyDescent="0.2">
      <c r="A76" s="91"/>
      <c r="B76" s="91"/>
      <c r="C76" s="91"/>
      <c r="D76" s="91"/>
      <c r="E76" s="91"/>
      <c r="F76" s="91"/>
    </row>
    <row r="77" spans="1:6" ht="11.25" x14ac:dyDescent="0.2">
      <c r="A77" s="91"/>
      <c r="B77" s="91"/>
      <c r="C77" s="91"/>
      <c r="D77" s="91"/>
      <c r="E77" s="91"/>
      <c r="F77" s="91"/>
    </row>
    <row r="78" spans="1:6" ht="11.25" x14ac:dyDescent="0.2">
      <c r="A78" s="91"/>
      <c r="B78" s="91"/>
      <c r="C78" s="91"/>
      <c r="D78" s="91"/>
      <c r="E78" s="91"/>
      <c r="F78" s="91"/>
    </row>
    <row r="79" spans="1:6" ht="11.25" x14ac:dyDescent="0.2">
      <c r="A79" s="91"/>
      <c r="B79" s="91"/>
      <c r="C79" s="91"/>
      <c r="D79" s="91"/>
      <c r="E79" s="91"/>
      <c r="F79" s="91"/>
    </row>
    <row r="80" spans="1:6" ht="11.25" x14ac:dyDescent="0.2">
      <c r="A80" s="91"/>
      <c r="B80" s="91"/>
      <c r="C80" s="91"/>
      <c r="D80" s="91"/>
      <c r="E80" s="91"/>
      <c r="F80" s="91"/>
    </row>
    <row r="81" spans="1:6" ht="11.25" x14ac:dyDescent="0.2">
      <c r="A81" s="91"/>
      <c r="B81" s="91"/>
      <c r="C81" s="91"/>
      <c r="D81" s="91"/>
      <c r="E81" s="91"/>
      <c r="F81" s="91"/>
    </row>
    <row r="82" spans="1:6" ht="11.25" x14ac:dyDescent="0.2">
      <c r="A82" s="91"/>
      <c r="B82" s="91"/>
      <c r="C82" s="91"/>
      <c r="D82" s="91"/>
      <c r="E82" s="91"/>
      <c r="F82" s="91"/>
    </row>
    <row r="83" spans="1:6" ht="11.25" x14ac:dyDescent="0.2">
      <c r="A83" s="91"/>
      <c r="B83" s="91"/>
      <c r="C83" s="91"/>
      <c r="D83" s="91"/>
      <c r="E83" s="91"/>
      <c r="F83" s="91"/>
    </row>
    <row r="84" spans="1:6" ht="11.25" x14ac:dyDescent="0.2">
      <c r="A84" s="91"/>
      <c r="B84" s="91"/>
      <c r="C84" s="91"/>
      <c r="D84" s="91"/>
      <c r="E84" s="91"/>
      <c r="F84" s="91"/>
    </row>
    <row r="85" spans="1:6" ht="11.25" x14ac:dyDescent="0.2">
      <c r="A85" s="91"/>
      <c r="B85" s="91"/>
      <c r="C85" s="91"/>
      <c r="D85" s="91"/>
      <c r="E85" s="91"/>
      <c r="F85" s="91"/>
    </row>
    <row r="86" spans="1:6" ht="11.25" x14ac:dyDescent="0.2">
      <c r="A86" s="91"/>
      <c r="B86" s="91"/>
      <c r="C86" s="91"/>
      <c r="D86" s="91"/>
      <c r="E86" s="91"/>
      <c r="F86" s="91"/>
    </row>
    <row r="87" spans="1:6" ht="11.25" x14ac:dyDescent="0.2">
      <c r="A87" s="91"/>
      <c r="B87" s="91"/>
      <c r="C87" s="91"/>
      <c r="D87" s="91"/>
      <c r="E87" s="91"/>
      <c r="F87" s="91"/>
    </row>
    <row r="88" spans="1:6" ht="11.25" x14ac:dyDescent="0.2">
      <c r="A88" s="91"/>
      <c r="B88" s="91"/>
      <c r="C88" s="91"/>
      <c r="D88" s="91"/>
      <c r="E88" s="91"/>
      <c r="F88" s="91"/>
    </row>
    <row r="89" spans="1:6" ht="11.25" x14ac:dyDescent="0.2">
      <c r="A89" s="91"/>
      <c r="B89" s="91"/>
      <c r="C89" s="91"/>
      <c r="D89" s="91"/>
      <c r="E89" s="91"/>
      <c r="F89" s="91"/>
    </row>
    <row r="90" spans="1:6" ht="11.25" x14ac:dyDescent="0.2">
      <c r="A90" s="91"/>
      <c r="B90" s="91"/>
      <c r="C90" s="91"/>
      <c r="D90" s="91"/>
      <c r="E90" s="91"/>
      <c r="F90" s="91"/>
    </row>
    <row r="91" spans="1:6" ht="11.25" x14ac:dyDescent="0.2">
      <c r="A91" s="91"/>
      <c r="B91" s="91"/>
      <c r="C91" s="91"/>
      <c r="D91" s="91"/>
      <c r="E91" s="91"/>
      <c r="F91" s="91"/>
    </row>
    <row r="92" spans="1:6" ht="11.25" x14ac:dyDescent="0.2">
      <c r="A92" s="91"/>
      <c r="B92" s="91"/>
      <c r="C92" s="91"/>
      <c r="D92" s="91"/>
      <c r="E92" s="91"/>
      <c r="F92" s="91"/>
    </row>
    <row r="93" spans="1:6" ht="11.25" x14ac:dyDescent="0.2">
      <c r="A93" s="91"/>
      <c r="B93" s="91"/>
      <c r="C93" s="91"/>
      <c r="D93" s="91"/>
      <c r="E93" s="91"/>
      <c r="F93" s="91"/>
    </row>
    <row r="94" spans="1:6" ht="11.25" x14ac:dyDescent="0.2">
      <c r="A94" s="91"/>
      <c r="B94" s="91"/>
      <c r="C94" s="91"/>
      <c r="D94" s="91"/>
      <c r="E94" s="91"/>
      <c r="F94" s="91"/>
    </row>
    <row r="95" spans="1:6" ht="11.25" x14ac:dyDescent="0.2">
      <c r="A95" s="91"/>
      <c r="B95" s="91"/>
      <c r="C95" s="91"/>
      <c r="D95" s="91"/>
      <c r="E95" s="91"/>
      <c r="F95" s="91"/>
    </row>
    <row r="96" spans="1:6" ht="11.25" x14ac:dyDescent="0.2">
      <c r="A96" s="91"/>
      <c r="B96" s="91"/>
      <c r="C96" s="91"/>
      <c r="D96" s="91"/>
      <c r="E96" s="91"/>
      <c r="F96" s="91"/>
    </row>
    <row r="97" spans="1:6" ht="11.25" x14ac:dyDescent="0.2">
      <c r="A97" s="91"/>
      <c r="B97" s="91"/>
      <c r="C97" s="91"/>
      <c r="D97" s="91"/>
      <c r="E97" s="91"/>
      <c r="F97" s="91"/>
    </row>
    <row r="98" spans="1:6" ht="11.25" x14ac:dyDescent="0.2">
      <c r="A98" s="91"/>
      <c r="B98" s="91"/>
      <c r="C98" s="91"/>
      <c r="D98" s="91"/>
      <c r="E98" s="91"/>
      <c r="F98" s="91"/>
    </row>
    <row r="99" spans="1:6" ht="11.25" x14ac:dyDescent="0.2">
      <c r="A99" s="91"/>
      <c r="B99" s="91"/>
      <c r="C99" s="91"/>
      <c r="D99" s="91"/>
      <c r="E99" s="91"/>
      <c r="F99" s="91"/>
    </row>
    <row r="100" spans="1:6" ht="11.25" x14ac:dyDescent="0.2">
      <c r="A100" s="91"/>
      <c r="B100" s="91"/>
      <c r="C100" s="91"/>
      <c r="D100" s="91"/>
      <c r="E100" s="91"/>
      <c r="F100" s="91"/>
    </row>
    <row r="101" spans="1:6" ht="11.25" x14ac:dyDescent="0.2">
      <c r="A101" s="91"/>
      <c r="B101" s="91"/>
      <c r="C101" s="91"/>
      <c r="D101" s="91"/>
      <c r="E101" s="91"/>
      <c r="F101" s="91"/>
    </row>
    <row r="102" spans="1:6" ht="11.25" x14ac:dyDescent="0.2">
      <c r="A102" s="91"/>
      <c r="B102" s="91"/>
      <c r="C102" s="91"/>
      <c r="D102" s="91"/>
      <c r="E102" s="91"/>
      <c r="F102" s="91"/>
    </row>
    <row r="103" spans="1:6" ht="11.25" x14ac:dyDescent="0.2">
      <c r="A103" s="91"/>
      <c r="B103" s="91"/>
      <c r="C103" s="91"/>
      <c r="D103" s="91"/>
      <c r="E103" s="91"/>
      <c r="F103" s="91"/>
    </row>
    <row r="104" spans="1:6" ht="11.25" x14ac:dyDescent="0.2">
      <c r="A104" s="91"/>
      <c r="B104" s="91"/>
      <c r="C104" s="91"/>
      <c r="D104" s="91"/>
      <c r="E104" s="91"/>
      <c r="F104" s="91"/>
    </row>
    <row r="105" spans="1:6" ht="11.25" x14ac:dyDescent="0.2">
      <c r="A105" s="91"/>
      <c r="B105" s="91"/>
      <c r="C105" s="91"/>
      <c r="D105" s="91"/>
      <c r="E105" s="91"/>
      <c r="F105" s="91"/>
    </row>
    <row r="106" spans="1:6" ht="11.25" x14ac:dyDescent="0.2">
      <c r="A106" s="91"/>
      <c r="B106" s="91"/>
      <c r="C106" s="91"/>
      <c r="D106" s="91"/>
      <c r="E106" s="91"/>
      <c r="F106" s="91"/>
    </row>
    <row r="107" spans="1:6" ht="11.25" x14ac:dyDescent="0.2">
      <c r="A107" s="91"/>
      <c r="B107" s="91"/>
      <c r="C107" s="91"/>
      <c r="D107" s="91"/>
      <c r="E107" s="91"/>
      <c r="F107" s="91"/>
    </row>
    <row r="108" spans="1:6" ht="11.25" x14ac:dyDescent="0.2">
      <c r="A108" s="91"/>
      <c r="B108" s="91"/>
      <c r="C108" s="91"/>
      <c r="D108" s="91"/>
      <c r="E108" s="91"/>
      <c r="F108" s="91"/>
    </row>
    <row r="109" spans="1:6" ht="11.25" x14ac:dyDescent="0.2">
      <c r="A109" s="91"/>
      <c r="B109" s="91"/>
      <c r="C109" s="91"/>
      <c r="D109" s="91"/>
      <c r="E109" s="91"/>
      <c r="F109" s="91"/>
    </row>
    <row r="110" spans="1:6" ht="11.25" x14ac:dyDescent="0.2">
      <c r="A110" s="91"/>
      <c r="B110" s="91"/>
      <c r="C110" s="91"/>
      <c r="D110" s="91"/>
      <c r="E110" s="91"/>
      <c r="F110" s="91"/>
    </row>
    <row r="111" spans="1:6" ht="11.25" x14ac:dyDescent="0.2">
      <c r="A111" s="91"/>
      <c r="B111" s="91"/>
      <c r="C111" s="91"/>
      <c r="D111" s="91"/>
      <c r="E111" s="91"/>
      <c r="F111" s="91"/>
    </row>
    <row r="112" spans="1:6" ht="11.25" x14ac:dyDescent="0.2">
      <c r="A112" s="91"/>
      <c r="B112" s="91"/>
      <c r="C112" s="91"/>
      <c r="D112" s="91"/>
      <c r="E112" s="91"/>
      <c r="F112" s="91"/>
    </row>
    <row r="113" spans="1:6" ht="11.25" x14ac:dyDescent="0.2">
      <c r="A113" s="91"/>
      <c r="B113" s="91"/>
      <c r="C113" s="91"/>
      <c r="D113" s="91"/>
      <c r="E113" s="91"/>
      <c r="F113" s="91"/>
    </row>
    <row r="114" spans="1:6" ht="11.25" x14ac:dyDescent="0.2">
      <c r="A114" s="91"/>
      <c r="B114" s="91"/>
      <c r="C114" s="91"/>
      <c r="D114" s="91"/>
      <c r="E114" s="91"/>
      <c r="F114" s="91"/>
    </row>
    <row r="115" spans="1:6" ht="11.25" x14ac:dyDescent="0.2">
      <c r="A115" s="91"/>
      <c r="B115" s="91"/>
      <c r="C115" s="91"/>
      <c r="D115" s="91"/>
      <c r="E115" s="91"/>
      <c r="F115" s="91"/>
    </row>
    <row r="116" spans="1:6" ht="11.25" x14ac:dyDescent="0.2">
      <c r="A116" s="91"/>
      <c r="B116" s="91"/>
      <c r="C116" s="91"/>
      <c r="D116" s="91"/>
      <c r="E116" s="91"/>
      <c r="F116" s="91"/>
    </row>
    <row r="117" spans="1:6" ht="11.25" x14ac:dyDescent="0.2">
      <c r="A117" s="91"/>
      <c r="B117" s="91"/>
      <c r="C117" s="91"/>
      <c r="D117" s="91"/>
      <c r="E117" s="91"/>
      <c r="F117" s="91"/>
    </row>
    <row r="118" spans="1:6" ht="11.25" x14ac:dyDescent="0.2">
      <c r="A118" s="91"/>
      <c r="B118" s="91"/>
      <c r="C118" s="91"/>
      <c r="D118" s="91"/>
      <c r="E118" s="91"/>
      <c r="F118" s="91"/>
    </row>
    <row r="119" spans="1:6" ht="11.25" x14ac:dyDescent="0.2">
      <c r="A119" s="91"/>
      <c r="B119" s="91"/>
      <c r="C119" s="91"/>
      <c r="D119" s="91"/>
      <c r="E119" s="91"/>
      <c r="F119" s="91"/>
    </row>
    <row r="120" spans="1:6" ht="11.25" x14ac:dyDescent="0.2">
      <c r="A120" s="91"/>
      <c r="B120" s="91"/>
      <c r="C120" s="91"/>
      <c r="D120" s="91"/>
      <c r="E120" s="91"/>
      <c r="F120" s="91"/>
    </row>
    <row r="121" spans="1:6" ht="11.25" x14ac:dyDescent="0.2">
      <c r="A121" s="91"/>
      <c r="B121" s="91"/>
      <c r="C121" s="91"/>
      <c r="D121" s="91"/>
      <c r="E121" s="91"/>
      <c r="F121" s="91"/>
    </row>
    <row r="122" spans="1:6" ht="11.25" x14ac:dyDescent="0.2">
      <c r="A122" s="91"/>
      <c r="B122" s="91"/>
      <c r="C122" s="91"/>
      <c r="D122" s="91"/>
      <c r="E122" s="91"/>
      <c r="F122" s="91"/>
    </row>
    <row r="123" spans="1:6" ht="11.25" x14ac:dyDescent="0.2">
      <c r="A123" s="91"/>
      <c r="B123" s="91"/>
      <c r="C123" s="91"/>
      <c r="D123" s="91"/>
      <c r="E123" s="91"/>
      <c r="F123" s="91"/>
    </row>
    <row r="124" spans="1:6" ht="11.25" x14ac:dyDescent="0.2">
      <c r="A124" s="91"/>
      <c r="B124" s="91"/>
      <c r="C124" s="91"/>
      <c r="D124" s="91"/>
      <c r="E124" s="91"/>
      <c r="F124" s="91"/>
    </row>
    <row r="125" spans="1:6" ht="11.25" x14ac:dyDescent="0.2">
      <c r="A125" s="91"/>
      <c r="B125" s="91"/>
      <c r="C125" s="91"/>
      <c r="D125" s="91"/>
      <c r="E125" s="91"/>
      <c r="F125" s="91"/>
    </row>
    <row r="126" spans="1:6" ht="11.25" x14ac:dyDescent="0.2">
      <c r="A126" s="91"/>
      <c r="B126" s="91"/>
      <c r="C126" s="91"/>
      <c r="D126" s="91"/>
      <c r="E126" s="91"/>
      <c r="F126" s="91"/>
    </row>
    <row r="127" spans="1:6" ht="11.25" x14ac:dyDescent="0.2">
      <c r="A127" s="91"/>
      <c r="B127" s="91"/>
      <c r="C127" s="91"/>
      <c r="D127" s="91"/>
      <c r="E127" s="91"/>
      <c r="F127" s="91"/>
    </row>
    <row r="128" spans="1:6" ht="11.25" x14ac:dyDescent="0.2">
      <c r="A128" s="91"/>
      <c r="B128" s="91"/>
      <c r="C128" s="91"/>
      <c r="D128" s="91"/>
      <c r="E128" s="91"/>
      <c r="F128" s="91"/>
    </row>
    <row r="129" spans="1:6" ht="11.25" x14ac:dyDescent="0.2">
      <c r="A129" s="91"/>
      <c r="B129" s="91"/>
      <c r="C129" s="91"/>
      <c r="D129" s="91"/>
      <c r="E129" s="91"/>
      <c r="F129" s="91"/>
    </row>
    <row r="130" spans="1:6" ht="11.25" x14ac:dyDescent="0.2">
      <c r="A130" s="91"/>
      <c r="B130" s="91"/>
      <c r="C130" s="91"/>
      <c r="D130" s="91"/>
      <c r="E130" s="91"/>
      <c r="F130" s="91"/>
    </row>
    <row r="131" spans="1:6" ht="11.25" x14ac:dyDescent="0.2">
      <c r="A131" s="91"/>
      <c r="B131" s="91"/>
      <c r="C131" s="91"/>
      <c r="D131" s="91"/>
      <c r="E131" s="91"/>
      <c r="F131" s="91"/>
    </row>
    <row r="132" spans="1:6" ht="11.25" x14ac:dyDescent="0.2">
      <c r="A132" s="91"/>
      <c r="B132" s="91"/>
      <c r="C132" s="91"/>
      <c r="D132" s="91"/>
      <c r="E132" s="91"/>
      <c r="F132" s="91"/>
    </row>
    <row r="133" spans="1:6" ht="11.25" x14ac:dyDescent="0.2">
      <c r="A133" s="91"/>
      <c r="B133" s="91"/>
      <c r="C133" s="91"/>
      <c r="D133" s="91"/>
      <c r="E133" s="91"/>
      <c r="F133" s="91"/>
    </row>
    <row r="134" spans="1:6" ht="11.25" x14ac:dyDescent="0.2">
      <c r="A134" s="91"/>
      <c r="B134" s="91"/>
      <c r="C134" s="91"/>
      <c r="D134" s="91"/>
      <c r="E134" s="91"/>
      <c r="F134" s="91"/>
    </row>
    <row r="135" spans="1:6" ht="11.25" x14ac:dyDescent="0.2">
      <c r="A135" s="91"/>
      <c r="B135" s="91"/>
      <c r="C135" s="91"/>
      <c r="D135" s="91"/>
      <c r="E135" s="91"/>
      <c r="F135" s="91"/>
    </row>
    <row r="136" spans="1:6" ht="11.25" x14ac:dyDescent="0.2">
      <c r="A136" s="91"/>
      <c r="B136" s="91"/>
      <c r="C136" s="91"/>
      <c r="D136" s="91"/>
      <c r="E136" s="91"/>
      <c r="F136" s="91"/>
    </row>
    <row r="137" spans="1:6" ht="11.25" x14ac:dyDescent="0.2">
      <c r="A137" s="91"/>
      <c r="B137" s="91"/>
      <c r="C137" s="91"/>
      <c r="D137" s="91"/>
      <c r="E137" s="91"/>
      <c r="F137" s="91"/>
    </row>
    <row r="138" spans="1:6" ht="11.25" x14ac:dyDescent="0.2">
      <c r="A138" s="91"/>
      <c r="B138" s="91"/>
      <c r="C138" s="91"/>
      <c r="D138" s="91"/>
      <c r="E138" s="91"/>
      <c r="F138" s="91"/>
    </row>
    <row r="139" spans="1:6" ht="11.25" x14ac:dyDescent="0.2">
      <c r="A139" s="91"/>
      <c r="B139" s="91"/>
      <c r="C139" s="91"/>
      <c r="D139" s="91"/>
      <c r="E139" s="91"/>
      <c r="F139" s="91"/>
    </row>
    <row r="140" spans="1:6" ht="11.25" x14ac:dyDescent="0.2">
      <c r="A140" s="91"/>
      <c r="B140" s="91"/>
      <c r="C140" s="91"/>
      <c r="D140" s="91"/>
      <c r="E140" s="91"/>
      <c r="F140" s="91"/>
    </row>
    <row r="141" spans="1:6" ht="11.25" x14ac:dyDescent="0.2">
      <c r="A141" s="91"/>
      <c r="B141" s="91"/>
      <c r="C141" s="91"/>
      <c r="D141" s="91"/>
      <c r="E141" s="91"/>
      <c r="F141" s="91"/>
    </row>
    <row r="142" spans="1:6" ht="11.25" x14ac:dyDescent="0.2">
      <c r="A142" s="91"/>
      <c r="B142" s="91"/>
      <c r="C142" s="91"/>
      <c r="D142" s="91"/>
      <c r="E142" s="91"/>
      <c r="F142" s="91"/>
    </row>
    <row r="143" spans="1:6" ht="11.25" x14ac:dyDescent="0.2">
      <c r="A143" s="91"/>
      <c r="B143" s="91"/>
      <c r="C143" s="91"/>
      <c r="D143" s="91"/>
      <c r="E143" s="91"/>
      <c r="F143" s="91"/>
    </row>
    <row r="144" spans="1:6" ht="11.25" x14ac:dyDescent="0.2">
      <c r="A144" s="91"/>
      <c r="B144" s="91"/>
      <c r="C144" s="91"/>
      <c r="D144" s="91"/>
      <c r="E144" s="91"/>
      <c r="F144" s="91"/>
    </row>
    <row r="145" spans="1:6" ht="11.25" x14ac:dyDescent="0.2">
      <c r="A145" s="91"/>
      <c r="B145" s="91"/>
      <c r="C145" s="91"/>
      <c r="D145" s="91"/>
      <c r="E145" s="91"/>
      <c r="F145" s="91"/>
    </row>
    <row r="146" spans="1:6" ht="11.25" x14ac:dyDescent="0.2">
      <c r="A146" s="91"/>
      <c r="B146" s="91"/>
      <c r="C146" s="91"/>
      <c r="D146" s="91"/>
      <c r="E146" s="91"/>
      <c r="F146" s="91"/>
    </row>
    <row r="147" spans="1:6" ht="11.25" x14ac:dyDescent="0.2">
      <c r="A147" s="91"/>
      <c r="B147" s="91"/>
      <c r="C147" s="91"/>
      <c r="D147" s="91"/>
      <c r="E147" s="91"/>
      <c r="F147" s="91"/>
    </row>
    <row r="148" spans="1:6" ht="11.25" x14ac:dyDescent="0.2">
      <c r="A148" s="91"/>
      <c r="B148" s="91"/>
      <c r="C148" s="91"/>
      <c r="D148" s="91"/>
      <c r="E148" s="91"/>
      <c r="F148" s="91"/>
    </row>
    <row r="149" spans="1:6" ht="11.25" x14ac:dyDescent="0.2">
      <c r="A149" s="91"/>
      <c r="B149" s="91"/>
      <c r="C149" s="91"/>
      <c r="D149" s="91"/>
      <c r="E149" s="91"/>
      <c r="F149" s="91"/>
    </row>
    <row r="150" spans="1:6" ht="11.25" x14ac:dyDescent="0.2">
      <c r="A150" s="91"/>
      <c r="B150" s="91"/>
      <c r="C150" s="91"/>
      <c r="D150" s="91"/>
      <c r="E150" s="91"/>
      <c r="F150" s="91"/>
    </row>
    <row r="151" spans="1:6" ht="11.25" x14ac:dyDescent="0.2">
      <c r="A151" s="91"/>
      <c r="B151" s="91"/>
      <c r="C151" s="91"/>
      <c r="D151" s="91"/>
      <c r="E151" s="91"/>
      <c r="F151" s="91"/>
    </row>
    <row r="152" spans="1:6" ht="11.25" x14ac:dyDescent="0.2">
      <c r="A152" s="91"/>
      <c r="B152" s="91"/>
      <c r="C152" s="91"/>
      <c r="D152" s="91"/>
      <c r="E152" s="91"/>
      <c r="F152" s="91"/>
    </row>
    <row r="153" spans="1:6" ht="11.25" x14ac:dyDescent="0.2">
      <c r="A153" s="91"/>
      <c r="B153" s="91"/>
      <c r="C153" s="91"/>
      <c r="D153" s="91"/>
      <c r="E153" s="91"/>
      <c r="F153" s="91"/>
    </row>
    <row r="154" spans="1:6" ht="11.25" x14ac:dyDescent="0.2">
      <c r="A154" s="91"/>
      <c r="B154" s="91"/>
      <c r="C154" s="91"/>
      <c r="D154" s="91"/>
      <c r="E154" s="91"/>
      <c r="F154" s="91"/>
    </row>
    <row r="155" spans="1:6" ht="11.25" x14ac:dyDescent="0.2">
      <c r="A155" s="91"/>
      <c r="B155" s="91"/>
      <c r="C155" s="91"/>
      <c r="D155" s="91"/>
      <c r="E155" s="91"/>
      <c r="F155" s="91"/>
    </row>
    <row r="156" spans="1:6" ht="11.25" x14ac:dyDescent="0.2">
      <c r="A156" s="91"/>
      <c r="B156" s="91"/>
      <c r="C156" s="91"/>
      <c r="D156" s="91"/>
      <c r="E156" s="91"/>
      <c r="F156" s="91"/>
    </row>
    <row r="157" spans="1:6" ht="11.25" x14ac:dyDescent="0.2">
      <c r="A157" s="91"/>
      <c r="B157" s="91"/>
      <c r="C157" s="91"/>
      <c r="D157" s="91"/>
      <c r="E157" s="91"/>
      <c r="F157" s="91"/>
    </row>
    <row r="158" spans="1:6" ht="11.25" x14ac:dyDescent="0.2">
      <c r="A158" s="91"/>
      <c r="B158" s="91"/>
      <c r="C158" s="91"/>
      <c r="D158" s="91"/>
      <c r="E158" s="91"/>
      <c r="F158" s="91"/>
    </row>
    <row r="159" spans="1:6" ht="11.25" x14ac:dyDescent="0.2">
      <c r="A159" s="91"/>
      <c r="B159" s="91"/>
      <c r="C159" s="91"/>
      <c r="D159" s="91"/>
      <c r="E159" s="91"/>
      <c r="F159" s="91"/>
    </row>
    <row r="160" spans="1:6" ht="11.25" x14ac:dyDescent="0.2">
      <c r="A160" s="91"/>
      <c r="B160" s="91"/>
      <c r="C160" s="91"/>
      <c r="D160" s="91"/>
      <c r="E160" s="91"/>
      <c r="F160" s="91"/>
    </row>
    <row r="161" spans="1:6" ht="11.25" x14ac:dyDescent="0.2">
      <c r="A161" s="91"/>
      <c r="B161" s="91"/>
      <c r="C161" s="91"/>
      <c r="D161" s="91"/>
      <c r="E161" s="91"/>
      <c r="F161" s="91"/>
    </row>
    <row r="162" spans="1:6" ht="11.25" x14ac:dyDescent="0.2">
      <c r="A162" s="91"/>
      <c r="B162" s="91"/>
      <c r="C162" s="91"/>
      <c r="D162" s="91"/>
      <c r="E162" s="91"/>
      <c r="F162" s="91"/>
    </row>
    <row r="163" spans="1:6" ht="11.25" x14ac:dyDescent="0.2">
      <c r="A163" s="91"/>
      <c r="B163" s="91"/>
      <c r="C163" s="91"/>
      <c r="D163" s="91"/>
      <c r="E163" s="91"/>
      <c r="F163" s="91"/>
    </row>
    <row r="164" spans="1:6" ht="11.25" x14ac:dyDescent="0.2">
      <c r="A164" s="91"/>
      <c r="B164" s="91"/>
      <c r="C164" s="91"/>
      <c r="D164" s="91"/>
      <c r="E164" s="91"/>
      <c r="F164" s="91"/>
    </row>
    <row r="165" spans="1:6" ht="11.25" x14ac:dyDescent="0.2">
      <c r="A165" s="91"/>
      <c r="B165" s="91"/>
      <c r="C165" s="91"/>
      <c r="D165" s="91"/>
      <c r="E165" s="91"/>
      <c r="F165" s="91"/>
    </row>
    <row r="166" spans="1:6" ht="11.25" x14ac:dyDescent="0.2">
      <c r="A166" s="91"/>
      <c r="B166" s="91"/>
      <c r="C166" s="91"/>
      <c r="D166" s="91"/>
      <c r="E166" s="91"/>
      <c r="F166" s="91"/>
    </row>
    <row r="167" spans="1:6" ht="11.25" x14ac:dyDescent="0.2">
      <c r="A167" s="91"/>
      <c r="B167" s="91"/>
      <c r="C167" s="91"/>
      <c r="D167" s="91"/>
      <c r="E167" s="91"/>
      <c r="F167" s="91"/>
    </row>
    <row r="168" spans="1:6" ht="11.25" x14ac:dyDescent="0.2">
      <c r="A168" s="91"/>
      <c r="B168" s="91"/>
      <c r="C168" s="91"/>
      <c r="D168" s="91"/>
      <c r="E168" s="91"/>
      <c r="F168" s="91"/>
    </row>
  </sheetData>
  <mergeCells count="1">
    <mergeCell ref="A21:D21"/>
  </mergeCells>
  <phoneticPr fontId="0" type="noConversion"/>
  <printOptions horizontalCentered="1"/>
  <pageMargins left="0.5" right="0.5" top="1" bottom="1" header="0.5" footer="0.5"/>
  <pageSetup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125"/>
  <sheetViews>
    <sheetView workbookViewId="0">
      <selection activeCell="M32" sqref="M32"/>
    </sheetView>
  </sheetViews>
  <sheetFormatPr defaultColWidth="9.83203125" defaultRowHeight="10.5" x14ac:dyDescent="0.15"/>
  <cols>
    <col min="1" max="1" width="28.33203125" bestFit="1" customWidth="1"/>
    <col min="2" max="2" width="4.83203125" customWidth="1"/>
    <col min="3" max="3" width="52.6640625" bestFit="1" customWidth="1"/>
  </cols>
  <sheetData>
    <row r="1" spans="1:8" ht="12.75" x14ac:dyDescent="0.2">
      <c r="A1" s="90"/>
      <c r="B1" s="90"/>
      <c r="C1" s="90"/>
      <c r="D1" s="90"/>
      <c r="E1" s="90"/>
      <c r="F1" s="91"/>
      <c r="G1" s="91"/>
      <c r="H1" s="91"/>
    </row>
    <row r="2" spans="1:8" ht="12.75" x14ac:dyDescent="0.2">
      <c r="A2" s="90"/>
      <c r="B2" s="90"/>
      <c r="C2" s="90"/>
      <c r="D2" s="90"/>
      <c r="E2" s="90"/>
      <c r="F2" s="91"/>
      <c r="G2" s="91"/>
      <c r="H2" s="91"/>
    </row>
    <row r="3" spans="1:8" ht="12.75" x14ac:dyDescent="0.2">
      <c r="A3" s="90"/>
      <c r="B3" s="90"/>
      <c r="C3" s="90"/>
      <c r="D3" s="90"/>
      <c r="E3" s="90"/>
      <c r="F3" s="91"/>
      <c r="G3" s="91"/>
      <c r="H3" s="91"/>
    </row>
    <row r="4" spans="1:8" ht="12.75" x14ac:dyDescent="0.2">
      <c r="A4" s="90"/>
      <c r="B4" s="90"/>
      <c r="C4" s="90"/>
      <c r="D4" s="90"/>
      <c r="E4" s="90"/>
      <c r="F4" s="91"/>
      <c r="G4" s="91"/>
      <c r="H4" s="91"/>
    </row>
    <row r="5" spans="1:8" ht="12.75" x14ac:dyDescent="0.2">
      <c r="A5" s="90"/>
      <c r="B5" s="90"/>
      <c r="C5" s="113" t="s">
        <v>90</v>
      </c>
      <c r="D5" s="90"/>
      <c r="E5" s="90"/>
      <c r="F5" s="91"/>
      <c r="G5" s="91"/>
      <c r="H5" s="91"/>
    </row>
    <row r="6" spans="1:8" ht="12.75" x14ac:dyDescent="0.2">
      <c r="A6" s="90"/>
      <c r="B6" s="90"/>
      <c r="C6" s="90"/>
      <c r="D6" s="90"/>
      <c r="E6" s="90"/>
      <c r="F6" s="91"/>
      <c r="G6" s="91"/>
      <c r="H6" s="91"/>
    </row>
    <row r="7" spans="1:8" ht="12.75" x14ac:dyDescent="0.2">
      <c r="A7" s="90"/>
      <c r="B7" s="90"/>
      <c r="C7" s="113" t="s">
        <v>869</v>
      </c>
      <c r="D7" s="90"/>
      <c r="E7" s="90"/>
      <c r="F7" s="91"/>
      <c r="G7" s="91"/>
      <c r="H7" s="91"/>
    </row>
    <row r="8" spans="1:8" ht="12.75" x14ac:dyDescent="0.2">
      <c r="A8" s="90"/>
      <c r="B8" s="90"/>
      <c r="C8" s="90"/>
      <c r="D8" s="90"/>
      <c r="E8" s="90"/>
      <c r="F8" s="91"/>
      <c r="G8" s="91"/>
      <c r="H8" s="91"/>
    </row>
    <row r="9" spans="1:8" ht="12.75" x14ac:dyDescent="0.2">
      <c r="A9" s="112" t="s">
        <v>476</v>
      </c>
      <c r="B9" s="90"/>
      <c r="C9" s="113" t="s">
        <v>477</v>
      </c>
      <c r="D9" s="90"/>
      <c r="E9" s="90"/>
      <c r="F9" s="91"/>
      <c r="G9" s="91"/>
      <c r="H9" s="91"/>
    </row>
    <row r="10" spans="1:8" ht="12.75" x14ac:dyDescent="0.2">
      <c r="A10" s="90"/>
      <c r="B10" s="90"/>
      <c r="C10" s="90"/>
      <c r="D10" s="90"/>
      <c r="E10" s="90"/>
      <c r="F10" s="91"/>
      <c r="G10" s="91"/>
      <c r="H10" s="91"/>
    </row>
    <row r="11" spans="1:8" ht="12.75" x14ac:dyDescent="0.2">
      <c r="A11" s="112" t="s">
        <v>91</v>
      </c>
      <c r="B11" s="90"/>
      <c r="C11" s="113" t="str">
        <f>+Input!C4</f>
        <v>CASE NO. 2017-xxxxx</v>
      </c>
      <c r="D11" s="90"/>
      <c r="E11" s="90"/>
      <c r="F11" s="91"/>
      <c r="G11" s="91"/>
      <c r="H11" s="91"/>
    </row>
    <row r="12" spans="1:8" ht="12.75" x14ac:dyDescent="0.2">
      <c r="A12" s="112"/>
      <c r="B12" s="90"/>
      <c r="C12" s="113"/>
      <c r="D12" s="90"/>
      <c r="E12" s="90"/>
      <c r="F12" s="91"/>
      <c r="G12" s="91"/>
      <c r="H12" s="91"/>
    </row>
    <row r="13" spans="1:8" ht="12.75" x14ac:dyDescent="0.2">
      <c r="A13" s="112" t="s">
        <v>843</v>
      </c>
      <c r="B13" s="90"/>
      <c r="C13" s="113" t="str">
        <f>+Input!C6</f>
        <v>TWELVE MONTHS ENDED DECEMBER 31, 2017</v>
      </c>
      <c r="D13" s="90"/>
      <c r="E13" s="90"/>
      <c r="F13" s="91"/>
      <c r="G13" s="91"/>
      <c r="H13" s="91"/>
    </row>
    <row r="14" spans="1:8" ht="12.75" x14ac:dyDescent="0.2">
      <c r="A14" s="90"/>
      <c r="B14" s="90"/>
      <c r="C14" s="90"/>
      <c r="D14" s="90"/>
      <c r="E14" s="90"/>
      <c r="F14" s="91"/>
      <c r="G14" s="91"/>
      <c r="H14" s="91"/>
    </row>
    <row r="15" spans="1:8" ht="12.75" x14ac:dyDescent="0.2">
      <c r="A15" s="112" t="s">
        <v>478</v>
      </c>
      <c r="B15" s="90"/>
      <c r="C15" s="113" t="str">
        <f>+Input!C6</f>
        <v>TWELVE MONTHS ENDED DECEMBER 31, 2017</v>
      </c>
      <c r="D15" s="90"/>
      <c r="E15" s="90"/>
      <c r="F15" s="91"/>
      <c r="G15" s="91"/>
      <c r="H15" s="91"/>
    </row>
    <row r="16" spans="1:8" ht="12.75" x14ac:dyDescent="0.2">
      <c r="A16" s="90"/>
      <c r="B16" s="90"/>
      <c r="C16" s="90"/>
      <c r="D16" s="90"/>
      <c r="E16" s="90"/>
      <c r="F16" s="91"/>
      <c r="G16" s="91"/>
      <c r="H16" s="91"/>
    </row>
    <row r="17" spans="1:8" ht="12.75" x14ac:dyDescent="0.2">
      <c r="A17" s="90"/>
      <c r="B17" s="90"/>
      <c r="C17" s="90"/>
      <c r="D17" s="90"/>
      <c r="E17" s="90"/>
      <c r="F17" s="91"/>
      <c r="G17" s="91"/>
      <c r="H17" s="91"/>
    </row>
    <row r="18" spans="1:8" ht="12.75" x14ac:dyDescent="0.2">
      <c r="A18" s="115" t="s">
        <v>479</v>
      </c>
      <c r="B18" s="116"/>
      <c r="C18" s="117" t="s">
        <v>480</v>
      </c>
      <c r="D18" s="116"/>
      <c r="E18" s="116"/>
      <c r="F18" s="118"/>
      <c r="G18" s="118"/>
      <c r="H18" s="118"/>
    </row>
    <row r="19" spans="1:8" ht="12.75" x14ac:dyDescent="0.2">
      <c r="A19" s="114"/>
      <c r="B19" s="90"/>
      <c r="C19" s="90"/>
      <c r="D19" s="90"/>
      <c r="E19" s="90"/>
      <c r="F19" s="91"/>
      <c r="G19" s="91"/>
      <c r="H19" s="91"/>
    </row>
    <row r="20" spans="1:8" ht="12.75" x14ac:dyDescent="0.2">
      <c r="A20" s="112" t="s">
        <v>112</v>
      </c>
      <c r="B20" s="90"/>
      <c r="C20" s="90" t="s">
        <v>860</v>
      </c>
      <c r="D20" s="90"/>
      <c r="E20" s="90"/>
      <c r="F20" s="91"/>
      <c r="G20" s="91"/>
      <c r="H20" s="91"/>
    </row>
    <row r="21" spans="1:8" ht="12.75" x14ac:dyDescent="0.2">
      <c r="A21" s="90"/>
      <c r="B21" s="90"/>
      <c r="C21" s="90"/>
      <c r="D21" s="90"/>
      <c r="E21" s="90"/>
      <c r="F21" s="91"/>
      <c r="G21" s="91"/>
      <c r="H21" s="91"/>
    </row>
    <row r="22" spans="1:8" ht="11.25" x14ac:dyDescent="0.2">
      <c r="A22" s="91"/>
      <c r="B22" s="91"/>
      <c r="C22" s="91"/>
      <c r="D22" s="91"/>
      <c r="E22" s="91"/>
      <c r="F22" s="91"/>
      <c r="G22" s="91"/>
      <c r="H22" s="91"/>
    </row>
    <row r="23" spans="1:8" ht="11.25" x14ac:dyDescent="0.2">
      <c r="A23" s="91"/>
      <c r="B23" s="91"/>
      <c r="C23" s="91"/>
      <c r="D23" s="91"/>
      <c r="E23" s="91"/>
      <c r="F23" s="91"/>
      <c r="G23" s="91"/>
      <c r="H23" s="91"/>
    </row>
    <row r="24" spans="1:8" ht="11.25" x14ac:dyDescent="0.2">
      <c r="A24" s="91"/>
      <c r="B24" s="91"/>
      <c r="C24" s="91"/>
      <c r="D24" s="91"/>
      <c r="E24" s="91"/>
      <c r="F24" s="91"/>
      <c r="G24" s="91"/>
      <c r="H24" s="91"/>
    </row>
    <row r="25" spans="1:8" ht="11.25" x14ac:dyDescent="0.2">
      <c r="A25" s="91"/>
      <c r="B25" s="91"/>
      <c r="C25" s="91"/>
      <c r="D25" s="91"/>
      <c r="E25" s="91"/>
      <c r="F25" s="91"/>
      <c r="G25" s="91"/>
      <c r="H25" s="91"/>
    </row>
    <row r="26" spans="1:8" ht="11.25" x14ac:dyDescent="0.2">
      <c r="A26" s="91"/>
      <c r="B26" s="91"/>
      <c r="C26" s="91"/>
      <c r="D26" s="91"/>
      <c r="E26" s="91"/>
      <c r="F26" s="91"/>
      <c r="G26" s="91"/>
      <c r="H26" s="91"/>
    </row>
    <row r="27" spans="1:8" ht="11.25" x14ac:dyDescent="0.2">
      <c r="A27" s="91"/>
      <c r="B27" s="91"/>
      <c r="C27" s="91"/>
      <c r="D27" s="91"/>
      <c r="E27" s="91"/>
      <c r="F27" s="91"/>
      <c r="G27" s="91"/>
      <c r="H27" s="91"/>
    </row>
    <row r="28" spans="1:8" ht="11.25" x14ac:dyDescent="0.2">
      <c r="A28" s="91"/>
      <c r="B28" s="91"/>
      <c r="C28" s="91"/>
      <c r="D28" s="91"/>
      <c r="E28" s="91"/>
      <c r="F28" s="91"/>
      <c r="G28" s="91"/>
      <c r="H28" s="91"/>
    </row>
    <row r="29" spans="1:8" ht="11.25" x14ac:dyDescent="0.2">
      <c r="A29" s="91"/>
      <c r="B29" s="91"/>
      <c r="C29" s="91"/>
      <c r="D29" s="91"/>
      <c r="E29" s="91"/>
      <c r="F29" s="91"/>
      <c r="G29" s="91"/>
      <c r="H29" s="91"/>
    </row>
    <row r="30" spans="1:8" ht="11.25" x14ac:dyDescent="0.2">
      <c r="A30" s="91"/>
      <c r="B30" s="91"/>
      <c r="C30" s="91"/>
      <c r="D30" s="91"/>
      <c r="E30" s="91"/>
      <c r="F30" s="91"/>
      <c r="G30" s="91"/>
      <c r="H30" s="91"/>
    </row>
    <row r="31" spans="1:8" ht="11.25" x14ac:dyDescent="0.2">
      <c r="A31" s="91"/>
      <c r="B31" s="91"/>
      <c r="C31" s="91"/>
      <c r="D31" s="91"/>
      <c r="E31" s="91"/>
      <c r="F31" s="91"/>
      <c r="G31" s="91"/>
      <c r="H31" s="91"/>
    </row>
    <row r="32" spans="1:8" ht="11.25" x14ac:dyDescent="0.2">
      <c r="A32" s="91"/>
      <c r="B32" s="91"/>
      <c r="C32" s="91"/>
      <c r="D32" s="91"/>
      <c r="E32" s="91"/>
      <c r="F32" s="91"/>
      <c r="G32" s="91"/>
      <c r="H32" s="91"/>
    </row>
    <row r="33" spans="1:8" ht="11.25" x14ac:dyDescent="0.2">
      <c r="A33" s="91"/>
      <c r="B33" s="91"/>
      <c r="C33" s="91"/>
      <c r="D33" s="91"/>
      <c r="E33" s="91"/>
      <c r="F33" s="91"/>
      <c r="G33" s="91"/>
      <c r="H33" s="91"/>
    </row>
    <row r="34" spans="1:8" ht="11.25" x14ac:dyDescent="0.2">
      <c r="A34" s="91"/>
      <c r="B34" s="91"/>
      <c r="C34" s="91"/>
      <c r="D34" s="91"/>
      <c r="E34" s="91"/>
      <c r="F34" s="91"/>
      <c r="G34" s="91"/>
      <c r="H34" s="91"/>
    </row>
    <row r="35" spans="1:8" ht="11.25" x14ac:dyDescent="0.2">
      <c r="A35" s="91"/>
      <c r="B35" s="91"/>
      <c r="C35" s="91"/>
      <c r="D35" s="91"/>
      <c r="E35" s="91"/>
      <c r="F35" s="91"/>
      <c r="G35" s="91"/>
      <c r="H35" s="91"/>
    </row>
    <row r="36" spans="1:8" ht="11.25" x14ac:dyDescent="0.2">
      <c r="A36" s="91"/>
      <c r="B36" s="91"/>
      <c r="C36" s="91"/>
      <c r="D36" s="91"/>
      <c r="E36" s="91"/>
      <c r="F36" s="91"/>
      <c r="G36" s="91"/>
      <c r="H36" s="91"/>
    </row>
    <row r="37" spans="1:8" ht="11.25" x14ac:dyDescent="0.2">
      <c r="A37" s="91"/>
      <c r="B37" s="91"/>
      <c r="C37" s="91"/>
      <c r="D37" s="91"/>
      <c r="E37" s="91"/>
      <c r="F37" s="91"/>
      <c r="G37" s="91"/>
      <c r="H37" s="91"/>
    </row>
    <row r="38" spans="1:8" ht="11.25" x14ac:dyDescent="0.2">
      <c r="A38" s="91"/>
      <c r="B38" s="91"/>
      <c r="C38" s="91"/>
      <c r="D38" s="91"/>
      <c r="E38" s="91"/>
      <c r="F38" s="91"/>
      <c r="G38" s="91"/>
      <c r="H38" s="91"/>
    </row>
    <row r="39" spans="1:8" ht="11.25" x14ac:dyDescent="0.2">
      <c r="A39" s="91"/>
      <c r="B39" s="91"/>
      <c r="C39" s="91"/>
      <c r="D39" s="91"/>
      <c r="E39" s="91"/>
      <c r="F39" s="91"/>
      <c r="G39" s="91"/>
      <c r="H39" s="91"/>
    </row>
    <row r="40" spans="1:8" ht="11.25" x14ac:dyDescent="0.2">
      <c r="A40" s="91"/>
      <c r="B40" s="91"/>
      <c r="C40" s="91"/>
      <c r="D40" s="91"/>
      <c r="E40" s="91"/>
      <c r="F40" s="91"/>
      <c r="G40" s="91"/>
      <c r="H40" s="91"/>
    </row>
    <row r="41" spans="1:8" ht="11.25" x14ac:dyDescent="0.2">
      <c r="A41" s="91"/>
      <c r="B41" s="91"/>
      <c r="C41" s="91"/>
      <c r="D41" s="91"/>
      <c r="E41" s="91"/>
      <c r="F41" s="91"/>
      <c r="G41" s="91"/>
      <c r="H41" s="91"/>
    </row>
    <row r="42" spans="1:8" ht="11.25" x14ac:dyDescent="0.2">
      <c r="A42" s="91"/>
      <c r="B42" s="91"/>
      <c r="C42" s="91"/>
      <c r="D42" s="91"/>
      <c r="E42" s="91"/>
      <c r="F42" s="91"/>
      <c r="G42" s="91"/>
      <c r="H42" s="91"/>
    </row>
    <row r="43" spans="1:8" ht="11.25" x14ac:dyDescent="0.2">
      <c r="A43" s="91"/>
      <c r="B43" s="91"/>
      <c r="C43" s="91"/>
      <c r="D43" s="91"/>
      <c r="E43" s="91"/>
      <c r="F43" s="91"/>
      <c r="G43" s="91"/>
      <c r="H43" s="91"/>
    </row>
    <row r="44" spans="1:8" ht="11.25" x14ac:dyDescent="0.2">
      <c r="A44" s="91"/>
      <c r="B44" s="91"/>
      <c r="C44" s="91"/>
      <c r="D44" s="91"/>
      <c r="E44" s="91"/>
      <c r="F44" s="91"/>
      <c r="G44" s="91"/>
      <c r="H44" s="91"/>
    </row>
    <row r="45" spans="1:8" ht="11.25" x14ac:dyDescent="0.2">
      <c r="A45" s="91"/>
      <c r="B45" s="91"/>
      <c r="C45" s="91"/>
      <c r="D45" s="91"/>
      <c r="E45" s="91"/>
      <c r="F45" s="91"/>
      <c r="G45" s="91"/>
      <c r="H45" s="91"/>
    </row>
    <row r="46" spans="1:8" ht="11.25" x14ac:dyDescent="0.2">
      <c r="A46" s="91"/>
      <c r="B46" s="91"/>
      <c r="C46" s="91"/>
      <c r="D46" s="91"/>
      <c r="E46" s="91"/>
      <c r="F46" s="91"/>
      <c r="G46" s="91"/>
      <c r="H46" s="91"/>
    </row>
    <row r="47" spans="1:8" ht="11.25" x14ac:dyDescent="0.2">
      <c r="A47" s="91"/>
      <c r="B47" s="91"/>
      <c r="C47" s="91"/>
      <c r="D47" s="91"/>
      <c r="E47" s="91"/>
      <c r="F47" s="91"/>
      <c r="G47" s="91"/>
      <c r="H47" s="91"/>
    </row>
    <row r="48" spans="1:8" ht="11.25" x14ac:dyDescent="0.2">
      <c r="A48" s="91"/>
      <c r="B48" s="91"/>
      <c r="C48" s="91"/>
      <c r="D48" s="91"/>
      <c r="E48" s="91"/>
      <c r="F48" s="91"/>
      <c r="G48" s="91"/>
      <c r="H48" s="91"/>
    </row>
    <row r="49" spans="1:8" ht="11.25" x14ac:dyDescent="0.2">
      <c r="A49" s="91"/>
      <c r="B49" s="91"/>
      <c r="C49" s="91"/>
      <c r="D49" s="91"/>
      <c r="E49" s="91"/>
      <c r="F49" s="91"/>
      <c r="G49" s="91"/>
      <c r="H49" s="91"/>
    </row>
    <row r="50" spans="1:8" ht="11.25" x14ac:dyDescent="0.2">
      <c r="A50" s="91"/>
      <c r="B50" s="91"/>
      <c r="C50" s="91"/>
      <c r="D50" s="91"/>
      <c r="E50" s="91"/>
      <c r="F50" s="91"/>
      <c r="G50" s="91"/>
      <c r="H50" s="91"/>
    </row>
    <row r="51" spans="1:8" ht="11.25" x14ac:dyDescent="0.2">
      <c r="A51" s="91"/>
      <c r="B51" s="91"/>
      <c r="C51" s="91"/>
      <c r="D51" s="91"/>
      <c r="E51" s="91"/>
      <c r="F51" s="91"/>
      <c r="G51" s="91"/>
      <c r="H51" s="91"/>
    </row>
    <row r="52" spans="1:8" ht="11.25" x14ac:dyDescent="0.2">
      <c r="A52" s="91"/>
      <c r="B52" s="91"/>
      <c r="C52" s="91"/>
      <c r="D52" s="91"/>
      <c r="E52" s="91"/>
      <c r="F52" s="91"/>
      <c r="G52" s="91"/>
      <c r="H52" s="91"/>
    </row>
    <row r="53" spans="1:8" ht="11.25" x14ac:dyDescent="0.2">
      <c r="A53" s="91"/>
      <c r="B53" s="91"/>
      <c r="C53" s="91"/>
      <c r="D53" s="91"/>
      <c r="E53" s="91"/>
      <c r="F53" s="91"/>
      <c r="G53" s="91"/>
      <c r="H53" s="91"/>
    </row>
    <row r="54" spans="1:8" ht="11.25" x14ac:dyDescent="0.2">
      <c r="A54" s="91"/>
      <c r="B54" s="91"/>
      <c r="C54" s="91"/>
      <c r="D54" s="91"/>
      <c r="E54" s="91"/>
      <c r="F54" s="91"/>
      <c r="G54" s="91"/>
      <c r="H54" s="91"/>
    </row>
    <row r="55" spans="1:8" ht="11.25" x14ac:dyDescent="0.2">
      <c r="A55" s="91"/>
      <c r="B55" s="91"/>
      <c r="C55" s="91"/>
      <c r="D55" s="91"/>
      <c r="E55" s="91"/>
      <c r="F55" s="91"/>
      <c r="G55" s="91"/>
      <c r="H55" s="91"/>
    </row>
    <row r="56" spans="1:8" ht="11.25" x14ac:dyDescent="0.2">
      <c r="A56" s="91"/>
      <c r="B56" s="91"/>
      <c r="C56" s="91"/>
      <c r="D56" s="91"/>
      <c r="E56" s="91"/>
      <c r="F56" s="91"/>
      <c r="G56" s="91"/>
      <c r="H56" s="91"/>
    </row>
    <row r="57" spans="1:8" ht="11.25" x14ac:dyDescent="0.2">
      <c r="A57" s="91"/>
      <c r="B57" s="91"/>
      <c r="C57" s="91"/>
      <c r="D57" s="91"/>
      <c r="E57" s="91"/>
      <c r="F57" s="91"/>
      <c r="G57" s="91"/>
      <c r="H57" s="91"/>
    </row>
    <row r="58" spans="1:8" ht="11.25" x14ac:dyDescent="0.2">
      <c r="A58" s="91"/>
      <c r="B58" s="91"/>
      <c r="C58" s="91"/>
      <c r="D58" s="91"/>
      <c r="E58" s="91"/>
      <c r="F58" s="91"/>
      <c r="G58" s="91"/>
      <c r="H58" s="91"/>
    </row>
    <row r="59" spans="1:8" ht="11.25" x14ac:dyDescent="0.2">
      <c r="A59" s="91"/>
      <c r="B59" s="91"/>
      <c r="C59" s="91"/>
      <c r="D59" s="91"/>
      <c r="E59" s="91"/>
      <c r="F59" s="91"/>
      <c r="G59" s="91"/>
      <c r="H59" s="91"/>
    </row>
    <row r="60" spans="1:8" ht="11.25" x14ac:dyDescent="0.2">
      <c r="A60" s="91"/>
      <c r="B60" s="91"/>
      <c r="C60" s="91"/>
      <c r="D60" s="91"/>
      <c r="E60" s="91"/>
      <c r="F60" s="91"/>
      <c r="G60" s="91"/>
      <c r="H60" s="91"/>
    </row>
    <row r="61" spans="1:8" ht="11.25" x14ac:dyDescent="0.2">
      <c r="A61" s="91"/>
      <c r="B61" s="91"/>
      <c r="C61" s="91"/>
      <c r="D61" s="91"/>
      <c r="E61" s="91"/>
      <c r="F61" s="91"/>
      <c r="G61" s="91"/>
      <c r="H61" s="91"/>
    </row>
    <row r="62" spans="1:8" ht="11.25" x14ac:dyDescent="0.2">
      <c r="A62" s="91"/>
      <c r="B62" s="91"/>
      <c r="C62" s="91"/>
      <c r="D62" s="91"/>
      <c r="E62" s="91"/>
      <c r="F62" s="91"/>
      <c r="G62" s="91"/>
      <c r="H62" s="91"/>
    </row>
    <row r="63" spans="1:8" ht="11.25" x14ac:dyDescent="0.2">
      <c r="A63" s="91"/>
      <c r="B63" s="91"/>
      <c r="C63" s="91"/>
      <c r="D63" s="91"/>
      <c r="E63" s="91"/>
      <c r="F63" s="91"/>
      <c r="G63" s="91"/>
      <c r="H63" s="91"/>
    </row>
    <row r="64" spans="1:8" ht="11.25" x14ac:dyDescent="0.2">
      <c r="A64" s="91"/>
      <c r="B64" s="91"/>
      <c r="C64" s="91"/>
      <c r="D64" s="91"/>
      <c r="E64" s="91"/>
      <c r="F64" s="91"/>
      <c r="G64" s="91"/>
      <c r="H64" s="91"/>
    </row>
    <row r="65" spans="1:8" ht="11.25" x14ac:dyDescent="0.2">
      <c r="A65" s="91"/>
      <c r="B65" s="91"/>
      <c r="C65" s="91"/>
      <c r="D65" s="91"/>
      <c r="E65" s="91"/>
      <c r="F65" s="91"/>
      <c r="G65" s="91"/>
      <c r="H65" s="91"/>
    </row>
    <row r="66" spans="1:8" ht="11.25" x14ac:dyDescent="0.2">
      <c r="A66" s="91"/>
      <c r="B66" s="91"/>
      <c r="C66" s="91"/>
      <c r="D66" s="91"/>
      <c r="E66" s="91"/>
      <c r="F66" s="91"/>
      <c r="G66" s="91"/>
      <c r="H66" s="91"/>
    </row>
    <row r="67" spans="1:8" ht="11.25" x14ac:dyDescent="0.2">
      <c r="A67" s="91"/>
      <c r="B67" s="91"/>
      <c r="C67" s="91"/>
      <c r="D67" s="91"/>
      <c r="E67" s="91"/>
      <c r="F67" s="91"/>
      <c r="G67" s="91"/>
      <c r="H67" s="91"/>
    </row>
    <row r="68" spans="1:8" ht="11.25" x14ac:dyDescent="0.2">
      <c r="A68" s="91"/>
      <c r="B68" s="91"/>
      <c r="C68" s="91"/>
      <c r="D68" s="91"/>
      <c r="E68" s="91"/>
      <c r="F68" s="91"/>
      <c r="G68" s="91"/>
      <c r="H68" s="91"/>
    </row>
    <row r="69" spans="1:8" ht="11.25" x14ac:dyDescent="0.2">
      <c r="A69" s="91"/>
      <c r="B69" s="91"/>
      <c r="C69" s="91"/>
      <c r="D69" s="91"/>
      <c r="E69" s="91"/>
      <c r="F69" s="91"/>
      <c r="G69" s="91"/>
      <c r="H69" s="91"/>
    </row>
    <row r="70" spans="1:8" ht="11.25" x14ac:dyDescent="0.2">
      <c r="A70" s="91"/>
      <c r="B70" s="91"/>
      <c r="C70" s="91"/>
      <c r="D70" s="91"/>
      <c r="E70" s="91"/>
      <c r="F70" s="91"/>
      <c r="G70" s="91"/>
      <c r="H70" s="91"/>
    </row>
    <row r="71" spans="1:8" ht="11.25" x14ac:dyDescent="0.2">
      <c r="A71" s="91"/>
      <c r="B71" s="91"/>
      <c r="C71" s="91"/>
      <c r="D71" s="91"/>
      <c r="E71" s="91"/>
      <c r="F71" s="91"/>
      <c r="G71" s="91"/>
      <c r="H71" s="91"/>
    </row>
    <row r="72" spans="1:8" ht="11.25" x14ac:dyDescent="0.2">
      <c r="A72" s="91"/>
      <c r="B72" s="91"/>
      <c r="C72" s="91"/>
      <c r="D72" s="91"/>
      <c r="E72" s="91"/>
      <c r="F72" s="91"/>
      <c r="G72" s="91"/>
      <c r="H72" s="91"/>
    </row>
    <row r="73" spans="1:8" ht="11.25" x14ac:dyDescent="0.2">
      <c r="A73" s="91"/>
      <c r="B73" s="91"/>
      <c r="C73" s="91"/>
      <c r="D73" s="91"/>
      <c r="E73" s="91"/>
      <c r="F73" s="91"/>
      <c r="G73" s="91"/>
      <c r="H73" s="91"/>
    </row>
    <row r="74" spans="1:8" ht="11.25" x14ac:dyDescent="0.2">
      <c r="A74" s="91"/>
      <c r="B74" s="91"/>
      <c r="C74" s="91"/>
      <c r="D74" s="91"/>
      <c r="E74" s="91"/>
      <c r="F74" s="91"/>
      <c r="G74" s="91"/>
      <c r="H74" s="91"/>
    </row>
    <row r="75" spans="1:8" ht="11.25" x14ac:dyDescent="0.2">
      <c r="A75" s="91"/>
      <c r="B75" s="91"/>
      <c r="C75" s="91"/>
      <c r="D75" s="91"/>
      <c r="E75" s="91"/>
      <c r="F75" s="91"/>
      <c r="G75" s="91"/>
      <c r="H75" s="91"/>
    </row>
    <row r="76" spans="1:8" ht="11.25" x14ac:dyDescent="0.2">
      <c r="A76" s="91"/>
      <c r="B76" s="91"/>
      <c r="C76" s="91"/>
      <c r="D76" s="91"/>
      <c r="E76" s="91"/>
      <c r="F76" s="91"/>
      <c r="G76" s="91"/>
      <c r="H76" s="91"/>
    </row>
    <row r="77" spans="1:8" ht="11.25" x14ac:dyDescent="0.2">
      <c r="A77" s="91"/>
      <c r="B77" s="91"/>
      <c r="C77" s="91"/>
      <c r="D77" s="91"/>
      <c r="E77" s="91"/>
      <c r="F77" s="91"/>
      <c r="G77" s="91"/>
      <c r="H77" s="91"/>
    </row>
    <row r="78" spans="1:8" ht="11.25" x14ac:dyDescent="0.2">
      <c r="A78" s="91"/>
      <c r="B78" s="91"/>
      <c r="C78" s="91"/>
      <c r="D78" s="91"/>
      <c r="E78" s="91"/>
      <c r="F78" s="91"/>
      <c r="G78" s="91"/>
      <c r="H78" s="91"/>
    </row>
    <row r="79" spans="1:8" ht="11.25" x14ac:dyDescent="0.2">
      <c r="A79" s="91"/>
      <c r="B79" s="91"/>
      <c r="C79" s="91"/>
      <c r="D79" s="91"/>
      <c r="E79" s="91"/>
      <c r="F79" s="91"/>
      <c r="G79" s="91"/>
      <c r="H79" s="91"/>
    </row>
    <row r="80" spans="1:8" ht="11.25" x14ac:dyDescent="0.2">
      <c r="A80" s="91"/>
      <c r="B80" s="91"/>
      <c r="C80" s="91"/>
      <c r="D80" s="91"/>
      <c r="E80" s="91"/>
      <c r="F80" s="91"/>
      <c r="G80" s="91"/>
      <c r="H80" s="91"/>
    </row>
    <row r="81" spans="1:8" ht="11.25" x14ac:dyDescent="0.2">
      <c r="A81" s="91"/>
      <c r="B81" s="91"/>
      <c r="C81" s="91"/>
      <c r="D81" s="91"/>
      <c r="E81" s="91"/>
      <c r="F81" s="91"/>
      <c r="G81" s="91"/>
      <c r="H81" s="91"/>
    </row>
    <row r="82" spans="1:8" ht="11.25" x14ac:dyDescent="0.2">
      <c r="A82" s="91"/>
      <c r="B82" s="91"/>
      <c r="C82" s="91"/>
      <c r="D82" s="91"/>
      <c r="E82" s="91"/>
      <c r="F82" s="91"/>
      <c r="G82" s="91"/>
      <c r="H82" s="91"/>
    </row>
    <row r="83" spans="1:8" ht="11.25" x14ac:dyDescent="0.2">
      <c r="A83" s="91"/>
      <c r="B83" s="91"/>
      <c r="C83" s="91"/>
      <c r="D83" s="91"/>
      <c r="E83" s="91"/>
      <c r="F83" s="91"/>
      <c r="G83" s="91"/>
      <c r="H83" s="91"/>
    </row>
    <row r="84" spans="1:8" ht="11.25" x14ac:dyDescent="0.2">
      <c r="A84" s="91"/>
      <c r="B84" s="91"/>
      <c r="C84" s="91"/>
      <c r="D84" s="91"/>
      <c r="E84" s="91"/>
      <c r="F84" s="91"/>
      <c r="G84" s="91"/>
      <c r="H84" s="91"/>
    </row>
    <row r="85" spans="1:8" ht="11.25" x14ac:dyDescent="0.2">
      <c r="A85" s="91"/>
      <c r="B85" s="91"/>
      <c r="C85" s="91"/>
      <c r="D85" s="91"/>
      <c r="E85" s="91"/>
      <c r="F85" s="91"/>
      <c r="G85" s="91"/>
      <c r="H85" s="91"/>
    </row>
    <row r="86" spans="1:8" ht="11.25" x14ac:dyDescent="0.2">
      <c r="A86" s="91"/>
      <c r="B86" s="91"/>
      <c r="C86" s="91"/>
      <c r="D86" s="91"/>
      <c r="E86" s="91"/>
      <c r="F86" s="91"/>
      <c r="G86" s="91"/>
      <c r="H86" s="91"/>
    </row>
    <row r="87" spans="1:8" ht="11.25" x14ac:dyDescent="0.2">
      <c r="A87" s="91"/>
      <c r="B87" s="91"/>
      <c r="C87" s="91"/>
      <c r="D87" s="91"/>
      <c r="E87" s="91"/>
      <c r="F87" s="91"/>
      <c r="G87" s="91"/>
      <c r="H87" s="91"/>
    </row>
    <row r="88" spans="1:8" ht="11.25" x14ac:dyDescent="0.2">
      <c r="A88" s="91"/>
      <c r="B88" s="91"/>
      <c r="C88" s="91"/>
      <c r="D88" s="91"/>
      <c r="E88" s="91"/>
      <c r="F88" s="91"/>
      <c r="G88" s="91"/>
      <c r="H88" s="91"/>
    </row>
    <row r="89" spans="1:8" ht="11.25" x14ac:dyDescent="0.2">
      <c r="A89" s="91"/>
      <c r="B89" s="91"/>
      <c r="C89" s="91"/>
      <c r="D89" s="91"/>
      <c r="E89" s="91"/>
      <c r="F89" s="91"/>
      <c r="G89" s="91"/>
      <c r="H89" s="91"/>
    </row>
    <row r="90" spans="1:8" ht="11.25" x14ac:dyDescent="0.2">
      <c r="A90" s="91"/>
      <c r="B90" s="91"/>
      <c r="C90" s="91"/>
      <c r="D90" s="91"/>
      <c r="E90" s="91"/>
      <c r="F90" s="91"/>
      <c r="G90" s="91"/>
      <c r="H90" s="91"/>
    </row>
    <row r="91" spans="1:8" ht="11.25" x14ac:dyDescent="0.2">
      <c r="A91" s="91"/>
      <c r="B91" s="91"/>
      <c r="C91" s="91"/>
      <c r="D91" s="91"/>
      <c r="E91" s="91"/>
      <c r="F91" s="91"/>
      <c r="G91" s="91"/>
      <c r="H91" s="91"/>
    </row>
    <row r="92" spans="1:8" ht="11.25" x14ac:dyDescent="0.2">
      <c r="A92" s="91"/>
      <c r="B92" s="91"/>
      <c r="C92" s="91"/>
      <c r="D92" s="91"/>
      <c r="E92" s="91"/>
      <c r="F92" s="91"/>
      <c r="G92" s="91"/>
      <c r="H92" s="91"/>
    </row>
    <row r="93" spans="1:8" ht="11.25" x14ac:dyDescent="0.2">
      <c r="A93" s="91"/>
      <c r="B93" s="91"/>
      <c r="C93" s="91"/>
      <c r="D93" s="91"/>
      <c r="E93" s="91"/>
      <c r="F93" s="91"/>
      <c r="G93" s="91"/>
      <c r="H93" s="91"/>
    </row>
    <row r="94" spans="1:8" ht="11.25" x14ac:dyDescent="0.2">
      <c r="A94" s="91"/>
      <c r="B94" s="91"/>
      <c r="C94" s="91"/>
      <c r="D94" s="91"/>
      <c r="E94" s="91"/>
      <c r="F94" s="91"/>
      <c r="G94" s="91"/>
      <c r="H94" s="91"/>
    </row>
    <row r="95" spans="1:8" ht="11.25" x14ac:dyDescent="0.2">
      <c r="A95" s="91"/>
      <c r="B95" s="91"/>
      <c r="C95" s="91"/>
      <c r="D95" s="91"/>
      <c r="E95" s="91"/>
      <c r="F95" s="91"/>
      <c r="G95" s="91"/>
      <c r="H95" s="91"/>
    </row>
    <row r="96" spans="1:8" ht="11.25" x14ac:dyDescent="0.2">
      <c r="A96" s="91"/>
      <c r="B96" s="91"/>
      <c r="C96" s="91"/>
      <c r="D96" s="91"/>
      <c r="E96" s="91"/>
      <c r="F96" s="91"/>
      <c r="G96" s="91"/>
      <c r="H96" s="91"/>
    </row>
    <row r="97" spans="1:8" ht="11.25" x14ac:dyDescent="0.2">
      <c r="A97" s="91"/>
      <c r="B97" s="91"/>
      <c r="C97" s="91"/>
      <c r="D97" s="91"/>
      <c r="E97" s="91"/>
      <c r="F97" s="91"/>
      <c r="G97" s="91"/>
      <c r="H97" s="91"/>
    </row>
    <row r="98" spans="1:8" ht="11.25" x14ac:dyDescent="0.2">
      <c r="A98" s="91"/>
      <c r="B98" s="91"/>
      <c r="C98" s="91"/>
      <c r="D98" s="91"/>
      <c r="E98" s="91"/>
      <c r="F98" s="91"/>
      <c r="G98" s="91"/>
      <c r="H98" s="91"/>
    </row>
    <row r="99" spans="1:8" ht="11.25" x14ac:dyDescent="0.2">
      <c r="A99" s="91"/>
      <c r="B99" s="91"/>
      <c r="C99" s="91"/>
      <c r="D99" s="91"/>
      <c r="E99" s="91"/>
      <c r="F99" s="91"/>
      <c r="G99" s="91"/>
      <c r="H99" s="91"/>
    </row>
    <row r="100" spans="1:8" ht="11.25" x14ac:dyDescent="0.2">
      <c r="A100" s="91"/>
      <c r="B100" s="91"/>
      <c r="C100" s="91"/>
      <c r="D100" s="91"/>
      <c r="E100" s="91"/>
      <c r="F100" s="91"/>
      <c r="G100" s="91"/>
      <c r="H100" s="91"/>
    </row>
    <row r="101" spans="1:8" ht="11.25" x14ac:dyDescent="0.2">
      <c r="A101" s="91"/>
      <c r="B101" s="91"/>
      <c r="C101" s="91"/>
      <c r="D101" s="91"/>
      <c r="E101" s="91"/>
      <c r="F101" s="91"/>
      <c r="G101" s="91"/>
      <c r="H101" s="91"/>
    </row>
    <row r="102" spans="1:8" ht="11.25" x14ac:dyDescent="0.2">
      <c r="A102" s="91"/>
      <c r="B102" s="91"/>
      <c r="C102" s="91"/>
      <c r="D102" s="91"/>
      <c r="E102" s="91"/>
      <c r="F102" s="91"/>
      <c r="G102" s="91"/>
      <c r="H102" s="91"/>
    </row>
    <row r="103" spans="1:8" ht="11.25" x14ac:dyDescent="0.2">
      <c r="A103" s="91"/>
      <c r="B103" s="91"/>
      <c r="C103" s="91"/>
      <c r="D103" s="91"/>
      <c r="E103" s="91"/>
      <c r="F103" s="91"/>
      <c r="G103" s="91"/>
      <c r="H103" s="91"/>
    </row>
    <row r="104" spans="1:8" ht="11.25" x14ac:dyDescent="0.2">
      <c r="A104" s="91"/>
      <c r="B104" s="91"/>
      <c r="C104" s="91"/>
      <c r="D104" s="91"/>
      <c r="E104" s="91"/>
      <c r="F104" s="91"/>
      <c r="G104" s="91"/>
      <c r="H104" s="91"/>
    </row>
    <row r="105" spans="1:8" ht="11.25" x14ac:dyDescent="0.2">
      <c r="A105" s="91"/>
      <c r="B105" s="91"/>
      <c r="C105" s="91"/>
      <c r="D105" s="91"/>
      <c r="E105" s="91"/>
      <c r="F105" s="91"/>
      <c r="G105" s="91"/>
      <c r="H105" s="91"/>
    </row>
    <row r="106" spans="1:8" ht="11.25" x14ac:dyDescent="0.2">
      <c r="A106" s="91"/>
      <c r="B106" s="91"/>
      <c r="C106" s="91"/>
      <c r="D106" s="91"/>
      <c r="E106" s="91"/>
      <c r="F106" s="91"/>
      <c r="G106" s="91"/>
      <c r="H106" s="91"/>
    </row>
    <row r="107" spans="1:8" ht="11.25" x14ac:dyDescent="0.2">
      <c r="A107" s="91"/>
      <c r="B107" s="91"/>
      <c r="C107" s="91"/>
      <c r="D107" s="91"/>
      <c r="E107" s="91"/>
      <c r="F107" s="91"/>
      <c r="G107" s="91"/>
      <c r="H107" s="91"/>
    </row>
    <row r="108" spans="1:8" ht="11.25" x14ac:dyDescent="0.2">
      <c r="A108" s="91"/>
      <c r="B108" s="91"/>
      <c r="C108" s="91"/>
      <c r="D108" s="91"/>
      <c r="E108" s="91"/>
      <c r="F108" s="91"/>
      <c r="G108" s="91"/>
      <c r="H108" s="91"/>
    </row>
    <row r="109" spans="1:8" ht="11.25" x14ac:dyDescent="0.2">
      <c r="A109" s="91"/>
      <c r="B109" s="91"/>
      <c r="C109" s="91"/>
      <c r="D109" s="91"/>
      <c r="E109" s="91"/>
      <c r="F109" s="91"/>
      <c r="G109" s="91"/>
      <c r="H109" s="91"/>
    </row>
    <row r="110" spans="1:8" ht="11.25" x14ac:dyDescent="0.2">
      <c r="A110" s="91"/>
      <c r="B110" s="91"/>
      <c r="C110" s="91"/>
      <c r="D110" s="91"/>
      <c r="E110" s="91"/>
      <c r="F110" s="91"/>
      <c r="G110" s="91"/>
      <c r="H110" s="91"/>
    </row>
    <row r="111" spans="1:8" ht="11.25" x14ac:dyDescent="0.2">
      <c r="A111" s="91"/>
      <c r="B111" s="91"/>
      <c r="C111" s="91"/>
      <c r="D111" s="91"/>
      <c r="E111" s="91"/>
      <c r="F111" s="91"/>
      <c r="G111" s="91"/>
      <c r="H111" s="91"/>
    </row>
    <row r="112" spans="1:8" ht="11.25" x14ac:dyDescent="0.2">
      <c r="A112" s="91"/>
      <c r="B112" s="91"/>
      <c r="C112" s="91"/>
      <c r="D112" s="91"/>
      <c r="E112" s="91"/>
      <c r="F112" s="91"/>
      <c r="G112" s="91"/>
      <c r="H112" s="91"/>
    </row>
    <row r="113" spans="1:8" ht="11.25" x14ac:dyDescent="0.2">
      <c r="A113" s="91"/>
      <c r="B113" s="91"/>
      <c r="C113" s="91"/>
      <c r="D113" s="91"/>
      <c r="E113" s="91"/>
      <c r="F113" s="91"/>
      <c r="G113" s="91"/>
      <c r="H113" s="91"/>
    </row>
    <row r="114" spans="1:8" ht="11.25" x14ac:dyDescent="0.2">
      <c r="A114" s="91"/>
      <c r="B114" s="91"/>
      <c r="C114" s="91"/>
      <c r="D114" s="91"/>
      <c r="E114" s="91"/>
      <c r="F114" s="91"/>
      <c r="G114" s="91"/>
      <c r="H114" s="91"/>
    </row>
    <row r="115" spans="1:8" ht="11.25" x14ac:dyDescent="0.2">
      <c r="A115" s="91"/>
      <c r="B115" s="91"/>
      <c r="C115" s="91"/>
      <c r="D115" s="91"/>
      <c r="E115" s="91"/>
      <c r="F115" s="91"/>
      <c r="G115" s="91"/>
      <c r="H115" s="91"/>
    </row>
    <row r="116" spans="1:8" ht="11.25" x14ac:dyDescent="0.2">
      <c r="A116" s="91"/>
      <c r="B116" s="91"/>
      <c r="C116" s="91"/>
      <c r="D116" s="91"/>
      <c r="E116" s="91"/>
      <c r="F116" s="91"/>
      <c r="G116" s="91"/>
      <c r="H116" s="91"/>
    </row>
    <row r="117" spans="1:8" ht="11.25" x14ac:dyDescent="0.2">
      <c r="A117" s="91"/>
      <c r="B117" s="91"/>
      <c r="C117" s="91"/>
      <c r="D117" s="91"/>
      <c r="E117" s="91"/>
      <c r="F117" s="91"/>
      <c r="G117" s="91"/>
      <c r="H117" s="91"/>
    </row>
    <row r="118" spans="1:8" ht="11.25" x14ac:dyDescent="0.2">
      <c r="A118" s="91"/>
      <c r="B118" s="91"/>
      <c r="C118" s="91"/>
      <c r="D118" s="91"/>
      <c r="E118" s="91"/>
      <c r="F118" s="91"/>
      <c r="G118" s="91"/>
      <c r="H118" s="91"/>
    </row>
    <row r="119" spans="1:8" ht="11.25" x14ac:dyDescent="0.2">
      <c r="A119" s="91"/>
      <c r="B119" s="91"/>
      <c r="C119" s="91"/>
      <c r="D119" s="91"/>
      <c r="E119" s="91"/>
      <c r="F119" s="91"/>
      <c r="G119" s="91"/>
      <c r="H119" s="91"/>
    </row>
    <row r="120" spans="1:8" ht="11.25" x14ac:dyDescent="0.2">
      <c r="A120" s="91"/>
      <c r="B120" s="91"/>
      <c r="C120" s="91"/>
      <c r="D120" s="91"/>
      <c r="E120" s="91"/>
      <c r="F120" s="91"/>
      <c r="G120" s="91"/>
      <c r="H120" s="91"/>
    </row>
    <row r="121" spans="1:8" ht="11.25" x14ac:dyDescent="0.2">
      <c r="A121" s="91"/>
      <c r="B121" s="91"/>
      <c r="C121" s="91"/>
      <c r="D121" s="91"/>
      <c r="E121" s="91"/>
      <c r="F121" s="91"/>
      <c r="G121" s="91"/>
      <c r="H121" s="91"/>
    </row>
    <row r="122" spans="1:8" ht="11.25" x14ac:dyDescent="0.2">
      <c r="A122" s="91"/>
      <c r="B122" s="91"/>
      <c r="C122" s="91"/>
      <c r="D122" s="91"/>
      <c r="E122" s="91"/>
      <c r="F122" s="91"/>
      <c r="G122" s="91"/>
      <c r="H122" s="91"/>
    </row>
    <row r="123" spans="1:8" ht="11.25" x14ac:dyDescent="0.2">
      <c r="A123" s="91"/>
      <c r="B123" s="91"/>
      <c r="C123" s="91"/>
      <c r="D123" s="91"/>
      <c r="E123" s="91"/>
      <c r="F123" s="91"/>
      <c r="G123" s="91"/>
      <c r="H123" s="91"/>
    </row>
    <row r="124" spans="1:8" ht="11.25" x14ac:dyDescent="0.2">
      <c r="A124" s="91"/>
      <c r="B124" s="91"/>
      <c r="C124" s="91"/>
      <c r="D124" s="91"/>
      <c r="E124" s="91"/>
      <c r="F124" s="91"/>
      <c r="G124" s="91"/>
      <c r="H124" s="91"/>
    </row>
    <row r="125" spans="1:8" ht="11.25" x14ac:dyDescent="0.2">
      <c r="A125" s="91"/>
      <c r="B125" s="91"/>
      <c r="C125" s="91"/>
      <c r="D125" s="91"/>
      <c r="E125" s="91"/>
      <c r="F125" s="91"/>
      <c r="G125" s="91"/>
      <c r="H125" s="91"/>
    </row>
  </sheetData>
  <phoneticPr fontId="0" type="noConversion"/>
  <printOptions horizontalCentered="1"/>
  <pageMargins left="0.5" right="0.5" top="1" bottom="1" header="0.5" footer="0.5"/>
  <pageSetup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tabColor rgb="FF00B0F0"/>
  </sheetPr>
  <dimension ref="A1:L80"/>
  <sheetViews>
    <sheetView zoomScaleNormal="100" workbookViewId="0">
      <selection activeCell="M32" sqref="M32"/>
    </sheetView>
  </sheetViews>
  <sheetFormatPr defaultColWidth="11.33203125" defaultRowHeight="10.5" x14ac:dyDescent="0.15"/>
  <cols>
    <col min="1" max="1" width="6.6640625" style="56" customWidth="1"/>
    <col min="2" max="2" width="4.33203125" style="56" customWidth="1"/>
    <col min="3" max="3" width="53.33203125" style="56" customWidth="1"/>
    <col min="4" max="4" width="7.83203125" style="56" customWidth="1"/>
    <col min="5" max="5" width="7.1640625" style="56" bestFit="1" customWidth="1"/>
    <col min="6" max="6" width="17" style="56" customWidth="1"/>
    <col min="7" max="7" width="7.83203125" style="56" customWidth="1"/>
    <col min="8" max="8" width="20.6640625" style="56" bestFit="1" customWidth="1"/>
    <col min="9" max="11" width="11.33203125" style="56"/>
    <col min="12" max="12" width="16" style="56" customWidth="1"/>
    <col min="13" max="16384" width="11.33203125" style="56"/>
  </cols>
  <sheetData>
    <row r="1" spans="1:12" ht="12.75" x14ac:dyDescent="0.2">
      <c r="A1" s="1461" t="s">
        <v>477</v>
      </c>
      <c r="B1" s="1461"/>
      <c r="C1" s="1461"/>
      <c r="D1" s="1461"/>
      <c r="E1" s="1461"/>
      <c r="F1" s="1461"/>
      <c r="G1" s="1461"/>
      <c r="H1" s="1461"/>
      <c r="I1" s="607"/>
    </row>
    <row r="2" spans="1:12" ht="12.75" x14ac:dyDescent="0.2">
      <c r="A2" s="1461" t="str">
        <f>Input!C4</f>
        <v>CASE NO. 2017-xxxxx</v>
      </c>
      <c r="B2" s="1461"/>
      <c r="C2" s="1461"/>
      <c r="D2" s="1461"/>
      <c r="E2" s="1461"/>
      <c r="F2" s="1461"/>
      <c r="G2" s="1461"/>
      <c r="H2" s="1461"/>
      <c r="I2" s="607"/>
    </row>
    <row r="3" spans="1:12" ht="12.75" x14ac:dyDescent="0.2">
      <c r="A3" s="1461" t="s">
        <v>92</v>
      </c>
      <c r="B3" s="1461"/>
      <c r="C3" s="1461"/>
      <c r="D3" s="1461"/>
      <c r="E3" s="1461"/>
      <c r="F3" s="1461"/>
      <c r="G3" s="1461"/>
      <c r="H3" s="1461"/>
      <c r="I3" s="607"/>
    </row>
    <row r="4" spans="1:12" ht="12.75" x14ac:dyDescent="0.2">
      <c r="A4" s="1461" t="str">
        <f>Input!C8</f>
        <v>FOR THE TWELVE MONTHS ENDED DECEMBER 31, 2017</v>
      </c>
      <c r="B4" s="1461"/>
      <c r="C4" s="1461"/>
      <c r="D4" s="1461"/>
      <c r="E4" s="1461"/>
      <c r="F4" s="1461"/>
      <c r="G4" s="1461"/>
      <c r="H4" s="1461"/>
      <c r="I4" s="607"/>
    </row>
    <row r="5" spans="1:12" ht="12.75" x14ac:dyDescent="0.2">
      <c r="A5" s="608"/>
      <c r="B5" s="608"/>
      <c r="C5" s="608"/>
      <c r="D5" s="608"/>
      <c r="E5" s="608"/>
      <c r="F5" s="608"/>
      <c r="G5" s="608"/>
      <c r="H5" s="608"/>
      <c r="I5" s="607"/>
    </row>
    <row r="6" spans="1:12" ht="12.75" x14ac:dyDescent="0.2">
      <c r="A6" s="609" t="s">
        <v>839</v>
      </c>
      <c r="B6" s="609"/>
      <c r="C6" s="608"/>
      <c r="D6" s="608"/>
      <c r="E6" s="607"/>
      <c r="F6" s="608"/>
      <c r="G6" s="608"/>
      <c r="H6" s="610" t="s">
        <v>93</v>
      </c>
      <c r="I6" s="607"/>
    </row>
    <row r="7" spans="1:12" ht="12.75" x14ac:dyDescent="0.2">
      <c r="A7" s="609" t="s">
        <v>490</v>
      </c>
      <c r="B7" s="609"/>
      <c r="C7" s="608"/>
      <c r="D7" s="608"/>
      <c r="E7" s="607"/>
      <c r="F7" s="608"/>
      <c r="G7" s="608"/>
      <c r="H7" s="610" t="s">
        <v>491</v>
      </c>
      <c r="I7" s="607"/>
    </row>
    <row r="8" spans="1:12" ht="12.75" x14ac:dyDescent="0.2">
      <c r="A8" s="611" t="s">
        <v>1416</v>
      </c>
      <c r="B8" s="611"/>
      <c r="C8" s="612"/>
      <c r="D8" s="612"/>
      <c r="E8" s="613"/>
      <c r="F8" s="614"/>
      <c r="G8" s="1295"/>
      <c r="H8" s="615" t="str">
        <f>Input!E27</f>
        <v>WITNESS:  C. Y. LAI</v>
      </c>
      <c r="I8" s="607"/>
      <c r="J8" s="57"/>
      <c r="L8" s="57"/>
    </row>
    <row r="9" spans="1:12" s="58" customFormat="1" ht="12.75" x14ac:dyDescent="0.2">
      <c r="A9" s="616"/>
      <c r="B9" s="616"/>
      <c r="C9" s="616"/>
      <c r="D9" s="616"/>
      <c r="E9" s="616"/>
      <c r="F9" s="616"/>
      <c r="G9" s="616"/>
      <c r="H9" s="606" t="s">
        <v>94</v>
      </c>
      <c r="I9" s="617"/>
    </row>
    <row r="10" spans="1:12" s="58" customFormat="1" ht="12.75" x14ac:dyDescent="0.2">
      <c r="A10" s="606" t="s">
        <v>493</v>
      </c>
      <c r="B10" s="606"/>
      <c r="C10" s="616"/>
      <c r="D10" s="616"/>
      <c r="E10" s="616"/>
      <c r="F10" s="616"/>
      <c r="G10" s="616"/>
      <c r="H10" s="606" t="s">
        <v>95</v>
      </c>
      <c r="I10" s="617"/>
    </row>
    <row r="11" spans="1:12" s="58" customFormat="1" ht="12.75" x14ac:dyDescent="0.2">
      <c r="A11" s="618" t="s">
        <v>496</v>
      </c>
      <c r="B11" s="618"/>
      <c r="C11" s="619" t="s">
        <v>480</v>
      </c>
      <c r="D11" s="620"/>
      <c r="E11" s="620"/>
      <c r="F11" s="621"/>
      <c r="G11" s="621"/>
      <c r="H11" s="618" t="s">
        <v>96</v>
      </c>
      <c r="I11" s="617"/>
    </row>
    <row r="12" spans="1:12" ht="12.75" x14ac:dyDescent="0.2">
      <c r="A12" s="622"/>
      <c r="B12" s="608"/>
      <c r="C12" s="608"/>
      <c r="D12" s="608"/>
      <c r="E12" s="608"/>
      <c r="F12" s="608"/>
      <c r="G12" s="608"/>
      <c r="H12" s="608"/>
      <c r="I12" s="607"/>
    </row>
    <row r="13" spans="1:12" ht="12.75" x14ac:dyDescent="0.2">
      <c r="A13" s="606" t="s">
        <v>501</v>
      </c>
      <c r="B13" s="606"/>
      <c r="C13" s="609" t="s">
        <v>517</v>
      </c>
      <c r="D13" s="608"/>
      <c r="E13" s="608"/>
      <c r="F13" s="963">
        <v>1</v>
      </c>
      <c r="G13" s="608"/>
      <c r="H13" s="963">
        <v>1</v>
      </c>
      <c r="I13" s="607"/>
    </row>
    <row r="14" spans="1:12" ht="12.75" x14ac:dyDescent="0.2">
      <c r="A14" s="616"/>
      <c r="B14" s="608"/>
      <c r="C14" s="608"/>
      <c r="D14" s="608"/>
      <c r="E14" s="608"/>
      <c r="F14" s="608"/>
      <c r="G14" s="608"/>
      <c r="H14" s="608"/>
      <c r="I14" s="607"/>
    </row>
    <row r="15" spans="1:12" ht="12.75" x14ac:dyDescent="0.2">
      <c r="A15" s="606" t="s">
        <v>503</v>
      </c>
      <c r="B15" s="606"/>
      <c r="C15" s="609" t="s">
        <v>97</v>
      </c>
      <c r="D15" s="608"/>
      <c r="E15" s="608"/>
      <c r="F15" s="963">
        <v>9.2332899999999999E-3</v>
      </c>
      <c r="G15" s="608"/>
      <c r="H15" s="963">
        <v>9.2332899999999999E-3</v>
      </c>
      <c r="I15" s="607"/>
      <c r="J15" s="56" t="s">
        <v>1795</v>
      </c>
    </row>
    <row r="16" spans="1:12" ht="12.75" x14ac:dyDescent="0.2">
      <c r="A16" s="616"/>
      <c r="B16" s="608"/>
      <c r="C16" s="608"/>
      <c r="D16" s="608"/>
      <c r="E16" s="608"/>
      <c r="F16" s="608"/>
      <c r="G16" s="608"/>
      <c r="H16" s="608"/>
      <c r="I16" s="607"/>
    </row>
    <row r="17" spans="1:10" ht="12.75" x14ac:dyDescent="0.2">
      <c r="A17" s="606" t="s">
        <v>505</v>
      </c>
      <c r="B17" s="606"/>
      <c r="C17" s="609" t="s">
        <v>98</v>
      </c>
      <c r="D17" s="608"/>
      <c r="E17" s="608"/>
      <c r="F17" s="974">
        <v>1.9009999999999999E-3</v>
      </c>
      <c r="G17" s="608"/>
      <c r="H17" s="974">
        <v>1.9009999999999999E-3</v>
      </c>
      <c r="I17" s="607"/>
      <c r="J17" s="56" t="s">
        <v>1795</v>
      </c>
    </row>
    <row r="18" spans="1:10" ht="12.75" x14ac:dyDescent="0.2">
      <c r="A18" s="616"/>
      <c r="B18" s="608"/>
      <c r="C18" s="608"/>
      <c r="D18" s="608"/>
      <c r="E18" s="608"/>
      <c r="F18" s="608"/>
      <c r="G18" s="608"/>
      <c r="H18" s="608"/>
      <c r="I18" s="607"/>
    </row>
    <row r="19" spans="1:10" ht="12.75" x14ac:dyDescent="0.2">
      <c r="A19" s="606" t="s">
        <v>506</v>
      </c>
      <c r="B19" s="606"/>
      <c r="C19" s="609" t="s">
        <v>99</v>
      </c>
      <c r="D19" s="608"/>
      <c r="E19" s="608"/>
      <c r="F19" s="623">
        <f>F13-F15-F17</f>
        <v>0.98886571000000001</v>
      </c>
      <c r="G19" s="608"/>
      <c r="H19" s="623">
        <f>H13-H15-H17</f>
        <v>0.98886571000000001</v>
      </c>
      <c r="I19" s="607"/>
    </row>
    <row r="20" spans="1:10" ht="12.75" x14ac:dyDescent="0.2">
      <c r="A20" s="616"/>
      <c r="B20" s="608"/>
      <c r="C20" s="608"/>
      <c r="D20" s="608"/>
      <c r="E20" s="608"/>
      <c r="F20" s="608"/>
      <c r="G20" s="608"/>
      <c r="H20" s="608"/>
      <c r="I20" s="607"/>
    </row>
    <row r="21" spans="1:10" ht="12.75" x14ac:dyDescent="0.2">
      <c r="A21" s="606" t="s">
        <v>508</v>
      </c>
      <c r="B21" s="606"/>
      <c r="C21" s="609" t="s">
        <v>1274</v>
      </c>
      <c r="D21" s="608"/>
      <c r="E21" s="624">
        <v>0.06</v>
      </c>
      <c r="F21" s="625">
        <f>ROUND(F19*E21,8)</f>
        <v>5.933194E-2</v>
      </c>
      <c r="G21" s="624">
        <v>0.06</v>
      </c>
      <c r="H21" s="625">
        <f>ROUND(H19*G21,8)</f>
        <v>5.933194E-2</v>
      </c>
      <c r="I21" s="607"/>
    </row>
    <row r="22" spans="1:10" ht="12.75" x14ac:dyDescent="0.2">
      <c r="A22" s="616"/>
      <c r="B22" s="608"/>
      <c r="C22" s="608"/>
      <c r="D22" s="608"/>
      <c r="E22" s="608"/>
      <c r="F22" s="608"/>
      <c r="G22" s="608"/>
      <c r="H22" s="608"/>
      <c r="I22" s="607"/>
    </row>
    <row r="23" spans="1:10" ht="12.75" x14ac:dyDescent="0.2">
      <c r="A23" s="606" t="s">
        <v>510</v>
      </c>
      <c r="B23" s="606"/>
      <c r="C23" s="609" t="s">
        <v>100</v>
      </c>
      <c r="D23" s="608"/>
      <c r="E23" s="608"/>
      <c r="F23" s="623">
        <f>(F19-F21)</f>
        <v>0.92953377000000004</v>
      </c>
      <c r="G23" s="608"/>
      <c r="H23" s="623">
        <f>(H19-H21)</f>
        <v>0.92953377000000004</v>
      </c>
      <c r="I23" s="607"/>
    </row>
    <row r="24" spans="1:10" ht="12.75" x14ac:dyDescent="0.2">
      <c r="A24" s="616"/>
      <c r="B24" s="608"/>
      <c r="C24" s="608"/>
      <c r="D24" s="608"/>
      <c r="E24" s="608"/>
      <c r="F24" s="608"/>
      <c r="G24" s="608"/>
      <c r="H24" s="608"/>
      <c r="I24" s="607"/>
    </row>
    <row r="25" spans="1:10" ht="12.75" x14ac:dyDescent="0.2">
      <c r="A25" s="606" t="s">
        <v>101</v>
      </c>
      <c r="B25" s="606"/>
      <c r="C25" s="609" t="s">
        <v>1275</v>
      </c>
      <c r="D25" s="608"/>
      <c r="E25" s="626">
        <v>0.35</v>
      </c>
      <c r="F25" s="625">
        <f>ROUND(F23*E25,8)</f>
        <v>0.32533682000000003</v>
      </c>
      <c r="G25" s="626">
        <v>0.21</v>
      </c>
      <c r="H25" s="625">
        <f>ROUND(H23*G25,8)</f>
        <v>0.19520208999999999</v>
      </c>
      <c r="I25" s="607"/>
    </row>
    <row r="26" spans="1:10" ht="12.75" x14ac:dyDescent="0.2">
      <c r="A26" s="616"/>
      <c r="B26" s="608"/>
      <c r="C26" s="608"/>
      <c r="D26" s="608"/>
      <c r="E26" s="608"/>
      <c r="F26" s="608"/>
      <c r="G26" s="608"/>
      <c r="H26" s="608"/>
      <c r="I26" s="607"/>
    </row>
    <row r="27" spans="1:10" ht="12.75" x14ac:dyDescent="0.2">
      <c r="A27" s="606" t="s">
        <v>102</v>
      </c>
      <c r="B27" s="606"/>
      <c r="C27" s="609" t="s">
        <v>103</v>
      </c>
      <c r="D27" s="608"/>
      <c r="E27" s="608"/>
      <c r="F27" s="623">
        <f>F23-F25</f>
        <v>0.60419694999999995</v>
      </c>
      <c r="G27" s="608"/>
      <c r="H27" s="623">
        <f>H23-H25</f>
        <v>0.73433168000000004</v>
      </c>
      <c r="I27" s="607"/>
    </row>
    <row r="28" spans="1:10" ht="12.75" x14ac:dyDescent="0.2">
      <c r="A28" s="616"/>
      <c r="B28" s="608"/>
      <c r="C28" s="608"/>
      <c r="D28" s="608"/>
      <c r="E28" s="608"/>
      <c r="F28" s="608"/>
      <c r="G28" s="608"/>
      <c r="H28" s="608"/>
      <c r="I28" s="607"/>
    </row>
    <row r="29" spans="1:10" ht="12.75" x14ac:dyDescent="0.2">
      <c r="A29" s="606" t="s">
        <v>104</v>
      </c>
      <c r="B29" s="606"/>
      <c r="C29" s="609" t="s">
        <v>860</v>
      </c>
      <c r="D29" s="608"/>
      <c r="E29" s="608"/>
      <c r="F29" s="608"/>
      <c r="G29" s="608"/>
      <c r="H29" s="608"/>
      <c r="I29" s="607"/>
    </row>
    <row r="30" spans="1:10" ht="12.75" x14ac:dyDescent="0.2">
      <c r="A30" s="606" t="s">
        <v>105</v>
      </c>
      <c r="B30" s="606"/>
      <c r="C30" s="609" t="s">
        <v>106</v>
      </c>
      <c r="D30" s="608"/>
      <c r="E30" s="608"/>
      <c r="F30" s="627">
        <f>ROUND(1/$F$27,6)</f>
        <v>1.655089</v>
      </c>
      <c r="G30" s="608"/>
      <c r="H30" s="627">
        <f>ROUND(1/$H$27,6)</f>
        <v>1.361782</v>
      </c>
      <c r="I30" s="607"/>
    </row>
    <row r="31" spans="1:10" ht="12.75" x14ac:dyDescent="0.2">
      <c r="A31" s="608"/>
      <c r="B31" s="608"/>
      <c r="C31" s="608"/>
      <c r="D31" s="608"/>
      <c r="E31" s="608"/>
      <c r="F31" s="608"/>
      <c r="G31" s="608"/>
      <c r="H31" s="608"/>
      <c r="I31" s="607"/>
    </row>
    <row r="32" spans="1:10" ht="12" x14ac:dyDescent="0.2">
      <c r="A32" s="607"/>
      <c r="B32" s="607"/>
      <c r="C32" s="607"/>
      <c r="D32" s="607"/>
      <c r="E32" s="607"/>
      <c r="F32" s="607"/>
      <c r="G32" s="607"/>
      <c r="H32" s="607"/>
      <c r="I32" s="607"/>
    </row>
    <row r="33" spans="1:9" ht="12" x14ac:dyDescent="0.2">
      <c r="A33" s="607"/>
      <c r="B33" s="607"/>
      <c r="C33" s="628"/>
      <c r="D33" s="628"/>
      <c r="E33" s="607"/>
      <c r="F33" s="607"/>
      <c r="G33" s="607"/>
      <c r="H33" s="607"/>
      <c r="I33" s="607"/>
    </row>
    <row r="34" spans="1:9" ht="12" x14ac:dyDescent="0.2">
      <c r="A34" s="607"/>
      <c r="B34" s="607"/>
      <c r="C34" s="607"/>
      <c r="D34" s="628"/>
      <c r="E34" s="607"/>
      <c r="F34" s="607"/>
      <c r="G34" s="607"/>
      <c r="H34" s="607"/>
      <c r="I34" s="607"/>
    </row>
    <row r="35" spans="1:9" ht="12" x14ac:dyDescent="0.2">
      <c r="A35" s="607"/>
      <c r="B35" s="607"/>
      <c r="C35" s="607"/>
      <c r="D35" s="628"/>
      <c r="E35" s="607"/>
      <c r="F35" s="607"/>
      <c r="G35" s="607"/>
      <c r="H35" s="607"/>
      <c r="I35" s="607"/>
    </row>
    <row r="36" spans="1:9" ht="12" x14ac:dyDescent="0.2">
      <c r="A36" s="607"/>
      <c r="B36" s="607"/>
      <c r="C36" s="607"/>
      <c r="D36" s="607"/>
      <c r="E36" s="607"/>
      <c r="F36" s="607"/>
      <c r="G36" s="607"/>
      <c r="H36" s="607"/>
      <c r="I36" s="607"/>
    </row>
    <row r="37" spans="1:9" ht="12" x14ac:dyDescent="0.2">
      <c r="A37" s="607"/>
      <c r="B37" s="607"/>
      <c r="C37" s="607"/>
      <c r="D37" s="607"/>
      <c r="E37" s="607"/>
      <c r="F37" s="607"/>
      <c r="G37" s="607"/>
      <c r="H37" s="607"/>
      <c r="I37" s="607"/>
    </row>
    <row r="38" spans="1:9" ht="12" x14ac:dyDescent="0.2">
      <c r="A38" s="607"/>
      <c r="B38" s="607"/>
      <c r="C38" s="607"/>
      <c r="D38" s="607"/>
      <c r="E38" s="607"/>
      <c r="F38" s="607"/>
      <c r="G38" s="607"/>
      <c r="H38" s="607"/>
      <c r="I38" s="607"/>
    </row>
    <row r="39" spans="1:9" ht="12" x14ac:dyDescent="0.2">
      <c r="A39" s="607"/>
      <c r="B39" s="607"/>
      <c r="C39" s="607"/>
      <c r="D39" s="607"/>
      <c r="E39" s="607"/>
      <c r="F39" s="607"/>
      <c r="G39" s="607"/>
      <c r="H39" s="607"/>
      <c r="I39" s="607"/>
    </row>
    <row r="40" spans="1:9" ht="12" x14ac:dyDescent="0.2">
      <c r="A40" s="628" t="s">
        <v>107</v>
      </c>
      <c r="B40" s="628"/>
      <c r="C40" s="607"/>
      <c r="D40" s="607"/>
      <c r="E40" s="607"/>
      <c r="F40" s="607"/>
      <c r="G40" s="607"/>
      <c r="H40" s="607"/>
      <c r="I40" s="607"/>
    </row>
    <row r="41" spans="1:9" ht="12" x14ac:dyDescent="0.2">
      <c r="A41" s="607"/>
      <c r="B41" s="607"/>
      <c r="C41" s="607"/>
      <c r="D41" s="607"/>
      <c r="E41" s="607"/>
      <c r="F41" s="607"/>
      <c r="G41" s="607"/>
      <c r="H41" s="607"/>
      <c r="I41" s="607"/>
    </row>
    <row r="42" spans="1:9" ht="12" x14ac:dyDescent="0.2">
      <c r="A42" s="607"/>
      <c r="B42" s="607"/>
      <c r="C42" s="607"/>
      <c r="D42" s="607"/>
      <c r="E42" s="607"/>
      <c r="F42" s="607"/>
      <c r="G42" s="607"/>
      <c r="H42" s="607"/>
      <c r="I42" s="607"/>
    </row>
    <row r="43" spans="1:9" ht="12" x14ac:dyDescent="0.2">
      <c r="A43" s="607"/>
      <c r="B43" s="607"/>
      <c r="C43" s="607"/>
      <c r="D43" s="607"/>
      <c r="E43" s="607"/>
      <c r="F43" s="607"/>
      <c r="G43" s="607"/>
      <c r="H43" s="607"/>
      <c r="I43" s="607"/>
    </row>
    <row r="44" spans="1:9" ht="12" x14ac:dyDescent="0.2">
      <c r="A44" s="607"/>
      <c r="B44" s="607"/>
      <c r="C44" s="607"/>
      <c r="D44" s="607"/>
      <c r="E44" s="607"/>
      <c r="F44" s="607"/>
      <c r="G44" s="607"/>
      <c r="H44" s="607"/>
      <c r="I44" s="607"/>
    </row>
    <row r="45" spans="1:9" ht="12" x14ac:dyDescent="0.2">
      <c r="A45" s="607"/>
      <c r="B45" s="607"/>
      <c r="C45" s="607"/>
      <c r="D45" s="607"/>
      <c r="E45" s="607"/>
      <c r="F45" s="607"/>
      <c r="G45" s="607"/>
      <c r="H45" s="607"/>
      <c r="I45" s="607"/>
    </row>
    <row r="46" spans="1:9" ht="12" x14ac:dyDescent="0.2">
      <c r="A46" s="607"/>
      <c r="B46" s="607"/>
      <c r="C46" s="607"/>
      <c r="D46" s="607"/>
      <c r="E46" s="607"/>
      <c r="F46" s="607"/>
      <c r="G46" s="607"/>
      <c r="H46" s="607"/>
      <c r="I46" s="607"/>
    </row>
    <row r="47" spans="1:9" ht="12" x14ac:dyDescent="0.2">
      <c r="A47" s="607"/>
      <c r="B47" s="607"/>
      <c r="C47" s="607"/>
      <c r="D47" s="607"/>
      <c r="E47" s="607"/>
      <c r="F47" s="607"/>
      <c r="G47" s="607"/>
      <c r="H47" s="607"/>
      <c r="I47" s="607"/>
    </row>
    <row r="48" spans="1:9" ht="12" x14ac:dyDescent="0.2">
      <c r="A48" s="607"/>
      <c r="B48" s="607"/>
      <c r="C48" s="607"/>
      <c r="D48" s="607"/>
      <c r="E48" s="607"/>
      <c r="F48" s="607"/>
      <c r="G48" s="607"/>
      <c r="H48" s="607"/>
      <c r="I48" s="607"/>
    </row>
    <row r="49" spans="1:9" ht="12" x14ac:dyDescent="0.2">
      <c r="A49" s="607"/>
      <c r="B49" s="607"/>
      <c r="C49" s="607"/>
      <c r="D49" s="607"/>
      <c r="E49" s="607"/>
      <c r="F49" s="607"/>
      <c r="G49" s="607"/>
      <c r="H49" s="607"/>
      <c r="I49" s="607"/>
    </row>
    <row r="50" spans="1:9" ht="12" x14ac:dyDescent="0.2">
      <c r="A50" s="607"/>
      <c r="B50" s="607"/>
      <c r="C50" s="607"/>
      <c r="D50" s="607"/>
      <c r="E50" s="607"/>
      <c r="F50" s="607"/>
      <c r="G50" s="607"/>
      <c r="H50" s="607"/>
      <c r="I50" s="607"/>
    </row>
    <row r="51" spans="1:9" ht="12" x14ac:dyDescent="0.2">
      <c r="A51" s="607"/>
      <c r="B51" s="607"/>
      <c r="C51" s="607"/>
      <c r="D51" s="607"/>
      <c r="E51" s="607"/>
      <c r="F51" s="607"/>
      <c r="G51" s="607"/>
      <c r="H51" s="607"/>
      <c r="I51" s="607"/>
    </row>
    <row r="52" spans="1:9" ht="12" x14ac:dyDescent="0.2">
      <c r="A52" s="607"/>
      <c r="B52" s="607"/>
      <c r="C52" s="607"/>
      <c r="D52" s="607"/>
      <c r="E52" s="607"/>
      <c r="F52" s="607"/>
      <c r="G52" s="607"/>
      <c r="H52" s="607"/>
      <c r="I52" s="607"/>
    </row>
    <row r="53" spans="1:9" ht="12" x14ac:dyDescent="0.2">
      <c r="A53" s="607"/>
      <c r="B53" s="607"/>
      <c r="C53" s="607"/>
      <c r="D53" s="607"/>
      <c r="E53" s="607"/>
      <c r="F53" s="607"/>
      <c r="G53" s="607"/>
      <c r="H53" s="607"/>
      <c r="I53" s="607"/>
    </row>
    <row r="54" spans="1:9" ht="12" x14ac:dyDescent="0.2">
      <c r="A54" s="607"/>
      <c r="B54" s="607"/>
      <c r="C54" s="607"/>
      <c r="D54" s="607"/>
      <c r="E54" s="607"/>
      <c r="F54" s="607"/>
      <c r="G54" s="607"/>
      <c r="H54" s="607"/>
      <c r="I54" s="607"/>
    </row>
    <row r="55" spans="1:9" ht="12" x14ac:dyDescent="0.2">
      <c r="A55" s="607"/>
      <c r="B55" s="607"/>
      <c r="C55" s="607"/>
      <c r="D55" s="607"/>
      <c r="E55" s="607"/>
      <c r="F55" s="607"/>
      <c r="G55" s="607"/>
      <c r="H55" s="607"/>
      <c r="I55" s="607"/>
    </row>
    <row r="56" spans="1:9" ht="12" x14ac:dyDescent="0.2">
      <c r="A56" s="607"/>
      <c r="B56" s="607"/>
      <c r="C56" s="607"/>
      <c r="D56" s="607"/>
      <c r="E56" s="607"/>
      <c r="F56" s="607"/>
      <c r="G56" s="607"/>
      <c r="H56" s="607"/>
      <c r="I56" s="607"/>
    </row>
    <row r="57" spans="1:9" ht="12" x14ac:dyDescent="0.2">
      <c r="A57" s="607"/>
      <c r="B57" s="607"/>
      <c r="C57" s="607"/>
      <c r="D57" s="607"/>
      <c r="E57" s="607"/>
      <c r="F57" s="607"/>
      <c r="G57" s="607"/>
      <c r="H57" s="607"/>
      <c r="I57" s="607"/>
    </row>
    <row r="58" spans="1:9" ht="12" x14ac:dyDescent="0.2">
      <c r="A58" s="607"/>
      <c r="B58" s="607"/>
      <c r="C58" s="607"/>
      <c r="D58" s="607"/>
      <c r="E58" s="607"/>
      <c r="F58" s="607"/>
      <c r="G58" s="607"/>
      <c r="H58" s="607"/>
      <c r="I58" s="607"/>
    </row>
    <row r="59" spans="1:9" ht="12" x14ac:dyDescent="0.2">
      <c r="A59" s="607"/>
      <c r="B59" s="607"/>
      <c r="C59" s="607"/>
      <c r="D59" s="607"/>
      <c r="E59" s="607"/>
      <c r="F59" s="607"/>
      <c r="G59" s="607"/>
      <c r="H59" s="607"/>
      <c r="I59" s="607"/>
    </row>
    <row r="60" spans="1:9" ht="12" x14ac:dyDescent="0.2">
      <c r="A60" s="607"/>
      <c r="B60" s="607"/>
      <c r="C60" s="607"/>
      <c r="D60" s="607"/>
      <c r="E60" s="607"/>
      <c r="F60" s="607"/>
      <c r="G60" s="607"/>
      <c r="H60" s="607"/>
      <c r="I60" s="607"/>
    </row>
    <row r="61" spans="1:9" ht="12" x14ac:dyDescent="0.2">
      <c r="A61" s="607"/>
      <c r="B61" s="607"/>
      <c r="C61" s="607"/>
      <c r="D61" s="607"/>
      <c r="E61" s="607"/>
      <c r="F61" s="607"/>
      <c r="G61" s="607"/>
      <c r="H61" s="607"/>
      <c r="I61" s="607"/>
    </row>
    <row r="62" spans="1:9" ht="12" x14ac:dyDescent="0.2">
      <c r="A62" s="607"/>
      <c r="B62" s="607"/>
      <c r="C62" s="607"/>
      <c r="D62" s="607"/>
      <c r="E62" s="607"/>
      <c r="F62" s="607"/>
      <c r="G62" s="607"/>
      <c r="H62" s="607"/>
      <c r="I62" s="607"/>
    </row>
    <row r="63" spans="1:9" ht="12" x14ac:dyDescent="0.2">
      <c r="A63" s="607"/>
      <c r="B63" s="607"/>
      <c r="C63" s="607"/>
      <c r="D63" s="607"/>
      <c r="E63" s="607"/>
      <c r="F63" s="607"/>
      <c r="G63" s="607"/>
      <c r="H63" s="607"/>
      <c r="I63" s="607"/>
    </row>
    <row r="64" spans="1:9" ht="12" x14ac:dyDescent="0.2">
      <c r="A64" s="607"/>
      <c r="B64" s="607"/>
      <c r="C64" s="607"/>
      <c r="D64" s="607"/>
      <c r="E64" s="607"/>
      <c r="F64" s="607"/>
      <c r="G64" s="607"/>
      <c r="H64" s="607"/>
      <c r="I64" s="607"/>
    </row>
    <row r="65" spans="1:9" ht="12" x14ac:dyDescent="0.2">
      <c r="A65" s="607"/>
      <c r="B65" s="607"/>
      <c r="C65" s="607"/>
      <c r="D65" s="607"/>
      <c r="E65" s="607"/>
      <c r="F65" s="607"/>
      <c r="G65" s="607"/>
      <c r="H65" s="607"/>
      <c r="I65" s="607"/>
    </row>
    <row r="66" spans="1:9" ht="12" x14ac:dyDescent="0.2">
      <c r="A66" s="607"/>
      <c r="B66" s="607"/>
      <c r="C66" s="607"/>
      <c r="D66" s="607"/>
      <c r="E66" s="607"/>
      <c r="F66" s="607"/>
      <c r="G66" s="607"/>
      <c r="H66" s="607"/>
      <c r="I66" s="607"/>
    </row>
    <row r="67" spans="1:9" ht="12" x14ac:dyDescent="0.2">
      <c r="A67" s="607"/>
      <c r="B67" s="607"/>
      <c r="C67" s="607"/>
      <c r="D67" s="607"/>
      <c r="E67" s="607"/>
      <c r="F67" s="607"/>
      <c r="G67" s="607"/>
      <c r="H67" s="607"/>
      <c r="I67" s="607"/>
    </row>
    <row r="68" spans="1:9" ht="12" x14ac:dyDescent="0.2">
      <c r="A68" s="607"/>
      <c r="B68" s="607"/>
      <c r="C68" s="607"/>
      <c r="D68" s="607"/>
      <c r="E68" s="607"/>
      <c r="F68" s="607"/>
      <c r="G68" s="607"/>
      <c r="H68" s="607"/>
      <c r="I68" s="607"/>
    </row>
    <row r="69" spans="1:9" ht="12" x14ac:dyDescent="0.2">
      <c r="A69" s="607"/>
      <c r="B69" s="607"/>
      <c r="C69" s="607"/>
      <c r="D69" s="607"/>
      <c r="E69" s="607"/>
      <c r="F69" s="607"/>
      <c r="G69" s="607"/>
      <c r="H69" s="607"/>
      <c r="I69" s="607"/>
    </row>
    <row r="70" spans="1:9" ht="12" x14ac:dyDescent="0.2">
      <c r="A70" s="607"/>
      <c r="B70" s="607"/>
      <c r="C70" s="607"/>
      <c r="D70" s="607"/>
      <c r="E70" s="607"/>
      <c r="F70" s="607"/>
      <c r="G70" s="607"/>
      <c r="H70" s="607"/>
      <c r="I70" s="607"/>
    </row>
    <row r="71" spans="1:9" ht="12" x14ac:dyDescent="0.2">
      <c r="A71" s="607"/>
      <c r="B71" s="607"/>
      <c r="C71" s="607"/>
      <c r="D71" s="607"/>
      <c r="E71" s="607"/>
      <c r="F71" s="607"/>
      <c r="G71" s="607"/>
      <c r="H71" s="607"/>
      <c r="I71" s="607"/>
    </row>
    <row r="72" spans="1:9" ht="12" x14ac:dyDescent="0.2">
      <c r="A72" s="607"/>
      <c r="B72" s="607"/>
      <c r="C72" s="607"/>
      <c r="D72" s="607"/>
      <c r="E72" s="607"/>
      <c r="F72" s="607"/>
      <c r="G72" s="607"/>
      <c r="H72" s="607"/>
      <c r="I72" s="607"/>
    </row>
    <row r="73" spans="1:9" ht="12" x14ac:dyDescent="0.2">
      <c r="A73" s="607"/>
      <c r="B73" s="607"/>
      <c r="C73" s="607"/>
      <c r="D73" s="607"/>
      <c r="E73" s="607"/>
      <c r="F73" s="607"/>
      <c r="G73" s="607"/>
      <c r="H73" s="607"/>
      <c r="I73" s="607"/>
    </row>
    <row r="74" spans="1:9" ht="12" x14ac:dyDescent="0.2">
      <c r="A74" s="607"/>
      <c r="B74" s="607"/>
      <c r="C74" s="607"/>
      <c r="D74" s="607"/>
      <c r="E74" s="607"/>
      <c r="F74" s="607"/>
      <c r="G74" s="607"/>
      <c r="H74" s="607"/>
      <c r="I74" s="607"/>
    </row>
    <row r="75" spans="1:9" ht="12" x14ac:dyDescent="0.2">
      <c r="A75" s="607"/>
      <c r="B75" s="607"/>
      <c r="C75" s="607"/>
      <c r="D75" s="607"/>
      <c r="E75" s="607"/>
      <c r="F75" s="607"/>
      <c r="G75" s="607"/>
      <c r="H75" s="607"/>
      <c r="I75" s="607"/>
    </row>
    <row r="76" spans="1:9" ht="12" x14ac:dyDescent="0.2">
      <c r="A76" s="607"/>
      <c r="B76" s="607"/>
      <c r="C76" s="607"/>
      <c r="D76" s="607"/>
      <c r="E76" s="607"/>
      <c r="F76" s="607"/>
      <c r="G76" s="607"/>
      <c r="H76" s="607"/>
      <c r="I76" s="607"/>
    </row>
    <row r="77" spans="1:9" ht="12" x14ac:dyDescent="0.2">
      <c r="A77" s="607"/>
      <c r="B77" s="607"/>
      <c r="C77" s="607"/>
      <c r="D77" s="607"/>
      <c r="E77" s="607"/>
      <c r="F77" s="607"/>
      <c r="G77" s="607"/>
      <c r="H77" s="607"/>
      <c r="I77" s="607"/>
    </row>
    <row r="78" spans="1:9" ht="12" x14ac:dyDescent="0.2">
      <c r="A78" s="607"/>
      <c r="B78" s="607"/>
      <c r="C78" s="607"/>
      <c r="D78" s="607"/>
      <c r="E78" s="607"/>
      <c r="F78" s="607"/>
      <c r="G78" s="607"/>
      <c r="H78" s="607"/>
      <c r="I78" s="607"/>
    </row>
    <row r="79" spans="1:9" ht="12" x14ac:dyDescent="0.2">
      <c r="A79" s="607"/>
      <c r="B79" s="607"/>
      <c r="C79" s="607"/>
      <c r="D79" s="607"/>
      <c r="E79" s="607"/>
      <c r="F79" s="607"/>
      <c r="G79" s="607"/>
      <c r="H79" s="607"/>
      <c r="I79" s="607"/>
    </row>
    <row r="80" spans="1:9" ht="12" x14ac:dyDescent="0.2">
      <c r="A80" s="607"/>
      <c r="B80" s="607"/>
      <c r="C80" s="607"/>
      <c r="D80" s="607"/>
      <c r="E80" s="607"/>
      <c r="F80" s="607"/>
      <c r="G80" s="607"/>
      <c r="H80" s="607"/>
      <c r="I80" s="607"/>
    </row>
  </sheetData>
  <mergeCells count="4">
    <mergeCell ref="A1:H1"/>
    <mergeCell ref="A2:H2"/>
    <mergeCell ref="A3:H3"/>
    <mergeCell ref="A4:H4"/>
  </mergeCells>
  <phoneticPr fontId="3" type="noConversion"/>
  <printOptions horizontalCentered="1"/>
  <pageMargins left="0.25" right="0.25" top="1" bottom="0" header="0.5" footer="0.5"/>
  <pageSetup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167"/>
  <sheetViews>
    <sheetView zoomScaleNormal="100" workbookViewId="0">
      <selection activeCell="C21" sqref="C21"/>
    </sheetView>
  </sheetViews>
  <sheetFormatPr defaultColWidth="9.83203125" defaultRowHeight="10.5" x14ac:dyDescent="0.15"/>
  <cols>
    <col min="1" max="1" width="28.83203125" customWidth="1"/>
    <col min="2" max="2" width="4.83203125" customWidth="1"/>
    <col min="3" max="3" width="54" bestFit="1" customWidth="1"/>
  </cols>
  <sheetData>
    <row r="1" spans="1:8" ht="12.75" x14ac:dyDescent="0.2">
      <c r="A1" s="90"/>
      <c r="B1" s="90"/>
      <c r="C1" s="90"/>
      <c r="D1" s="90"/>
      <c r="E1" s="91"/>
      <c r="F1" s="91"/>
      <c r="G1" s="91"/>
      <c r="H1" s="91"/>
    </row>
    <row r="2" spans="1:8" ht="12.75" x14ac:dyDescent="0.2">
      <c r="A2" s="90"/>
      <c r="B2" s="90"/>
      <c r="C2" s="90"/>
      <c r="D2" s="90"/>
      <c r="E2" s="91"/>
      <c r="F2" s="91"/>
      <c r="G2" s="91"/>
      <c r="H2" s="91"/>
    </row>
    <row r="3" spans="1:8" ht="12.75" x14ac:dyDescent="0.2">
      <c r="A3" s="90"/>
      <c r="B3" s="90"/>
      <c r="C3" s="90"/>
      <c r="D3" s="90"/>
      <c r="E3" s="91"/>
      <c r="F3" s="91"/>
      <c r="G3" s="91"/>
      <c r="H3" s="91"/>
    </row>
    <row r="4" spans="1:8" ht="12.75" x14ac:dyDescent="0.2">
      <c r="A4" s="90"/>
      <c r="B4" s="90"/>
      <c r="C4" s="90"/>
      <c r="D4" s="90"/>
      <c r="E4" s="91"/>
      <c r="F4" s="91"/>
      <c r="G4" s="91"/>
      <c r="H4" s="91"/>
    </row>
    <row r="5" spans="1:8" ht="12.75" x14ac:dyDescent="0.2">
      <c r="A5" s="90"/>
      <c r="B5" s="90"/>
      <c r="C5" s="113" t="s">
        <v>108</v>
      </c>
      <c r="D5" s="90"/>
      <c r="E5" s="91"/>
      <c r="F5" s="91"/>
      <c r="G5" s="91"/>
      <c r="H5" s="91"/>
    </row>
    <row r="6" spans="1:8" ht="12.75" x14ac:dyDescent="0.2">
      <c r="A6" s="90"/>
      <c r="B6" s="90"/>
      <c r="C6" s="90"/>
      <c r="D6" s="90"/>
      <c r="E6" s="91"/>
      <c r="F6" s="91"/>
      <c r="G6" s="91"/>
      <c r="H6" s="91"/>
    </row>
    <row r="7" spans="1:8" ht="12.75" x14ac:dyDescent="0.2">
      <c r="A7" s="90"/>
      <c r="B7" s="90"/>
      <c r="C7" s="113" t="s">
        <v>109</v>
      </c>
      <c r="D7" s="90"/>
      <c r="E7" s="91"/>
      <c r="F7" s="91"/>
      <c r="G7" s="91"/>
      <c r="H7" s="91"/>
    </row>
    <row r="8" spans="1:8" ht="12.75" x14ac:dyDescent="0.2">
      <c r="A8" s="90"/>
      <c r="B8" s="90"/>
      <c r="C8" s="90"/>
      <c r="D8" s="90"/>
      <c r="E8" s="91"/>
      <c r="F8" s="91"/>
      <c r="G8" s="91"/>
      <c r="H8" s="91"/>
    </row>
    <row r="9" spans="1:8" ht="12.75" x14ac:dyDescent="0.2">
      <c r="A9" s="112" t="s">
        <v>476</v>
      </c>
      <c r="B9" s="90"/>
      <c r="C9" s="113" t="s">
        <v>477</v>
      </c>
      <c r="D9" s="90"/>
      <c r="E9" s="91"/>
      <c r="F9" s="91"/>
      <c r="G9" s="91"/>
      <c r="H9" s="91"/>
    </row>
    <row r="10" spans="1:8" ht="12.75" x14ac:dyDescent="0.2">
      <c r="A10" s="90"/>
      <c r="B10" s="90"/>
      <c r="C10" s="90"/>
      <c r="D10" s="90"/>
      <c r="E10" s="91"/>
      <c r="F10" s="91"/>
      <c r="G10" s="91"/>
      <c r="H10" s="91"/>
    </row>
    <row r="11" spans="1:8" ht="12.75" x14ac:dyDescent="0.2">
      <c r="A11" s="112" t="s">
        <v>91</v>
      </c>
      <c r="B11" s="90"/>
      <c r="C11" s="113" t="str">
        <f>+Input!C4</f>
        <v>CASE NO. 2017-xxxxx</v>
      </c>
      <c r="D11" s="90"/>
      <c r="E11" s="91"/>
      <c r="F11" s="91"/>
      <c r="G11" s="91"/>
      <c r="H11" s="91"/>
    </row>
    <row r="12" spans="1:8" ht="12.75" x14ac:dyDescent="0.2">
      <c r="A12" s="90"/>
      <c r="B12" s="90"/>
      <c r="C12" s="90"/>
      <c r="D12" s="90"/>
      <c r="E12" s="91"/>
      <c r="F12" s="91"/>
      <c r="G12" s="91"/>
      <c r="H12" s="91"/>
    </row>
    <row r="13" spans="1:8" ht="12.75" x14ac:dyDescent="0.2">
      <c r="A13" s="112" t="s">
        <v>85</v>
      </c>
      <c r="B13" s="90"/>
      <c r="C13" s="113" t="str">
        <f>+Input!C6</f>
        <v>TWELVE MONTHS ENDED DECEMBER 31, 2017</v>
      </c>
      <c r="D13" s="90"/>
      <c r="E13" s="91"/>
      <c r="F13" s="91"/>
      <c r="G13" s="91"/>
      <c r="H13" s="91"/>
    </row>
    <row r="14" spans="1:8" ht="12.75" x14ac:dyDescent="0.2">
      <c r="A14" s="90"/>
      <c r="B14" s="90"/>
      <c r="C14" s="90"/>
      <c r="D14" s="90"/>
      <c r="E14" s="91"/>
      <c r="F14" s="91"/>
      <c r="G14" s="91"/>
      <c r="H14" s="91"/>
    </row>
    <row r="15" spans="1:8" ht="12.75" x14ac:dyDescent="0.2">
      <c r="A15" s="112" t="s">
        <v>478</v>
      </c>
      <c r="B15" s="90"/>
      <c r="C15" s="113" t="str">
        <f>+Input!C6</f>
        <v>TWELVE MONTHS ENDED DECEMBER 31, 2017</v>
      </c>
      <c r="D15" s="90"/>
      <c r="E15" s="91"/>
      <c r="F15" s="91"/>
      <c r="G15" s="91"/>
      <c r="H15" s="91"/>
    </row>
    <row r="16" spans="1:8" ht="12.75" x14ac:dyDescent="0.2">
      <c r="A16" s="90"/>
      <c r="B16" s="90"/>
      <c r="C16" s="90"/>
      <c r="D16" s="90"/>
      <c r="E16" s="91"/>
      <c r="F16" s="91"/>
      <c r="G16" s="91"/>
      <c r="H16" s="91"/>
    </row>
    <row r="17" spans="1:8" ht="12.75" x14ac:dyDescent="0.2">
      <c r="A17" s="90"/>
      <c r="B17" s="90"/>
      <c r="C17" s="90"/>
      <c r="D17" s="90"/>
      <c r="E17" s="91"/>
      <c r="F17" s="91"/>
      <c r="G17" s="91"/>
      <c r="H17" s="91"/>
    </row>
    <row r="18" spans="1:8" ht="12.75" x14ac:dyDescent="0.2">
      <c r="A18" s="115" t="s">
        <v>479</v>
      </c>
      <c r="B18" s="116"/>
      <c r="C18" s="117" t="s">
        <v>480</v>
      </c>
      <c r="D18" s="116"/>
      <c r="E18" s="91"/>
      <c r="F18" s="91"/>
      <c r="G18" s="91"/>
      <c r="H18" s="91"/>
    </row>
    <row r="19" spans="1:8" ht="12.75" x14ac:dyDescent="0.2">
      <c r="A19" s="605"/>
      <c r="B19" s="90"/>
      <c r="C19" s="605"/>
      <c r="D19" s="359"/>
      <c r="E19" s="91"/>
      <c r="F19" s="91"/>
      <c r="G19" s="91"/>
      <c r="H19" s="91"/>
    </row>
    <row r="20" spans="1:8" ht="12.75" x14ac:dyDescent="0.2">
      <c r="A20" s="605"/>
      <c r="B20" s="90"/>
      <c r="C20" s="605"/>
      <c r="D20" s="359"/>
      <c r="E20" s="91"/>
      <c r="F20" s="91"/>
      <c r="G20" s="91"/>
      <c r="H20" s="91"/>
    </row>
    <row r="21" spans="1:8" ht="12.75" x14ac:dyDescent="0.2">
      <c r="A21" s="90"/>
      <c r="B21" s="90"/>
      <c r="C21" s="90"/>
      <c r="D21" s="90"/>
      <c r="E21" s="91"/>
      <c r="F21" s="91"/>
      <c r="G21" s="91"/>
      <c r="H21" s="91"/>
    </row>
    <row r="22" spans="1:8" ht="12.75" x14ac:dyDescent="0.2">
      <c r="A22" s="112"/>
      <c r="B22" s="90"/>
      <c r="C22" s="90"/>
      <c r="D22" s="90"/>
      <c r="E22" s="91"/>
      <c r="F22" s="91"/>
      <c r="G22" s="91"/>
      <c r="H22" s="91"/>
    </row>
    <row r="23" spans="1:8" ht="12.75" x14ac:dyDescent="0.2">
      <c r="A23" s="1428" t="s">
        <v>110</v>
      </c>
      <c r="B23" s="1428"/>
      <c r="C23" s="1428"/>
      <c r="D23" s="1428"/>
      <c r="E23" s="91"/>
      <c r="F23" s="91"/>
      <c r="G23" s="91"/>
      <c r="H23" s="91"/>
    </row>
    <row r="24" spans="1:8" ht="12.75" x14ac:dyDescent="0.2">
      <c r="A24" s="112"/>
      <c r="B24" s="90"/>
      <c r="C24" s="90"/>
      <c r="D24" s="90"/>
      <c r="E24" s="91"/>
      <c r="F24" s="91"/>
      <c r="G24" s="91"/>
      <c r="H24" s="91"/>
    </row>
    <row r="25" spans="1:8" ht="11.25" x14ac:dyDescent="0.2">
      <c r="A25" s="133"/>
      <c r="B25" s="91"/>
      <c r="C25" s="91"/>
      <c r="D25" s="91"/>
      <c r="E25" s="91"/>
      <c r="F25" s="91"/>
      <c r="G25" s="91"/>
      <c r="H25" s="91"/>
    </row>
    <row r="26" spans="1:8" ht="11.25" x14ac:dyDescent="0.2">
      <c r="A26" s="133"/>
      <c r="B26" s="91"/>
      <c r="C26" s="91"/>
      <c r="D26" s="91"/>
      <c r="E26" s="91"/>
      <c r="F26" s="91"/>
      <c r="G26" s="91"/>
      <c r="H26" s="91"/>
    </row>
    <row r="27" spans="1:8" ht="11.25" x14ac:dyDescent="0.2">
      <c r="A27" s="91"/>
      <c r="B27" s="91"/>
      <c r="C27" s="91"/>
      <c r="D27" s="91"/>
      <c r="E27" s="91"/>
      <c r="F27" s="91"/>
      <c r="G27" s="91"/>
      <c r="H27" s="91"/>
    </row>
    <row r="28" spans="1:8" ht="11.25" x14ac:dyDescent="0.2">
      <c r="A28" s="91"/>
      <c r="B28" s="91"/>
      <c r="C28" s="91"/>
      <c r="D28" s="91"/>
      <c r="E28" s="91"/>
      <c r="F28" s="91"/>
      <c r="G28" s="91"/>
      <c r="H28" s="91"/>
    </row>
    <row r="29" spans="1:8" ht="11.25" x14ac:dyDescent="0.2">
      <c r="A29" s="91"/>
      <c r="B29" s="91"/>
      <c r="C29" s="91"/>
      <c r="D29" s="91"/>
      <c r="E29" s="91"/>
      <c r="F29" s="91"/>
      <c r="G29" s="91"/>
      <c r="H29" s="91"/>
    </row>
    <row r="30" spans="1:8" ht="11.25" x14ac:dyDescent="0.2">
      <c r="A30" s="91"/>
      <c r="B30" s="91"/>
      <c r="C30" s="91"/>
      <c r="D30" s="91"/>
      <c r="E30" s="91"/>
      <c r="F30" s="91"/>
      <c r="G30" s="91"/>
      <c r="H30" s="91"/>
    </row>
    <row r="31" spans="1:8" ht="11.25" x14ac:dyDescent="0.2">
      <c r="A31" s="91"/>
      <c r="B31" s="91"/>
      <c r="C31" s="91"/>
      <c r="D31" s="91"/>
      <c r="E31" s="91"/>
      <c r="F31" s="91"/>
      <c r="G31" s="91"/>
      <c r="H31" s="91"/>
    </row>
    <row r="32" spans="1:8" ht="11.25" x14ac:dyDescent="0.2">
      <c r="A32" s="91"/>
      <c r="B32" s="91"/>
      <c r="C32" s="91"/>
      <c r="D32" s="91"/>
      <c r="E32" s="91"/>
      <c r="F32" s="91"/>
      <c r="G32" s="91"/>
      <c r="H32" s="91"/>
    </row>
    <row r="33" spans="1:8" ht="11.25" x14ac:dyDescent="0.2">
      <c r="A33" s="91"/>
      <c r="B33" s="91"/>
      <c r="C33" s="91"/>
      <c r="D33" s="91"/>
      <c r="E33" s="91"/>
      <c r="F33" s="91"/>
      <c r="G33" s="91"/>
      <c r="H33" s="91"/>
    </row>
    <row r="34" spans="1:8" ht="11.25" x14ac:dyDescent="0.2">
      <c r="A34" s="91"/>
      <c r="B34" s="91"/>
      <c r="C34" s="91"/>
      <c r="D34" s="91"/>
      <c r="E34" s="91"/>
      <c r="F34" s="91"/>
      <c r="G34" s="91"/>
      <c r="H34" s="91"/>
    </row>
    <row r="35" spans="1:8" ht="11.25" x14ac:dyDescent="0.2">
      <c r="A35" s="91"/>
      <c r="B35" s="91"/>
      <c r="C35" s="91"/>
      <c r="D35" s="91"/>
      <c r="E35" s="91"/>
      <c r="F35" s="91"/>
      <c r="G35" s="91"/>
      <c r="H35" s="91"/>
    </row>
    <row r="36" spans="1:8" ht="11.25" x14ac:dyDescent="0.2">
      <c r="A36" s="91"/>
      <c r="B36" s="91"/>
      <c r="C36" s="91"/>
      <c r="D36" s="91"/>
      <c r="E36" s="91"/>
      <c r="F36" s="91"/>
      <c r="G36" s="91"/>
      <c r="H36" s="91"/>
    </row>
    <row r="37" spans="1:8" ht="11.25" x14ac:dyDescent="0.2">
      <c r="A37" s="91"/>
      <c r="B37" s="91"/>
      <c r="C37" s="91"/>
      <c r="D37" s="91"/>
      <c r="E37" s="91"/>
      <c r="F37" s="91"/>
      <c r="G37" s="91"/>
      <c r="H37" s="91"/>
    </row>
    <row r="38" spans="1:8" ht="11.25" x14ac:dyDescent="0.2">
      <c r="A38" s="91"/>
      <c r="B38" s="91"/>
      <c r="C38" s="91"/>
      <c r="D38" s="91"/>
      <c r="E38" s="91"/>
      <c r="F38" s="91"/>
      <c r="G38" s="91"/>
      <c r="H38" s="91"/>
    </row>
    <row r="39" spans="1:8" ht="11.25" x14ac:dyDescent="0.2">
      <c r="A39" s="91"/>
      <c r="B39" s="91"/>
      <c r="C39" s="91"/>
      <c r="D39" s="91"/>
      <c r="E39" s="91"/>
      <c r="F39" s="91"/>
      <c r="G39" s="91"/>
      <c r="H39" s="91"/>
    </row>
    <row r="40" spans="1:8" ht="11.25" x14ac:dyDescent="0.2">
      <c r="A40" s="91"/>
      <c r="B40" s="91"/>
      <c r="C40" s="91"/>
      <c r="D40" s="91"/>
      <c r="E40" s="91"/>
      <c r="F40" s="91"/>
      <c r="G40" s="91"/>
      <c r="H40" s="91"/>
    </row>
    <row r="41" spans="1:8" ht="11.25" x14ac:dyDescent="0.2">
      <c r="A41" s="91"/>
      <c r="B41" s="91"/>
      <c r="C41" s="91"/>
      <c r="D41" s="91"/>
      <c r="E41" s="91"/>
      <c r="F41" s="91"/>
      <c r="G41" s="91"/>
      <c r="H41" s="91"/>
    </row>
    <row r="42" spans="1:8" ht="11.25" x14ac:dyDescent="0.2">
      <c r="A42" s="91"/>
      <c r="B42" s="91"/>
      <c r="C42" s="91"/>
      <c r="D42" s="91"/>
      <c r="E42" s="91"/>
      <c r="F42" s="91"/>
      <c r="G42" s="91"/>
      <c r="H42" s="91"/>
    </row>
    <row r="43" spans="1:8" ht="11.25" x14ac:dyDescent="0.2">
      <c r="A43" s="91"/>
      <c r="B43" s="91"/>
      <c r="C43" s="91"/>
      <c r="D43" s="91"/>
      <c r="E43" s="91"/>
      <c r="F43" s="91"/>
      <c r="G43" s="91"/>
      <c r="H43" s="91"/>
    </row>
    <row r="44" spans="1:8" ht="11.25" x14ac:dyDescent="0.2">
      <c r="A44" s="91"/>
      <c r="B44" s="91"/>
      <c r="C44" s="91"/>
      <c r="D44" s="91"/>
      <c r="E44" s="91"/>
      <c r="F44" s="91"/>
      <c r="G44" s="91"/>
      <c r="H44" s="91"/>
    </row>
    <row r="45" spans="1:8" ht="11.25" x14ac:dyDescent="0.2">
      <c r="A45" s="91"/>
      <c r="B45" s="91"/>
      <c r="C45" s="91"/>
      <c r="D45" s="91"/>
      <c r="E45" s="91"/>
      <c r="F45" s="91"/>
      <c r="G45" s="91"/>
      <c r="H45" s="91"/>
    </row>
    <row r="46" spans="1:8" ht="11.25" x14ac:dyDescent="0.2">
      <c r="A46" s="91"/>
      <c r="B46" s="91"/>
      <c r="C46" s="91"/>
      <c r="D46" s="91"/>
      <c r="E46" s="91"/>
      <c r="F46" s="91"/>
      <c r="G46" s="91"/>
      <c r="H46" s="91"/>
    </row>
    <row r="47" spans="1:8" ht="11.25" x14ac:dyDescent="0.2">
      <c r="A47" s="91"/>
      <c r="B47" s="91"/>
      <c r="C47" s="91"/>
      <c r="D47" s="91"/>
      <c r="E47" s="91"/>
      <c r="F47" s="91"/>
      <c r="G47" s="91"/>
      <c r="H47" s="91"/>
    </row>
    <row r="48" spans="1:8" ht="11.25" x14ac:dyDescent="0.2">
      <c r="A48" s="91"/>
      <c r="B48" s="91"/>
      <c r="C48" s="91"/>
      <c r="D48" s="91"/>
      <c r="E48" s="91"/>
      <c r="F48" s="91"/>
      <c r="G48" s="91"/>
      <c r="H48" s="91"/>
    </row>
    <row r="49" spans="1:8" ht="11.25" x14ac:dyDescent="0.2">
      <c r="A49" s="91"/>
      <c r="B49" s="91"/>
      <c r="C49" s="91"/>
      <c r="D49" s="91"/>
      <c r="E49" s="91"/>
      <c r="F49" s="91"/>
      <c r="G49" s="91"/>
      <c r="H49" s="91"/>
    </row>
    <row r="50" spans="1:8" ht="11.25" x14ac:dyDescent="0.2">
      <c r="A50" s="91"/>
      <c r="B50" s="91"/>
      <c r="C50" s="91"/>
      <c r="D50" s="91"/>
      <c r="E50" s="91"/>
      <c r="F50" s="91"/>
      <c r="G50" s="91"/>
      <c r="H50" s="91"/>
    </row>
    <row r="51" spans="1:8" ht="11.25" x14ac:dyDescent="0.2">
      <c r="A51" s="91"/>
      <c r="B51" s="91"/>
      <c r="C51" s="91"/>
      <c r="D51" s="91"/>
      <c r="E51" s="91"/>
      <c r="F51" s="91"/>
      <c r="G51" s="91"/>
      <c r="H51" s="91"/>
    </row>
    <row r="52" spans="1:8" ht="11.25" x14ac:dyDescent="0.2">
      <c r="A52" s="91"/>
      <c r="B52" s="91"/>
      <c r="C52" s="91"/>
      <c r="D52" s="91"/>
      <c r="E52" s="91"/>
      <c r="F52" s="91"/>
      <c r="G52" s="91"/>
      <c r="H52" s="91"/>
    </row>
    <row r="53" spans="1:8" ht="11.25" x14ac:dyDescent="0.2">
      <c r="A53" s="91"/>
      <c r="B53" s="91"/>
      <c r="C53" s="91"/>
      <c r="D53" s="91"/>
      <c r="E53" s="91"/>
      <c r="F53" s="91"/>
      <c r="G53" s="91"/>
      <c r="H53" s="91"/>
    </row>
    <row r="54" spans="1:8" ht="11.25" x14ac:dyDescent="0.2">
      <c r="A54" s="91"/>
      <c r="B54" s="91"/>
      <c r="C54" s="91"/>
      <c r="D54" s="91"/>
      <c r="E54" s="91"/>
      <c r="F54" s="91"/>
      <c r="G54" s="91"/>
      <c r="H54" s="91"/>
    </row>
    <row r="55" spans="1:8" ht="11.25" x14ac:dyDescent="0.2">
      <c r="A55" s="91"/>
      <c r="B55" s="91"/>
      <c r="C55" s="91"/>
      <c r="D55" s="91"/>
      <c r="E55" s="91"/>
      <c r="F55" s="91"/>
      <c r="G55" s="91"/>
      <c r="H55" s="91"/>
    </row>
    <row r="56" spans="1:8" ht="11.25" x14ac:dyDescent="0.2">
      <c r="A56" s="91"/>
      <c r="B56" s="91"/>
      <c r="C56" s="91"/>
      <c r="D56" s="91"/>
      <c r="E56" s="91"/>
      <c r="F56" s="91"/>
      <c r="G56" s="91"/>
      <c r="H56" s="91"/>
    </row>
    <row r="57" spans="1:8" ht="11.25" x14ac:dyDescent="0.2">
      <c r="A57" s="91"/>
      <c r="B57" s="91"/>
      <c r="C57" s="91"/>
      <c r="D57" s="91"/>
      <c r="E57" s="91"/>
      <c r="F57" s="91"/>
      <c r="G57" s="91"/>
      <c r="H57" s="91"/>
    </row>
    <row r="58" spans="1:8" ht="11.25" x14ac:dyDescent="0.2">
      <c r="A58" s="91"/>
      <c r="B58" s="91"/>
      <c r="C58" s="91"/>
      <c r="D58" s="91"/>
      <c r="E58" s="91"/>
      <c r="F58" s="91"/>
      <c r="G58" s="91"/>
      <c r="H58" s="91"/>
    </row>
    <row r="59" spans="1:8" ht="11.25" x14ac:dyDescent="0.2">
      <c r="A59" s="91"/>
      <c r="B59" s="91"/>
      <c r="C59" s="91"/>
      <c r="D59" s="91"/>
      <c r="E59" s="91"/>
      <c r="F59" s="91"/>
      <c r="G59" s="91"/>
      <c r="H59" s="91"/>
    </row>
    <row r="60" spans="1:8" ht="11.25" x14ac:dyDescent="0.2">
      <c r="A60" s="91"/>
      <c r="B60" s="91"/>
      <c r="C60" s="91"/>
      <c r="D60" s="91"/>
      <c r="E60" s="91"/>
      <c r="F60" s="91"/>
      <c r="G60" s="91"/>
      <c r="H60" s="91"/>
    </row>
    <row r="61" spans="1:8" ht="11.25" x14ac:dyDescent="0.2">
      <c r="A61" s="91"/>
      <c r="B61" s="91"/>
      <c r="C61" s="91"/>
      <c r="D61" s="91"/>
      <c r="E61" s="91"/>
      <c r="F61" s="91"/>
      <c r="G61" s="91"/>
      <c r="H61" s="91"/>
    </row>
    <row r="62" spans="1:8" ht="11.25" x14ac:dyDescent="0.2">
      <c r="A62" s="91"/>
      <c r="B62" s="91"/>
      <c r="C62" s="91"/>
      <c r="D62" s="91"/>
      <c r="E62" s="91"/>
      <c r="F62" s="91"/>
      <c r="G62" s="91"/>
      <c r="H62" s="91"/>
    </row>
    <row r="63" spans="1:8" ht="11.25" x14ac:dyDescent="0.2">
      <c r="A63" s="91"/>
      <c r="B63" s="91"/>
      <c r="C63" s="91"/>
      <c r="D63" s="91"/>
      <c r="E63" s="91"/>
      <c r="F63" s="91"/>
      <c r="G63" s="91"/>
      <c r="H63" s="91"/>
    </row>
    <row r="64" spans="1:8" ht="11.25" x14ac:dyDescent="0.2">
      <c r="A64" s="91"/>
      <c r="B64" s="91"/>
      <c r="C64" s="91"/>
      <c r="D64" s="91"/>
      <c r="E64" s="91"/>
      <c r="F64" s="91"/>
      <c r="G64" s="91"/>
      <c r="H64" s="91"/>
    </row>
    <row r="65" spans="1:8" ht="11.25" x14ac:dyDescent="0.2">
      <c r="A65" s="91"/>
      <c r="B65" s="91"/>
      <c r="C65" s="91"/>
      <c r="D65" s="91"/>
      <c r="E65" s="91"/>
      <c r="F65" s="91"/>
      <c r="G65" s="91"/>
      <c r="H65" s="91"/>
    </row>
    <row r="66" spans="1:8" ht="11.25" x14ac:dyDescent="0.2">
      <c r="A66" s="91"/>
      <c r="B66" s="91"/>
      <c r="C66" s="91"/>
      <c r="D66" s="91"/>
      <c r="E66" s="91"/>
      <c r="F66" s="91"/>
      <c r="G66" s="91"/>
      <c r="H66" s="91"/>
    </row>
    <row r="67" spans="1:8" ht="11.25" x14ac:dyDescent="0.2">
      <c r="A67" s="91"/>
      <c r="B67" s="91"/>
      <c r="C67" s="91"/>
      <c r="D67" s="91"/>
      <c r="E67" s="91"/>
      <c r="F67" s="91"/>
      <c r="G67" s="91"/>
      <c r="H67" s="91"/>
    </row>
    <row r="68" spans="1:8" ht="11.25" x14ac:dyDescent="0.2">
      <c r="A68" s="91"/>
      <c r="B68" s="91"/>
      <c r="C68" s="91"/>
      <c r="D68" s="91"/>
      <c r="E68" s="91"/>
      <c r="F68" s="91"/>
      <c r="G68" s="91"/>
      <c r="H68" s="91"/>
    </row>
    <row r="69" spans="1:8" ht="11.25" x14ac:dyDescent="0.2">
      <c r="A69" s="91"/>
      <c r="B69" s="91"/>
      <c r="C69" s="91"/>
      <c r="D69" s="91"/>
      <c r="E69" s="91"/>
      <c r="F69" s="91"/>
      <c r="G69" s="91"/>
      <c r="H69" s="91"/>
    </row>
    <row r="70" spans="1:8" ht="11.25" x14ac:dyDescent="0.2">
      <c r="A70" s="91"/>
      <c r="B70" s="91"/>
      <c r="C70" s="91"/>
      <c r="D70" s="91"/>
      <c r="E70" s="91"/>
      <c r="F70" s="91"/>
      <c r="G70" s="91"/>
      <c r="H70" s="91"/>
    </row>
    <row r="71" spans="1:8" ht="11.25" x14ac:dyDescent="0.2">
      <c r="A71" s="91"/>
      <c r="B71" s="91"/>
      <c r="C71" s="91"/>
      <c r="D71" s="91"/>
      <c r="E71" s="91"/>
      <c r="F71" s="91"/>
      <c r="G71" s="91"/>
      <c r="H71" s="91"/>
    </row>
    <row r="72" spans="1:8" ht="11.25" x14ac:dyDescent="0.2">
      <c r="A72" s="91"/>
      <c r="B72" s="91"/>
      <c r="C72" s="91"/>
      <c r="D72" s="91"/>
      <c r="E72" s="91"/>
      <c r="F72" s="91"/>
      <c r="G72" s="91"/>
      <c r="H72" s="91"/>
    </row>
    <row r="73" spans="1:8" ht="11.25" x14ac:dyDescent="0.2">
      <c r="A73" s="91"/>
      <c r="B73" s="91"/>
      <c r="C73" s="91"/>
      <c r="D73" s="91"/>
      <c r="E73" s="91"/>
      <c r="F73" s="91"/>
      <c r="G73" s="91"/>
      <c r="H73" s="91"/>
    </row>
    <row r="74" spans="1:8" ht="11.25" x14ac:dyDescent="0.2">
      <c r="A74" s="91"/>
      <c r="B74" s="91"/>
      <c r="C74" s="91"/>
      <c r="D74" s="91"/>
      <c r="E74" s="91"/>
      <c r="F74" s="91"/>
      <c r="G74" s="91"/>
      <c r="H74" s="91"/>
    </row>
    <row r="75" spans="1:8" ht="11.25" x14ac:dyDescent="0.2">
      <c r="A75" s="91"/>
      <c r="B75" s="91"/>
      <c r="C75" s="91"/>
      <c r="D75" s="91"/>
      <c r="E75" s="91"/>
      <c r="F75" s="91"/>
      <c r="G75" s="91"/>
      <c r="H75" s="91"/>
    </row>
    <row r="76" spans="1:8" ht="11.25" x14ac:dyDescent="0.2">
      <c r="A76" s="91"/>
      <c r="B76" s="91"/>
      <c r="C76" s="91"/>
      <c r="D76" s="91"/>
      <c r="E76" s="91"/>
      <c r="F76" s="91"/>
      <c r="G76" s="91"/>
      <c r="H76" s="91"/>
    </row>
    <row r="77" spans="1:8" ht="11.25" x14ac:dyDescent="0.2">
      <c r="A77" s="91"/>
      <c r="B77" s="91"/>
      <c r="C77" s="91"/>
      <c r="D77" s="91"/>
      <c r="E77" s="91"/>
      <c r="F77" s="91"/>
      <c r="G77" s="91"/>
      <c r="H77" s="91"/>
    </row>
    <row r="78" spans="1:8" ht="11.25" x14ac:dyDescent="0.2">
      <c r="A78" s="91"/>
      <c r="B78" s="91"/>
      <c r="C78" s="91"/>
      <c r="D78" s="91"/>
      <c r="E78" s="91"/>
      <c r="F78" s="91"/>
      <c r="G78" s="91"/>
      <c r="H78" s="91"/>
    </row>
    <row r="79" spans="1:8" ht="11.25" x14ac:dyDescent="0.2">
      <c r="A79" s="91"/>
      <c r="B79" s="91"/>
      <c r="C79" s="91"/>
      <c r="D79" s="91"/>
      <c r="E79" s="91"/>
      <c r="F79" s="91"/>
      <c r="G79" s="91"/>
      <c r="H79" s="91"/>
    </row>
    <row r="80" spans="1:8" ht="11.25" x14ac:dyDescent="0.2">
      <c r="A80" s="91"/>
      <c r="B80" s="91"/>
      <c r="C80" s="91"/>
      <c r="D80" s="91"/>
      <c r="E80" s="91"/>
      <c r="F80" s="91"/>
      <c r="G80" s="91"/>
      <c r="H80" s="91"/>
    </row>
    <row r="81" spans="1:8" ht="11.25" x14ac:dyDescent="0.2">
      <c r="A81" s="91"/>
      <c r="B81" s="91"/>
      <c r="C81" s="91"/>
      <c r="D81" s="91"/>
      <c r="E81" s="91"/>
      <c r="F81" s="91"/>
      <c r="G81" s="91"/>
      <c r="H81" s="91"/>
    </row>
    <row r="82" spans="1:8" ht="11.25" x14ac:dyDescent="0.2">
      <c r="A82" s="91"/>
      <c r="B82" s="91"/>
      <c r="C82" s="91"/>
      <c r="D82" s="91"/>
      <c r="E82" s="91"/>
      <c r="F82" s="91"/>
      <c r="G82" s="91"/>
      <c r="H82" s="91"/>
    </row>
    <row r="83" spans="1:8" ht="11.25" x14ac:dyDescent="0.2">
      <c r="A83" s="91"/>
      <c r="B83" s="91"/>
      <c r="C83" s="91"/>
      <c r="D83" s="91"/>
      <c r="E83" s="91"/>
      <c r="F83" s="91"/>
      <c r="G83" s="91"/>
      <c r="H83" s="91"/>
    </row>
    <row r="84" spans="1:8" ht="11.25" x14ac:dyDescent="0.2">
      <c r="A84" s="91"/>
      <c r="B84" s="91"/>
      <c r="C84" s="91"/>
      <c r="D84" s="91"/>
      <c r="E84" s="91"/>
      <c r="F84" s="91"/>
      <c r="G84" s="91"/>
      <c r="H84" s="91"/>
    </row>
    <row r="85" spans="1:8" ht="11.25" x14ac:dyDescent="0.2">
      <c r="A85" s="91"/>
      <c r="B85" s="91"/>
      <c r="C85" s="91"/>
      <c r="D85" s="91"/>
      <c r="E85" s="91"/>
      <c r="F85" s="91"/>
      <c r="G85" s="91"/>
      <c r="H85" s="91"/>
    </row>
    <row r="86" spans="1:8" ht="11.25" x14ac:dyDescent="0.2">
      <c r="A86" s="91"/>
      <c r="B86" s="91"/>
      <c r="C86" s="91"/>
      <c r="D86" s="91"/>
      <c r="E86" s="91"/>
      <c r="F86" s="91"/>
      <c r="G86" s="91"/>
      <c r="H86" s="91"/>
    </row>
    <row r="87" spans="1:8" ht="11.25" x14ac:dyDescent="0.2">
      <c r="A87" s="91"/>
      <c r="B87" s="91"/>
      <c r="C87" s="91"/>
      <c r="D87" s="91"/>
      <c r="E87" s="91"/>
      <c r="F87" s="91"/>
      <c r="G87" s="91"/>
      <c r="H87" s="91"/>
    </row>
    <row r="88" spans="1:8" ht="11.25" x14ac:dyDescent="0.2">
      <c r="A88" s="91"/>
      <c r="B88" s="91"/>
      <c r="C88" s="91"/>
      <c r="D88" s="91"/>
      <c r="E88" s="91"/>
      <c r="F88" s="91"/>
      <c r="G88" s="91"/>
      <c r="H88" s="91"/>
    </row>
    <row r="89" spans="1:8" ht="11.25" x14ac:dyDescent="0.2">
      <c r="A89" s="91"/>
      <c r="B89" s="91"/>
      <c r="C89" s="91"/>
      <c r="D89" s="91"/>
      <c r="E89" s="91"/>
      <c r="F89" s="91"/>
      <c r="G89" s="91"/>
      <c r="H89" s="91"/>
    </row>
    <row r="90" spans="1:8" ht="11.25" x14ac:dyDescent="0.2">
      <c r="A90" s="91"/>
      <c r="B90" s="91"/>
      <c r="C90" s="91"/>
      <c r="D90" s="91"/>
      <c r="E90" s="91"/>
      <c r="F90" s="91"/>
      <c r="G90" s="91"/>
      <c r="H90" s="91"/>
    </row>
    <row r="91" spans="1:8" ht="11.25" x14ac:dyDescent="0.2">
      <c r="A91" s="91"/>
      <c r="B91" s="91"/>
      <c r="C91" s="91"/>
      <c r="D91" s="91"/>
      <c r="E91" s="91"/>
      <c r="F91" s="91"/>
      <c r="G91" s="91"/>
      <c r="H91" s="91"/>
    </row>
    <row r="92" spans="1:8" ht="11.25" x14ac:dyDescent="0.2">
      <c r="A92" s="91"/>
      <c r="B92" s="91"/>
      <c r="C92" s="91"/>
      <c r="D92" s="91"/>
      <c r="E92" s="91"/>
      <c r="F92" s="91"/>
      <c r="G92" s="91"/>
      <c r="H92" s="91"/>
    </row>
    <row r="93" spans="1:8" ht="11.25" x14ac:dyDescent="0.2">
      <c r="A93" s="91"/>
      <c r="B93" s="91"/>
      <c r="C93" s="91"/>
      <c r="D93" s="91"/>
      <c r="E93" s="91"/>
      <c r="F93" s="91"/>
      <c r="G93" s="91"/>
      <c r="H93" s="91"/>
    </row>
    <row r="94" spans="1:8" ht="11.25" x14ac:dyDescent="0.2">
      <c r="A94" s="91"/>
      <c r="B94" s="91"/>
      <c r="C94" s="91"/>
      <c r="D94" s="91"/>
      <c r="E94" s="91"/>
      <c r="F94" s="91"/>
      <c r="G94" s="91"/>
      <c r="H94" s="91"/>
    </row>
    <row r="95" spans="1:8" ht="11.25" x14ac:dyDescent="0.2">
      <c r="A95" s="91"/>
      <c r="B95" s="91"/>
      <c r="C95" s="91"/>
      <c r="D95" s="91"/>
      <c r="E95" s="91"/>
      <c r="F95" s="91"/>
      <c r="G95" s="91"/>
      <c r="H95" s="91"/>
    </row>
    <row r="96" spans="1:8" ht="11.25" x14ac:dyDescent="0.2">
      <c r="A96" s="91"/>
      <c r="B96" s="91"/>
      <c r="C96" s="91"/>
      <c r="D96" s="91"/>
      <c r="E96" s="91"/>
      <c r="F96" s="91"/>
      <c r="G96" s="91"/>
      <c r="H96" s="91"/>
    </row>
    <row r="97" spans="1:8" ht="11.25" x14ac:dyDescent="0.2">
      <c r="A97" s="91"/>
      <c r="B97" s="91"/>
      <c r="C97" s="91"/>
      <c r="D97" s="91"/>
      <c r="E97" s="91"/>
      <c r="F97" s="91"/>
      <c r="G97" s="91"/>
      <c r="H97" s="91"/>
    </row>
    <row r="98" spans="1:8" ht="11.25" x14ac:dyDescent="0.2">
      <c r="A98" s="91"/>
      <c r="B98" s="91"/>
      <c r="C98" s="91"/>
      <c r="D98" s="91"/>
      <c r="E98" s="91"/>
      <c r="F98" s="91"/>
      <c r="G98" s="91"/>
      <c r="H98" s="91"/>
    </row>
    <row r="99" spans="1:8" ht="11.25" x14ac:dyDescent="0.2">
      <c r="A99" s="91"/>
      <c r="B99" s="91"/>
      <c r="C99" s="91"/>
      <c r="D99" s="91"/>
      <c r="E99" s="91"/>
      <c r="F99" s="91"/>
      <c r="G99" s="91"/>
      <c r="H99" s="91"/>
    </row>
    <row r="100" spans="1:8" ht="11.25" x14ac:dyDescent="0.2">
      <c r="A100" s="91"/>
      <c r="B100" s="91"/>
      <c r="C100" s="91"/>
      <c r="D100" s="91"/>
      <c r="E100" s="91"/>
      <c r="F100" s="91"/>
      <c r="G100" s="91"/>
      <c r="H100" s="91"/>
    </row>
    <row r="101" spans="1:8" ht="11.25" x14ac:dyDescent="0.2">
      <c r="A101" s="91"/>
      <c r="B101" s="91"/>
      <c r="C101" s="91"/>
      <c r="D101" s="91"/>
      <c r="E101" s="91"/>
      <c r="F101" s="91"/>
      <c r="G101" s="91"/>
      <c r="H101" s="91"/>
    </row>
    <row r="102" spans="1:8" ht="11.25" x14ac:dyDescent="0.2">
      <c r="A102" s="91"/>
      <c r="B102" s="91"/>
      <c r="C102" s="91"/>
      <c r="D102" s="91"/>
      <c r="E102" s="91"/>
      <c r="F102" s="91"/>
      <c r="G102" s="91"/>
      <c r="H102" s="91"/>
    </row>
    <row r="103" spans="1:8" ht="11.25" x14ac:dyDescent="0.2">
      <c r="A103" s="91"/>
      <c r="B103" s="91"/>
      <c r="C103" s="91"/>
      <c r="D103" s="91"/>
      <c r="E103" s="91"/>
      <c r="F103" s="91"/>
      <c r="G103" s="91"/>
      <c r="H103" s="91"/>
    </row>
    <row r="104" spans="1:8" ht="11.25" x14ac:dyDescent="0.2">
      <c r="A104" s="91"/>
      <c r="B104" s="91"/>
      <c r="C104" s="91"/>
      <c r="D104" s="91"/>
      <c r="E104" s="91"/>
      <c r="F104" s="91"/>
      <c r="G104" s="91"/>
      <c r="H104" s="91"/>
    </row>
    <row r="105" spans="1:8" ht="11.25" x14ac:dyDescent="0.2">
      <c r="A105" s="91"/>
      <c r="B105" s="91"/>
      <c r="C105" s="91"/>
      <c r="D105" s="91"/>
      <c r="E105" s="91"/>
      <c r="F105" s="91"/>
      <c r="G105" s="91"/>
      <c r="H105" s="91"/>
    </row>
    <row r="106" spans="1:8" ht="11.25" x14ac:dyDescent="0.2">
      <c r="A106" s="91"/>
      <c r="B106" s="91"/>
      <c r="C106" s="91"/>
      <c r="D106" s="91"/>
      <c r="E106" s="91"/>
      <c r="F106" s="91"/>
      <c r="G106" s="91"/>
      <c r="H106" s="91"/>
    </row>
    <row r="107" spans="1:8" ht="11.25" x14ac:dyDescent="0.2">
      <c r="A107" s="91"/>
      <c r="B107" s="91"/>
      <c r="C107" s="91"/>
      <c r="D107" s="91"/>
      <c r="E107" s="91"/>
      <c r="F107" s="91"/>
      <c r="G107" s="91"/>
      <c r="H107" s="91"/>
    </row>
    <row r="108" spans="1:8" ht="11.25" x14ac:dyDescent="0.2">
      <c r="A108" s="91"/>
      <c r="B108" s="91"/>
      <c r="C108" s="91"/>
      <c r="D108" s="91"/>
      <c r="E108" s="91"/>
      <c r="F108" s="91"/>
      <c r="G108" s="91"/>
      <c r="H108" s="91"/>
    </row>
    <row r="109" spans="1:8" ht="11.25" x14ac:dyDescent="0.2">
      <c r="A109" s="91"/>
      <c r="B109" s="91"/>
      <c r="C109" s="91"/>
      <c r="D109" s="91"/>
      <c r="E109" s="91"/>
      <c r="F109" s="91"/>
      <c r="G109" s="91"/>
      <c r="H109" s="91"/>
    </row>
    <row r="110" spans="1:8" ht="11.25" x14ac:dyDescent="0.2">
      <c r="A110" s="91"/>
      <c r="B110" s="91"/>
      <c r="C110" s="91"/>
      <c r="D110" s="91"/>
      <c r="E110" s="91"/>
      <c r="F110" s="91"/>
      <c r="G110" s="91"/>
      <c r="H110" s="91"/>
    </row>
    <row r="111" spans="1:8" ht="11.25" x14ac:dyDescent="0.2">
      <c r="A111" s="91"/>
      <c r="B111" s="91"/>
      <c r="C111" s="91"/>
      <c r="D111" s="91"/>
      <c r="E111" s="91"/>
      <c r="F111" s="91"/>
      <c r="G111" s="91"/>
      <c r="H111" s="91"/>
    </row>
    <row r="112" spans="1:8" ht="11.25" x14ac:dyDescent="0.2">
      <c r="A112" s="91"/>
      <c r="B112" s="91"/>
      <c r="C112" s="91"/>
      <c r="D112" s="91"/>
      <c r="E112" s="91"/>
      <c r="F112" s="91"/>
      <c r="G112" s="91"/>
      <c r="H112" s="91"/>
    </row>
    <row r="113" spans="1:8" ht="11.25" x14ac:dyDescent="0.2">
      <c r="A113" s="91"/>
      <c r="B113" s="91"/>
      <c r="C113" s="91"/>
      <c r="D113" s="91"/>
      <c r="E113" s="91"/>
      <c r="F113" s="91"/>
      <c r="G113" s="91"/>
      <c r="H113" s="91"/>
    </row>
    <row r="114" spans="1:8" ht="11.25" x14ac:dyDescent="0.2">
      <c r="A114" s="91"/>
      <c r="B114" s="91"/>
      <c r="C114" s="91"/>
      <c r="D114" s="91"/>
      <c r="E114" s="91"/>
      <c r="F114" s="91"/>
      <c r="G114" s="91"/>
      <c r="H114" s="91"/>
    </row>
    <row r="115" spans="1:8" ht="11.25" x14ac:dyDescent="0.2">
      <c r="A115" s="91"/>
      <c r="B115" s="91"/>
      <c r="C115" s="91"/>
      <c r="D115" s="91"/>
      <c r="E115" s="91"/>
      <c r="F115" s="91"/>
      <c r="G115" s="91"/>
      <c r="H115" s="91"/>
    </row>
    <row r="116" spans="1:8" ht="11.25" x14ac:dyDescent="0.2">
      <c r="A116" s="91"/>
      <c r="B116" s="91"/>
      <c r="C116" s="91"/>
      <c r="D116" s="91"/>
      <c r="E116" s="91"/>
      <c r="F116" s="91"/>
      <c r="G116" s="91"/>
      <c r="H116" s="91"/>
    </row>
    <row r="117" spans="1:8" ht="11.25" x14ac:dyDescent="0.2">
      <c r="A117" s="91"/>
      <c r="B117" s="91"/>
      <c r="C117" s="91"/>
      <c r="D117" s="91"/>
      <c r="E117" s="91"/>
      <c r="F117" s="91"/>
      <c r="G117" s="91"/>
      <c r="H117" s="91"/>
    </row>
    <row r="118" spans="1:8" ht="11.25" x14ac:dyDescent="0.2">
      <c r="A118" s="91"/>
      <c r="B118" s="91"/>
      <c r="C118" s="91"/>
      <c r="D118" s="91"/>
      <c r="E118" s="91"/>
      <c r="F118" s="91"/>
      <c r="G118" s="91"/>
      <c r="H118" s="91"/>
    </row>
    <row r="119" spans="1:8" ht="11.25" x14ac:dyDescent="0.2">
      <c r="A119" s="91"/>
      <c r="B119" s="91"/>
      <c r="C119" s="91"/>
      <c r="D119" s="91"/>
      <c r="E119" s="91"/>
      <c r="F119" s="91"/>
      <c r="G119" s="91"/>
      <c r="H119" s="91"/>
    </row>
    <row r="120" spans="1:8" ht="11.25" x14ac:dyDescent="0.2">
      <c r="A120" s="91"/>
      <c r="B120" s="91"/>
      <c r="C120" s="91"/>
      <c r="D120" s="91"/>
      <c r="E120" s="91"/>
      <c r="F120" s="91"/>
      <c r="G120" s="91"/>
      <c r="H120" s="91"/>
    </row>
    <row r="121" spans="1:8" ht="11.25" x14ac:dyDescent="0.2">
      <c r="A121" s="91"/>
      <c r="B121" s="91"/>
      <c r="C121" s="91"/>
      <c r="D121" s="91"/>
      <c r="E121" s="91"/>
      <c r="F121" s="91"/>
      <c r="G121" s="91"/>
      <c r="H121" s="91"/>
    </row>
    <row r="122" spans="1:8" ht="11.25" x14ac:dyDescent="0.2">
      <c r="A122" s="91"/>
      <c r="B122" s="91"/>
      <c r="C122" s="91"/>
      <c r="D122" s="91"/>
      <c r="E122" s="91"/>
      <c r="F122" s="91"/>
      <c r="G122" s="91"/>
      <c r="H122" s="91"/>
    </row>
    <row r="123" spans="1:8" ht="11.25" x14ac:dyDescent="0.2">
      <c r="A123" s="91"/>
      <c r="B123" s="91"/>
      <c r="C123" s="91"/>
      <c r="D123" s="91"/>
      <c r="E123" s="91"/>
      <c r="F123" s="91"/>
      <c r="G123" s="91"/>
      <c r="H123" s="91"/>
    </row>
    <row r="124" spans="1:8" ht="11.25" x14ac:dyDescent="0.2">
      <c r="A124" s="91"/>
      <c r="B124" s="91"/>
      <c r="C124" s="91"/>
      <c r="D124" s="91"/>
      <c r="E124" s="91"/>
      <c r="F124" s="91"/>
      <c r="G124" s="91"/>
      <c r="H124" s="91"/>
    </row>
    <row r="125" spans="1:8" ht="11.25" x14ac:dyDescent="0.2">
      <c r="A125" s="91"/>
      <c r="B125" s="91"/>
      <c r="C125" s="91"/>
      <c r="D125" s="91"/>
      <c r="E125" s="91"/>
      <c r="F125" s="91"/>
      <c r="G125" s="91"/>
      <c r="H125" s="91"/>
    </row>
    <row r="126" spans="1:8" ht="11.25" x14ac:dyDescent="0.2">
      <c r="A126" s="91"/>
      <c r="B126" s="91"/>
      <c r="C126" s="91"/>
      <c r="D126" s="91"/>
      <c r="E126" s="91"/>
      <c r="F126" s="91"/>
      <c r="G126" s="91"/>
      <c r="H126" s="91"/>
    </row>
    <row r="127" spans="1:8" ht="11.25" x14ac:dyDescent="0.2">
      <c r="A127" s="91"/>
      <c r="B127" s="91"/>
      <c r="C127" s="91"/>
      <c r="D127" s="91"/>
      <c r="E127" s="91"/>
      <c r="F127" s="91"/>
      <c r="G127" s="91"/>
      <c r="H127" s="91"/>
    </row>
    <row r="128" spans="1:8" ht="11.25" x14ac:dyDescent="0.2">
      <c r="A128" s="91"/>
      <c r="B128" s="91"/>
      <c r="C128" s="91"/>
      <c r="D128" s="91"/>
      <c r="E128" s="91"/>
      <c r="F128" s="91"/>
      <c r="G128" s="91"/>
      <c r="H128" s="91"/>
    </row>
    <row r="129" spans="1:8" ht="11.25" x14ac:dyDescent="0.2">
      <c r="A129" s="91"/>
      <c r="B129" s="91"/>
      <c r="C129" s="91"/>
      <c r="D129" s="91"/>
      <c r="E129" s="91"/>
      <c r="F129" s="91"/>
      <c r="G129" s="91"/>
      <c r="H129" s="91"/>
    </row>
    <row r="130" spans="1:8" ht="11.25" x14ac:dyDescent="0.2">
      <c r="A130" s="91"/>
      <c r="B130" s="91"/>
      <c r="C130" s="91"/>
      <c r="D130" s="91"/>
      <c r="E130" s="91"/>
      <c r="F130" s="91"/>
      <c r="G130" s="91"/>
      <c r="H130" s="91"/>
    </row>
    <row r="131" spans="1:8" ht="11.25" x14ac:dyDescent="0.2">
      <c r="A131" s="91"/>
      <c r="B131" s="91"/>
      <c r="C131" s="91"/>
      <c r="D131" s="91"/>
      <c r="E131" s="91"/>
      <c r="F131" s="91"/>
      <c r="G131" s="91"/>
      <c r="H131" s="91"/>
    </row>
    <row r="132" spans="1:8" ht="11.25" x14ac:dyDescent="0.2">
      <c r="A132" s="91"/>
      <c r="B132" s="91"/>
      <c r="C132" s="91"/>
      <c r="D132" s="91"/>
      <c r="E132" s="91"/>
      <c r="F132" s="91"/>
      <c r="G132" s="91"/>
      <c r="H132" s="91"/>
    </row>
    <row r="133" spans="1:8" ht="11.25" x14ac:dyDescent="0.2">
      <c r="A133" s="91"/>
      <c r="B133" s="91"/>
      <c r="C133" s="91"/>
      <c r="D133" s="91"/>
      <c r="E133" s="91"/>
      <c r="F133" s="91"/>
      <c r="G133" s="91"/>
      <c r="H133" s="91"/>
    </row>
    <row r="134" spans="1:8" ht="11.25" x14ac:dyDescent="0.2">
      <c r="A134" s="91"/>
      <c r="B134" s="91"/>
      <c r="C134" s="91"/>
      <c r="D134" s="91"/>
      <c r="E134" s="91"/>
      <c r="F134" s="91"/>
      <c r="G134" s="91"/>
      <c r="H134" s="91"/>
    </row>
    <row r="135" spans="1:8" ht="11.25" x14ac:dyDescent="0.2">
      <c r="A135" s="91"/>
      <c r="B135" s="91"/>
      <c r="C135" s="91"/>
      <c r="D135" s="91"/>
      <c r="E135" s="91"/>
      <c r="F135" s="91"/>
      <c r="G135" s="91"/>
      <c r="H135" s="91"/>
    </row>
    <row r="136" spans="1:8" ht="11.25" x14ac:dyDescent="0.2">
      <c r="A136" s="91"/>
      <c r="B136" s="91"/>
      <c r="C136" s="91"/>
      <c r="D136" s="91"/>
      <c r="E136" s="91"/>
      <c r="F136" s="91"/>
      <c r="G136" s="91"/>
      <c r="H136" s="91"/>
    </row>
    <row r="137" spans="1:8" ht="11.25" x14ac:dyDescent="0.2">
      <c r="A137" s="91"/>
      <c r="B137" s="91"/>
      <c r="C137" s="91"/>
      <c r="D137" s="91"/>
      <c r="E137" s="91"/>
      <c r="F137" s="91"/>
      <c r="G137" s="91"/>
      <c r="H137" s="91"/>
    </row>
    <row r="138" spans="1:8" ht="11.25" x14ac:dyDescent="0.2">
      <c r="A138" s="91"/>
      <c r="B138" s="91"/>
      <c r="C138" s="91"/>
      <c r="D138" s="91"/>
      <c r="E138" s="91"/>
      <c r="F138" s="91"/>
      <c r="G138" s="91"/>
      <c r="H138" s="91"/>
    </row>
    <row r="139" spans="1:8" ht="11.25" x14ac:dyDescent="0.2">
      <c r="A139" s="91"/>
      <c r="B139" s="91"/>
      <c r="C139" s="91"/>
      <c r="D139" s="91"/>
      <c r="E139" s="91"/>
      <c r="F139" s="91"/>
      <c r="G139" s="91"/>
      <c r="H139" s="91"/>
    </row>
    <row r="140" spans="1:8" ht="11.25" x14ac:dyDescent="0.2">
      <c r="A140" s="91"/>
      <c r="B140" s="91"/>
      <c r="C140" s="91"/>
      <c r="D140" s="91"/>
      <c r="E140" s="91"/>
      <c r="F140" s="91"/>
      <c r="G140" s="91"/>
      <c r="H140" s="91"/>
    </row>
    <row r="141" spans="1:8" ht="11.25" x14ac:dyDescent="0.2">
      <c r="A141" s="91"/>
      <c r="B141" s="91"/>
      <c r="C141" s="91"/>
      <c r="D141" s="91"/>
      <c r="E141" s="91"/>
      <c r="F141" s="91"/>
      <c r="G141" s="91"/>
      <c r="H141" s="91"/>
    </row>
    <row r="142" spans="1:8" ht="11.25" x14ac:dyDescent="0.2">
      <c r="A142" s="91"/>
      <c r="B142" s="91"/>
      <c r="C142" s="91"/>
      <c r="D142" s="91"/>
      <c r="E142" s="91"/>
      <c r="F142" s="91"/>
      <c r="G142" s="91"/>
      <c r="H142" s="91"/>
    </row>
    <row r="143" spans="1:8" ht="11.25" x14ac:dyDescent="0.2">
      <c r="A143" s="91"/>
      <c r="B143" s="91"/>
      <c r="C143" s="91"/>
      <c r="D143" s="91"/>
      <c r="E143" s="91"/>
      <c r="F143" s="91"/>
      <c r="G143" s="91"/>
      <c r="H143" s="91"/>
    </row>
    <row r="144" spans="1:8" ht="11.25" x14ac:dyDescent="0.2">
      <c r="A144" s="91"/>
      <c r="B144" s="91"/>
      <c r="C144" s="91"/>
      <c r="D144" s="91"/>
      <c r="E144" s="91"/>
      <c r="F144" s="91"/>
      <c r="G144" s="91"/>
      <c r="H144" s="91"/>
    </row>
    <row r="145" spans="1:8" ht="11.25" x14ac:dyDescent="0.2">
      <c r="A145" s="91"/>
      <c r="B145" s="91"/>
      <c r="C145" s="91"/>
      <c r="D145" s="91"/>
      <c r="E145" s="91"/>
      <c r="F145" s="91"/>
      <c r="G145" s="91"/>
      <c r="H145" s="91"/>
    </row>
    <row r="146" spans="1:8" ht="11.25" x14ac:dyDescent="0.2">
      <c r="A146" s="91"/>
      <c r="B146" s="91"/>
      <c r="C146" s="91"/>
      <c r="D146" s="91"/>
      <c r="E146" s="91"/>
      <c r="F146" s="91"/>
      <c r="G146" s="91"/>
      <c r="H146" s="91"/>
    </row>
    <row r="147" spans="1:8" ht="11.25" x14ac:dyDescent="0.2">
      <c r="A147" s="91"/>
      <c r="B147" s="91"/>
      <c r="C147" s="91"/>
      <c r="D147" s="91"/>
      <c r="E147" s="91"/>
      <c r="F147" s="91"/>
      <c r="G147" s="91"/>
      <c r="H147" s="91"/>
    </row>
    <row r="148" spans="1:8" ht="11.25" x14ac:dyDescent="0.2">
      <c r="A148" s="91"/>
      <c r="B148" s="91"/>
      <c r="C148" s="91"/>
      <c r="D148" s="91"/>
      <c r="E148" s="91"/>
      <c r="F148" s="91"/>
      <c r="G148" s="91"/>
      <c r="H148" s="91"/>
    </row>
    <row r="149" spans="1:8" ht="11.25" x14ac:dyDescent="0.2">
      <c r="A149" s="91"/>
      <c r="B149" s="91"/>
      <c r="C149" s="91"/>
      <c r="D149" s="91"/>
      <c r="E149" s="91"/>
      <c r="F149" s="91"/>
      <c r="G149" s="91"/>
      <c r="H149" s="91"/>
    </row>
    <row r="150" spans="1:8" ht="11.25" x14ac:dyDescent="0.2">
      <c r="A150" s="91"/>
      <c r="B150" s="91"/>
      <c r="C150" s="91"/>
      <c r="D150" s="91"/>
      <c r="E150" s="91"/>
      <c r="F150" s="91"/>
      <c r="G150" s="91"/>
      <c r="H150" s="91"/>
    </row>
    <row r="151" spans="1:8" ht="11.25" x14ac:dyDescent="0.2">
      <c r="A151" s="91"/>
      <c r="B151" s="91"/>
      <c r="C151" s="91"/>
      <c r="D151" s="91"/>
      <c r="E151" s="91"/>
      <c r="F151" s="91"/>
      <c r="G151" s="91"/>
      <c r="H151" s="91"/>
    </row>
    <row r="152" spans="1:8" ht="11.25" x14ac:dyDescent="0.2">
      <c r="A152" s="91"/>
      <c r="B152" s="91"/>
      <c r="C152" s="91"/>
      <c r="D152" s="91"/>
      <c r="E152" s="91"/>
      <c r="F152" s="91"/>
      <c r="G152" s="91"/>
      <c r="H152" s="91"/>
    </row>
    <row r="153" spans="1:8" ht="11.25" x14ac:dyDescent="0.2">
      <c r="A153" s="91"/>
      <c r="B153" s="91"/>
      <c r="C153" s="91"/>
      <c r="D153" s="91"/>
      <c r="E153" s="91"/>
      <c r="F153" s="91"/>
      <c r="G153" s="91"/>
      <c r="H153" s="91"/>
    </row>
    <row r="154" spans="1:8" ht="11.25" x14ac:dyDescent="0.2">
      <c r="A154" s="91"/>
      <c r="B154" s="91"/>
      <c r="C154" s="91"/>
      <c r="D154" s="91"/>
      <c r="E154" s="91"/>
      <c r="F154" s="91"/>
      <c r="G154" s="91"/>
      <c r="H154" s="91"/>
    </row>
    <row r="155" spans="1:8" ht="11.25" x14ac:dyDescent="0.2">
      <c r="A155" s="91"/>
      <c r="B155" s="91"/>
      <c r="C155" s="91"/>
      <c r="D155" s="91"/>
      <c r="E155" s="91"/>
      <c r="F155" s="91"/>
      <c r="G155" s="91"/>
      <c r="H155" s="91"/>
    </row>
    <row r="156" spans="1:8" ht="11.25" x14ac:dyDescent="0.2">
      <c r="A156" s="91"/>
      <c r="B156" s="91"/>
      <c r="C156" s="91"/>
      <c r="D156" s="91"/>
      <c r="E156" s="91"/>
      <c r="F156" s="91"/>
      <c r="G156" s="91"/>
      <c r="H156" s="91"/>
    </row>
    <row r="157" spans="1:8" ht="11.25" x14ac:dyDescent="0.2">
      <c r="A157" s="91"/>
      <c r="B157" s="91"/>
      <c r="C157" s="91"/>
      <c r="D157" s="91"/>
      <c r="E157" s="91"/>
      <c r="F157" s="91"/>
      <c r="G157" s="91"/>
      <c r="H157" s="91"/>
    </row>
    <row r="158" spans="1:8" ht="11.25" x14ac:dyDescent="0.2">
      <c r="A158" s="91"/>
      <c r="B158" s="91"/>
      <c r="C158" s="91"/>
      <c r="D158" s="91"/>
      <c r="E158" s="91"/>
      <c r="F158" s="91"/>
      <c r="G158" s="91"/>
      <c r="H158" s="91"/>
    </row>
    <row r="159" spans="1:8" ht="11.25" x14ac:dyDescent="0.2">
      <c r="A159" s="91"/>
      <c r="B159" s="91"/>
      <c r="C159" s="91"/>
      <c r="D159" s="91"/>
      <c r="E159" s="91"/>
      <c r="F159" s="91"/>
      <c r="G159" s="91"/>
      <c r="H159" s="91"/>
    </row>
    <row r="160" spans="1:8" ht="11.25" x14ac:dyDescent="0.2">
      <c r="A160" s="91"/>
      <c r="B160" s="91"/>
      <c r="C160" s="91"/>
      <c r="D160" s="91"/>
      <c r="E160" s="91"/>
      <c r="F160" s="91"/>
      <c r="G160" s="91"/>
      <c r="H160" s="91"/>
    </row>
    <row r="161" spans="1:8" ht="11.25" x14ac:dyDescent="0.2">
      <c r="A161" s="91"/>
      <c r="B161" s="91"/>
      <c r="C161" s="91"/>
      <c r="D161" s="91"/>
      <c r="E161" s="91"/>
      <c r="F161" s="91"/>
      <c r="G161" s="91"/>
      <c r="H161" s="91"/>
    </row>
    <row r="162" spans="1:8" ht="11.25" x14ac:dyDescent="0.2">
      <c r="A162" s="91"/>
      <c r="B162" s="91"/>
      <c r="C162" s="91"/>
      <c r="D162" s="91"/>
      <c r="E162" s="91"/>
      <c r="F162" s="91"/>
      <c r="G162" s="91"/>
      <c r="H162" s="91"/>
    </row>
    <row r="163" spans="1:8" ht="11.25" x14ac:dyDescent="0.2">
      <c r="A163" s="91"/>
      <c r="B163" s="91"/>
      <c r="C163" s="91"/>
      <c r="D163" s="91"/>
      <c r="E163" s="91"/>
      <c r="F163" s="91"/>
      <c r="G163" s="91"/>
      <c r="H163" s="91"/>
    </row>
    <row r="164" spans="1:8" ht="11.25" x14ac:dyDescent="0.2">
      <c r="A164" s="91"/>
      <c r="B164" s="91"/>
      <c r="C164" s="91"/>
      <c r="D164" s="91"/>
      <c r="E164" s="91"/>
      <c r="F164" s="91"/>
      <c r="G164" s="91"/>
      <c r="H164" s="91"/>
    </row>
    <row r="165" spans="1:8" ht="11.25" x14ac:dyDescent="0.2">
      <c r="A165" s="91"/>
      <c r="B165" s="91"/>
      <c r="C165" s="91"/>
      <c r="D165" s="91"/>
      <c r="E165" s="91"/>
      <c r="F165" s="91"/>
      <c r="G165" s="91"/>
      <c r="H165" s="91"/>
    </row>
    <row r="166" spans="1:8" ht="11.25" x14ac:dyDescent="0.2">
      <c r="A166" s="91"/>
      <c r="B166" s="91"/>
      <c r="C166" s="91"/>
      <c r="D166" s="91"/>
      <c r="E166" s="91"/>
      <c r="F166" s="91"/>
      <c r="G166" s="91"/>
      <c r="H166" s="91"/>
    </row>
    <row r="167" spans="1:8" ht="11.25" x14ac:dyDescent="0.2">
      <c r="A167" s="91"/>
      <c r="B167" s="91"/>
      <c r="C167" s="91"/>
      <c r="D167" s="91"/>
      <c r="E167" s="91"/>
      <c r="F167" s="91"/>
      <c r="G167" s="91"/>
      <c r="H167" s="91"/>
    </row>
  </sheetData>
  <mergeCells count="1">
    <mergeCell ref="A23:D23"/>
  </mergeCells>
  <phoneticPr fontId="0" type="noConversion"/>
  <printOptions horizontalCentered="1"/>
  <pageMargins left="0.5" right="0.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" transitionEvaluation="1" transitionEntry="1"/>
  <dimension ref="A1:N165"/>
  <sheetViews>
    <sheetView topLeftCell="A6" zoomScaleNormal="85" zoomScaleSheetLayoutView="75" workbookViewId="0">
      <selection activeCell="E25" sqref="E25"/>
    </sheetView>
  </sheetViews>
  <sheetFormatPr defaultColWidth="9.83203125" defaultRowHeight="10.5" x14ac:dyDescent="0.15"/>
  <cols>
    <col min="1" max="1" width="6.5" style="20" customWidth="1"/>
    <col min="2" max="2" width="53.6640625" style="20" bestFit="1" customWidth="1"/>
    <col min="3" max="3" width="3.83203125" style="20" customWidth="1"/>
    <col min="4" max="4" width="16.1640625" style="20" customWidth="1"/>
    <col min="5" max="5" width="3.83203125" style="20" customWidth="1"/>
    <col min="6" max="6" width="16.1640625" style="20" customWidth="1"/>
    <col min="7" max="7" width="3.83203125" style="20" customWidth="1"/>
    <col min="8" max="8" width="16.1640625" style="20" bestFit="1" customWidth="1"/>
    <col min="9" max="9" width="3.83203125" style="20" customWidth="1"/>
    <col min="10" max="10" width="16.1640625" style="20" customWidth="1"/>
    <col min="11" max="11" width="3.83203125" style="20" customWidth="1"/>
    <col min="12" max="12" width="17.6640625" style="20" customWidth="1"/>
    <col min="13" max="13" width="3.83203125" style="19" customWidth="1"/>
    <col min="14" max="14" width="13.83203125" style="20" customWidth="1"/>
    <col min="15" max="16384" width="9.83203125" style="20"/>
  </cols>
  <sheetData>
    <row r="1" spans="1:14" ht="12.75" x14ac:dyDescent="0.2">
      <c r="A1" s="1392" t="s">
        <v>477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5"/>
    </row>
    <row r="2" spans="1:14" ht="12.75" x14ac:dyDescent="0.2">
      <c r="A2" s="1392" t="str">
        <f>Input!C4</f>
        <v>CASE NO. 2017-xxxxx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5"/>
    </row>
    <row r="3" spans="1:14" ht="12.75" x14ac:dyDescent="0.2">
      <c r="A3" s="1392" t="s">
        <v>940</v>
      </c>
      <c r="B3" s="1392"/>
      <c r="C3" s="1392"/>
      <c r="D3" s="1392"/>
      <c r="E3" s="1392"/>
      <c r="F3" s="1392"/>
      <c r="G3" s="1392"/>
      <c r="H3" s="1392"/>
      <c r="I3" s="1392"/>
      <c r="J3" s="1392"/>
      <c r="K3" s="1392"/>
      <c r="L3" s="1392"/>
      <c r="M3" s="135"/>
    </row>
    <row r="4" spans="1:14" ht="12.75" x14ac:dyDescent="0.2">
      <c r="A4" s="1392" t="str">
        <f>Input!C7</f>
        <v>AS OF DECEMBER 31, 2017</v>
      </c>
      <c r="B4" s="1392"/>
      <c r="C4" s="1392"/>
      <c r="D4" s="1392"/>
      <c r="E4" s="1392"/>
      <c r="F4" s="1392"/>
      <c r="G4" s="1392"/>
      <c r="H4" s="1392"/>
      <c r="I4" s="1392"/>
      <c r="J4" s="1392"/>
      <c r="K4" s="1392"/>
      <c r="L4" s="1392"/>
      <c r="M4" s="135"/>
    </row>
    <row r="5" spans="1:14" ht="12.75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5"/>
    </row>
    <row r="6" spans="1:14" ht="12.75" x14ac:dyDescent="0.2">
      <c r="A6" s="137" t="s">
        <v>839</v>
      </c>
      <c r="B6" s="136"/>
      <c r="C6" s="136"/>
      <c r="D6" s="136"/>
      <c r="E6" s="136"/>
      <c r="F6" s="136"/>
      <c r="G6" s="136"/>
      <c r="H6" s="136"/>
      <c r="I6" s="136"/>
      <c r="J6" s="138"/>
      <c r="K6" s="136"/>
      <c r="L6" s="139" t="s">
        <v>980</v>
      </c>
      <c r="M6" s="135"/>
    </row>
    <row r="7" spans="1:14" ht="12.75" x14ac:dyDescent="0.2">
      <c r="A7" s="137" t="s">
        <v>490</v>
      </c>
      <c r="B7" s="136"/>
      <c r="C7" s="136"/>
      <c r="D7" s="136"/>
      <c r="E7" s="136"/>
      <c r="F7" s="136"/>
      <c r="G7" s="136"/>
      <c r="H7" s="136"/>
      <c r="I7" s="136"/>
      <c r="J7" s="138"/>
      <c r="K7" s="136"/>
      <c r="L7" s="139" t="s">
        <v>491</v>
      </c>
      <c r="M7" s="135"/>
    </row>
    <row r="8" spans="1:14" ht="12.75" x14ac:dyDescent="0.2">
      <c r="A8" s="140" t="s">
        <v>840</v>
      </c>
      <c r="B8" s="141"/>
      <c r="C8" s="141"/>
      <c r="D8" s="141"/>
      <c r="E8" s="141"/>
      <c r="F8" s="141"/>
      <c r="G8" s="141"/>
      <c r="H8" s="141"/>
      <c r="I8" s="142"/>
      <c r="J8" s="143"/>
      <c r="K8" s="142"/>
      <c r="L8" s="144" t="str">
        <f>Input!E27</f>
        <v>WITNESS:  C. Y. LAI</v>
      </c>
      <c r="M8" s="135"/>
      <c r="N8" s="19"/>
    </row>
    <row r="9" spans="1:14" ht="12.75" x14ac:dyDescent="0.2">
      <c r="A9" s="136"/>
      <c r="B9" s="136"/>
      <c r="C9" s="136"/>
      <c r="D9" s="134" t="s">
        <v>874</v>
      </c>
      <c r="E9" s="136"/>
      <c r="F9" s="136"/>
      <c r="G9" s="136"/>
      <c r="H9" s="134" t="s">
        <v>874</v>
      </c>
      <c r="I9" s="136"/>
      <c r="J9" s="136"/>
      <c r="K9" s="136"/>
      <c r="L9" s="134" t="s">
        <v>874</v>
      </c>
      <c r="M9" s="135"/>
      <c r="N9" s="19"/>
    </row>
    <row r="10" spans="1:14" ht="12.75" x14ac:dyDescent="0.2">
      <c r="A10" s="136"/>
      <c r="B10" s="136"/>
      <c r="C10" s="136"/>
      <c r="D10" s="134" t="s">
        <v>876</v>
      </c>
      <c r="E10" s="136"/>
      <c r="F10" s="136"/>
      <c r="G10" s="136"/>
      <c r="H10" s="134" t="s">
        <v>876</v>
      </c>
      <c r="I10" s="136"/>
      <c r="J10" s="136"/>
      <c r="K10" s="136"/>
      <c r="L10" s="134" t="s">
        <v>876</v>
      </c>
      <c r="M10" s="135"/>
      <c r="N10" s="19"/>
    </row>
    <row r="11" spans="1:14" ht="12.75" x14ac:dyDescent="0.2">
      <c r="A11" s="134" t="s">
        <v>493</v>
      </c>
      <c r="B11" s="136"/>
      <c r="C11" s="136"/>
      <c r="D11" s="134" t="s">
        <v>525</v>
      </c>
      <c r="E11" s="136"/>
      <c r="F11" s="134" t="s">
        <v>523</v>
      </c>
      <c r="G11" s="136"/>
      <c r="H11" s="134" t="s">
        <v>523</v>
      </c>
      <c r="I11" s="136"/>
      <c r="J11" s="136"/>
      <c r="K11" s="136"/>
      <c r="L11" s="134" t="s">
        <v>834</v>
      </c>
      <c r="M11" s="135"/>
      <c r="N11" s="19"/>
    </row>
    <row r="12" spans="1:14" ht="12.75" x14ac:dyDescent="0.2">
      <c r="A12" s="145" t="s">
        <v>496</v>
      </c>
      <c r="B12" s="146" t="s">
        <v>981</v>
      </c>
      <c r="C12" s="141"/>
      <c r="D12" s="145" t="s">
        <v>982</v>
      </c>
      <c r="E12" s="141"/>
      <c r="F12" s="145" t="s">
        <v>983</v>
      </c>
      <c r="G12" s="141"/>
      <c r="H12" s="145" t="s">
        <v>525</v>
      </c>
      <c r="I12" s="141"/>
      <c r="J12" s="145" t="s">
        <v>842</v>
      </c>
      <c r="K12" s="141"/>
      <c r="L12" s="145" t="s">
        <v>523</v>
      </c>
      <c r="M12" s="135"/>
      <c r="N12" s="19"/>
    </row>
    <row r="13" spans="1:14" ht="12.75" x14ac:dyDescent="0.2">
      <c r="A13" s="136"/>
      <c r="B13" s="136"/>
      <c r="C13" s="136"/>
      <c r="D13" s="134" t="s">
        <v>500</v>
      </c>
      <c r="E13" s="136"/>
      <c r="F13" s="136"/>
      <c r="G13" s="136"/>
      <c r="H13" s="134" t="s">
        <v>500</v>
      </c>
      <c r="I13" s="136"/>
      <c r="J13" s="134" t="s">
        <v>500</v>
      </c>
      <c r="K13" s="136"/>
      <c r="L13" s="134" t="s">
        <v>500</v>
      </c>
      <c r="M13" s="135"/>
      <c r="N13" s="19"/>
    </row>
    <row r="14" spans="1:14" ht="12.75" x14ac:dyDescent="0.2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5"/>
      <c r="N14" s="19"/>
    </row>
    <row r="15" spans="1:14" ht="12.75" x14ac:dyDescent="0.2">
      <c r="A15" s="134">
        <v>1</v>
      </c>
      <c r="B15" s="147" t="s">
        <v>984</v>
      </c>
      <c r="C15" s="136"/>
      <c r="D15" s="148">
        <f>'PP&amp;E  by Accounts B-2.1'!O18-'PP&amp;E by Accts by Type B-2.1a'!M18</f>
        <v>1311007</v>
      </c>
      <c r="E15" s="136"/>
      <c r="F15" s="149">
        <v>1</v>
      </c>
      <c r="G15" s="148"/>
      <c r="H15" s="148">
        <f>(D15*F15)</f>
        <v>1311007</v>
      </c>
      <c r="I15" s="148"/>
      <c r="J15" s="148">
        <v>0</v>
      </c>
      <c r="K15" s="136"/>
      <c r="L15" s="148">
        <f>(H15+J15)</f>
        <v>1311007</v>
      </c>
      <c r="M15" s="135"/>
      <c r="N15" s="19"/>
    </row>
    <row r="16" spans="1:14" ht="12.75" x14ac:dyDescent="0.2">
      <c r="A16" s="136"/>
      <c r="B16" s="136"/>
      <c r="C16" s="136"/>
      <c r="D16" s="148"/>
      <c r="E16" s="136"/>
      <c r="F16" s="136"/>
      <c r="G16" s="148"/>
      <c r="H16" s="148"/>
      <c r="I16" s="148"/>
      <c r="J16" s="148"/>
      <c r="K16" s="136"/>
      <c r="L16" s="136"/>
      <c r="M16" s="135"/>
      <c r="N16" s="19"/>
    </row>
    <row r="17" spans="1:14" ht="12.75" x14ac:dyDescent="0.2">
      <c r="A17" s="134">
        <f>A15+1</f>
        <v>2</v>
      </c>
      <c r="B17" s="147" t="s">
        <v>985</v>
      </c>
      <c r="C17" s="136"/>
      <c r="D17" s="148">
        <f>'PP&amp;E  by Accounts B-2.1'!O22-'PP&amp;E by Accts by Type B-2.1a'!M22</f>
        <v>7678.39</v>
      </c>
      <c r="E17" s="136"/>
      <c r="F17" s="149">
        <v>1</v>
      </c>
      <c r="G17" s="148"/>
      <c r="H17" s="148">
        <f>(D17*F17)</f>
        <v>7678.39</v>
      </c>
      <c r="I17" s="148"/>
      <c r="J17" s="148">
        <v>0</v>
      </c>
      <c r="K17" s="136"/>
      <c r="L17" s="148">
        <f>(H17+J17)</f>
        <v>7678.39</v>
      </c>
      <c r="M17" s="135"/>
      <c r="N17" s="19"/>
    </row>
    <row r="18" spans="1:14" ht="12.75" x14ac:dyDescent="0.2">
      <c r="A18" s="136"/>
      <c r="B18" s="136"/>
      <c r="C18" s="136"/>
      <c r="D18" s="148"/>
      <c r="E18" s="136"/>
      <c r="F18" s="136"/>
      <c r="G18" s="148"/>
      <c r="H18" s="150" t="s">
        <v>549</v>
      </c>
      <c r="I18" s="148"/>
      <c r="J18" s="136"/>
      <c r="K18" s="136"/>
      <c r="L18" s="150" t="s">
        <v>549</v>
      </c>
      <c r="M18" s="135"/>
      <c r="N18" s="19"/>
    </row>
    <row r="19" spans="1:14" ht="12.75" x14ac:dyDescent="0.2">
      <c r="A19" s="134">
        <f>A17+1</f>
        <v>3</v>
      </c>
      <c r="B19" s="151" t="s">
        <v>986</v>
      </c>
      <c r="C19" s="152"/>
      <c r="D19" s="980">
        <v>0</v>
      </c>
      <c r="E19" s="152"/>
      <c r="F19" s="154">
        <v>1</v>
      </c>
      <c r="G19" s="153"/>
      <c r="H19" s="153">
        <f>(D19*F19)</f>
        <v>0</v>
      </c>
      <c r="I19" s="153"/>
      <c r="J19" s="153">
        <v>0</v>
      </c>
      <c r="K19" s="152"/>
      <c r="L19" s="153">
        <f>(H19+J19)</f>
        <v>0</v>
      </c>
      <c r="M19" s="135"/>
      <c r="N19" s="19"/>
    </row>
    <row r="20" spans="1:14" ht="12.75" x14ac:dyDescent="0.2">
      <c r="A20" s="136"/>
      <c r="B20" s="152"/>
      <c r="C20" s="152"/>
      <c r="D20" s="153"/>
      <c r="E20" s="152"/>
      <c r="F20" s="152"/>
      <c r="G20" s="153"/>
      <c r="H20" s="155" t="s">
        <v>549</v>
      </c>
      <c r="I20" s="153"/>
      <c r="J20" s="155" t="s">
        <v>549</v>
      </c>
      <c r="K20" s="152"/>
      <c r="L20" s="155" t="s">
        <v>549</v>
      </c>
      <c r="M20" s="135"/>
      <c r="N20" s="19"/>
    </row>
    <row r="21" spans="1:14" ht="12.75" x14ac:dyDescent="0.2">
      <c r="A21" s="134">
        <f>A19+1</f>
        <v>4</v>
      </c>
      <c r="B21" s="151" t="s">
        <v>987</v>
      </c>
      <c r="C21" s="152"/>
      <c r="D21" s="980">
        <v>0</v>
      </c>
      <c r="E21" s="152"/>
      <c r="F21" s="154">
        <v>1</v>
      </c>
      <c r="G21" s="153"/>
      <c r="H21" s="153">
        <f>(D21*F21)</f>
        <v>0</v>
      </c>
      <c r="I21" s="153"/>
      <c r="J21" s="153">
        <v>0</v>
      </c>
      <c r="K21" s="152"/>
      <c r="L21" s="153">
        <f>(H21+J21)</f>
        <v>0</v>
      </c>
      <c r="M21" s="135"/>
      <c r="N21" s="19"/>
    </row>
    <row r="22" spans="1:14" ht="12.75" x14ac:dyDescent="0.2">
      <c r="A22" s="136"/>
      <c r="B22" s="152"/>
      <c r="C22" s="152"/>
      <c r="D22" s="153"/>
      <c r="E22" s="152"/>
      <c r="F22" s="152"/>
      <c r="G22" s="153"/>
      <c r="H22" s="155" t="s">
        <v>549</v>
      </c>
      <c r="I22" s="153"/>
      <c r="J22" s="155" t="s">
        <v>549</v>
      </c>
      <c r="K22" s="152"/>
      <c r="L22" s="155" t="s">
        <v>549</v>
      </c>
      <c r="M22" s="135"/>
      <c r="N22" s="19"/>
    </row>
    <row r="23" spans="1:14" ht="12.75" x14ac:dyDescent="0.2">
      <c r="A23" s="134">
        <f>A21+1</f>
        <v>5</v>
      </c>
      <c r="B23" s="151" t="s">
        <v>988</v>
      </c>
      <c r="C23" s="152"/>
      <c r="D23" s="153">
        <f>'PP&amp;E  by Accounts B-2.1'!O66-'PP&amp;E by Accts by Type B-2.1a'!M66</f>
        <v>260311525.04000005</v>
      </c>
      <c r="E23" s="152"/>
      <c r="F23" s="154">
        <v>1</v>
      </c>
      <c r="G23" s="153"/>
      <c r="H23" s="153">
        <f>(D23*F23)</f>
        <v>260311525.04000005</v>
      </c>
      <c r="I23" s="153"/>
      <c r="J23" s="153">
        <v>0</v>
      </c>
      <c r="K23" s="152"/>
      <c r="L23" s="153">
        <f>(H23+J23)</f>
        <v>260311525.04000005</v>
      </c>
      <c r="M23" s="135"/>
      <c r="N23" s="19"/>
    </row>
    <row r="24" spans="1:14" ht="12.75" x14ac:dyDescent="0.2">
      <c r="A24" s="136"/>
      <c r="B24" s="152"/>
      <c r="C24" s="152"/>
      <c r="D24" s="153"/>
      <c r="E24" s="152"/>
      <c r="F24" s="152"/>
      <c r="G24" s="153"/>
      <c r="H24" s="155" t="s">
        <v>549</v>
      </c>
      <c r="I24" s="153"/>
      <c r="J24" s="155" t="s">
        <v>549</v>
      </c>
      <c r="K24" s="152"/>
      <c r="L24" s="155" t="s">
        <v>549</v>
      </c>
      <c r="M24" s="135"/>
      <c r="N24" s="19"/>
    </row>
    <row r="25" spans="1:14" ht="12.75" x14ac:dyDescent="0.2">
      <c r="A25" s="134">
        <f>A23+1</f>
        <v>6</v>
      </c>
      <c r="B25" s="151" t="s">
        <v>989</v>
      </c>
      <c r="C25" s="152"/>
      <c r="D25" s="153">
        <f>'PP&amp;E  by Accounts B-2.1'!O82-'PP&amp;E by Accts by Type B-2.1a'!M82</f>
        <v>4613030.3599999994</v>
      </c>
      <c r="E25" s="152"/>
      <c r="F25" s="154">
        <v>1</v>
      </c>
      <c r="G25" s="153"/>
      <c r="H25" s="153">
        <f>(D25*F25)</f>
        <v>4613030.3599999994</v>
      </c>
      <c r="I25" s="153"/>
      <c r="J25" s="153">
        <v>0</v>
      </c>
      <c r="K25" s="152"/>
      <c r="L25" s="153">
        <f>(H25+J25)</f>
        <v>4613030.3599999994</v>
      </c>
      <c r="M25" s="135"/>
      <c r="N25" s="19"/>
    </row>
    <row r="26" spans="1:14" ht="12.75" x14ac:dyDescent="0.2">
      <c r="A26" s="136"/>
      <c r="B26" s="152"/>
      <c r="C26" s="152"/>
      <c r="D26" s="153"/>
      <c r="E26" s="152"/>
      <c r="F26" s="152"/>
      <c r="G26" s="153"/>
      <c r="H26" s="155" t="s">
        <v>549</v>
      </c>
      <c r="I26" s="153"/>
      <c r="J26" s="155" t="s">
        <v>549</v>
      </c>
      <c r="K26" s="152"/>
      <c r="L26" s="155" t="s">
        <v>549</v>
      </c>
      <c r="M26" s="135"/>
      <c r="N26" s="19"/>
    </row>
    <row r="27" spans="1:14" ht="12.75" x14ac:dyDescent="0.2">
      <c r="A27" s="134">
        <f>A25+1</f>
        <v>7</v>
      </c>
      <c r="B27" s="151" t="s">
        <v>990</v>
      </c>
      <c r="C27" s="152"/>
      <c r="D27" s="980">
        <v>0</v>
      </c>
      <c r="E27" s="152"/>
      <c r="F27" s="154">
        <v>1</v>
      </c>
      <c r="G27" s="153"/>
      <c r="H27" s="153">
        <f>(D27*F27)</f>
        <v>0</v>
      </c>
      <c r="I27" s="153"/>
      <c r="J27" s="153">
        <v>0</v>
      </c>
      <c r="K27" s="152"/>
      <c r="L27" s="153">
        <f>(H27+J27)</f>
        <v>0</v>
      </c>
      <c r="M27" s="135"/>
      <c r="N27" s="19"/>
    </row>
    <row r="28" spans="1:14" ht="12.75" x14ac:dyDescent="0.2">
      <c r="A28" s="136"/>
      <c r="B28" s="152"/>
      <c r="C28" s="152"/>
      <c r="D28" s="153"/>
      <c r="E28" s="152"/>
      <c r="F28" s="152"/>
      <c r="G28" s="153"/>
      <c r="H28" s="155" t="s">
        <v>549</v>
      </c>
      <c r="I28" s="153"/>
      <c r="J28" s="155" t="s">
        <v>549</v>
      </c>
      <c r="K28" s="152"/>
      <c r="L28" s="155" t="s">
        <v>549</v>
      </c>
      <c r="M28" s="135"/>
      <c r="N28" s="19"/>
    </row>
    <row r="29" spans="1:14" ht="12.75" x14ac:dyDescent="0.2">
      <c r="A29" s="134">
        <f>A27+1</f>
        <v>8</v>
      </c>
      <c r="B29" s="151" t="s">
        <v>991</v>
      </c>
      <c r="C29" s="152"/>
      <c r="D29" s="153">
        <f>'PP&amp;E by Accts by Type B-2.1a'!M84</f>
        <v>5449474.79</v>
      </c>
      <c r="E29" s="152"/>
      <c r="F29" s="154">
        <v>1</v>
      </c>
      <c r="G29" s="153"/>
      <c r="H29" s="153">
        <f>(D29*F29)</f>
        <v>5449474.79</v>
      </c>
      <c r="I29" s="153"/>
      <c r="J29" s="153">
        <v>0</v>
      </c>
      <c r="K29" s="152"/>
      <c r="L29" s="153">
        <f>(H29+J29)</f>
        <v>5449474.79</v>
      </c>
      <c r="M29" s="135"/>
      <c r="N29" s="19"/>
    </row>
    <row r="30" spans="1:14" ht="12.75" x14ac:dyDescent="0.2">
      <c r="A30" s="136"/>
      <c r="B30" s="152"/>
      <c r="C30" s="152"/>
      <c r="D30" s="153"/>
      <c r="E30" s="152"/>
      <c r="F30" s="152"/>
      <c r="G30" s="153"/>
      <c r="H30" s="155" t="s">
        <v>549</v>
      </c>
      <c r="I30" s="153"/>
      <c r="J30" s="155" t="s">
        <v>549</v>
      </c>
      <c r="K30" s="152"/>
      <c r="L30" s="155" t="s">
        <v>549</v>
      </c>
      <c r="M30" s="135"/>
      <c r="N30" s="19"/>
    </row>
    <row r="31" spans="1:14" ht="12.75" x14ac:dyDescent="0.2">
      <c r="A31" s="134">
        <f>A29+1</f>
        <v>9</v>
      </c>
      <c r="B31" s="151" t="s">
        <v>992</v>
      </c>
      <c r="C31" s="152"/>
      <c r="D31" s="156">
        <v>0</v>
      </c>
      <c r="E31" s="152"/>
      <c r="F31" s="154">
        <v>1</v>
      </c>
      <c r="G31" s="153"/>
      <c r="H31" s="156">
        <f>(D31*F31)</f>
        <v>0</v>
      </c>
      <c r="I31" s="153"/>
      <c r="J31" s="156">
        <v>0</v>
      </c>
      <c r="K31" s="152"/>
      <c r="L31" s="156">
        <f>(H31+J31)</f>
        <v>0</v>
      </c>
      <c r="M31" s="135"/>
      <c r="N31" s="19"/>
    </row>
    <row r="32" spans="1:14" ht="12.75" x14ac:dyDescent="0.2">
      <c r="A32" s="136"/>
      <c r="B32" s="136"/>
      <c r="C32" s="136"/>
      <c r="D32" s="148"/>
      <c r="E32" s="136"/>
      <c r="F32" s="136"/>
      <c r="G32" s="148"/>
      <c r="H32" s="150" t="s">
        <v>549</v>
      </c>
      <c r="I32" s="148"/>
      <c r="J32" s="150" t="s">
        <v>549</v>
      </c>
      <c r="K32" s="136"/>
      <c r="L32" s="147" t="s">
        <v>549</v>
      </c>
      <c r="M32" s="135"/>
      <c r="N32" s="19"/>
    </row>
    <row r="33" spans="1:14" ht="13.5" thickBot="1" x14ac:dyDescent="0.25">
      <c r="A33" s="134">
        <f>A31+1</f>
        <v>10</v>
      </c>
      <c r="B33" s="147" t="s">
        <v>525</v>
      </c>
      <c r="C33" s="136"/>
      <c r="D33" s="157">
        <f>SUM(D15:D31)</f>
        <v>271692715.58000004</v>
      </c>
      <c r="E33" s="136"/>
      <c r="F33" s="136"/>
      <c r="G33" s="148"/>
      <c r="H33" s="157">
        <f>SUM(H15:H31)</f>
        <v>271692715.58000004</v>
      </c>
      <c r="I33" s="148"/>
      <c r="J33" s="157">
        <f>SUM(J15:J31)</f>
        <v>0</v>
      </c>
      <c r="K33" s="136"/>
      <c r="L33" s="157">
        <f>SUM(L15:L31)</f>
        <v>271692715.58000004</v>
      </c>
      <c r="M33" s="135"/>
      <c r="N33" s="19"/>
    </row>
    <row r="34" spans="1:14" ht="13.5" thickTop="1" x14ac:dyDescent="0.2">
      <c r="A34" s="136"/>
      <c r="B34" s="136"/>
      <c r="C34" s="136"/>
      <c r="D34" s="148"/>
      <c r="E34" s="136"/>
      <c r="F34" s="136"/>
      <c r="G34" s="148"/>
      <c r="H34" s="148"/>
      <c r="I34" s="148"/>
      <c r="J34" s="150" t="s">
        <v>549</v>
      </c>
      <c r="K34" s="136"/>
      <c r="L34" s="136"/>
      <c r="M34" s="135"/>
      <c r="N34" s="19"/>
    </row>
    <row r="35" spans="1:14" ht="11.25" x14ac:dyDescent="0.2">
      <c r="A35" s="138"/>
      <c r="B35" s="138"/>
      <c r="C35" s="138"/>
      <c r="D35" s="158"/>
      <c r="E35" s="138"/>
      <c r="F35" s="138"/>
      <c r="G35" s="158"/>
      <c r="H35" s="158"/>
      <c r="I35" s="158"/>
      <c r="J35" s="158"/>
      <c r="K35" s="138"/>
      <c r="L35" s="138"/>
      <c r="M35" s="135"/>
      <c r="N35" s="19"/>
    </row>
    <row r="36" spans="1:14" ht="11.25" x14ac:dyDescent="0.2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5"/>
      <c r="N36" s="19"/>
    </row>
    <row r="37" spans="1:14" ht="11.25" x14ac:dyDescent="0.2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5"/>
    </row>
    <row r="38" spans="1:14" ht="11.25" x14ac:dyDescent="0.2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5"/>
    </row>
    <row r="39" spans="1:14" ht="11.25" x14ac:dyDescent="0.2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5"/>
    </row>
    <row r="40" spans="1:14" ht="11.25" x14ac:dyDescent="0.2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5"/>
    </row>
    <row r="41" spans="1:14" ht="11.25" x14ac:dyDescent="0.2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5"/>
    </row>
    <row r="42" spans="1:14" ht="11.25" x14ac:dyDescent="0.2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5"/>
    </row>
    <row r="43" spans="1:14" ht="11.25" x14ac:dyDescent="0.2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5"/>
    </row>
    <row r="44" spans="1:14" ht="11.25" x14ac:dyDescent="0.2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5"/>
    </row>
    <row r="45" spans="1:14" ht="11.25" x14ac:dyDescent="0.2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5"/>
    </row>
    <row r="46" spans="1:14" ht="11.25" x14ac:dyDescent="0.2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5"/>
    </row>
    <row r="47" spans="1:14" ht="11.25" x14ac:dyDescent="0.2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5"/>
    </row>
    <row r="48" spans="1:14" ht="11.25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5"/>
    </row>
    <row r="49" spans="1:13" ht="11.25" x14ac:dyDescent="0.2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5"/>
    </row>
    <row r="50" spans="1:13" ht="11.25" x14ac:dyDescent="0.2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5"/>
    </row>
    <row r="51" spans="1:13" ht="11.25" x14ac:dyDescent="0.2">
      <c r="A51" s="138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5"/>
    </row>
    <row r="52" spans="1:13" ht="11.25" x14ac:dyDescent="0.2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5"/>
    </row>
    <row r="53" spans="1:13" ht="11.25" x14ac:dyDescent="0.2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5"/>
    </row>
    <row r="54" spans="1:13" ht="11.25" x14ac:dyDescent="0.2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5"/>
    </row>
    <row r="55" spans="1:13" ht="11.25" x14ac:dyDescent="0.2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5"/>
    </row>
    <row r="56" spans="1:13" ht="11.25" x14ac:dyDescent="0.2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5"/>
    </row>
    <row r="57" spans="1:13" ht="11.25" x14ac:dyDescent="0.2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5"/>
    </row>
    <row r="58" spans="1:13" ht="11.25" x14ac:dyDescent="0.2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5"/>
    </row>
    <row r="59" spans="1:13" ht="11.25" x14ac:dyDescent="0.2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5"/>
    </row>
    <row r="60" spans="1:13" ht="11.25" x14ac:dyDescent="0.2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5"/>
    </row>
    <row r="61" spans="1:13" ht="11.25" x14ac:dyDescent="0.2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5"/>
    </row>
    <row r="62" spans="1:13" ht="11.25" x14ac:dyDescent="0.2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5"/>
    </row>
    <row r="63" spans="1:13" ht="11.25" x14ac:dyDescent="0.2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5"/>
    </row>
    <row r="64" spans="1:13" ht="11.25" x14ac:dyDescent="0.2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5"/>
    </row>
    <row r="65" spans="1:13" ht="11.25" x14ac:dyDescent="0.2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5"/>
    </row>
    <row r="66" spans="1:13" ht="11.25" x14ac:dyDescent="0.2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5"/>
    </row>
    <row r="67" spans="1:13" ht="11.25" x14ac:dyDescent="0.2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5"/>
    </row>
    <row r="68" spans="1:13" ht="11.25" x14ac:dyDescent="0.2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5"/>
    </row>
    <row r="69" spans="1:13" ht="11.25" x14ac:dyDescent="0.2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5"/>
    </row>
    <row r="70" spans="1:13" ht="11.25" x14ac:dyDescent="0.2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5"/>
    </row>
    <row r="71" spans="1:13" ht="11.25" x14ac:dyDescent="0.2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5"/>
    </row>
    <row r="72" spans="1:13" ht="11.25" x14ac:dyDescent="0.2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5"/>
    </row>
    <row r="73" spans="1:13" ht="11.25" x14ac:dyDescent="0.2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5"/>
    </row>
    <row r="74" spans="1:13" ht="11.25" x14ac:dyDescent="0.2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5"/>
    </row>
    <row r="75" spans="1:13" ht="11.25" x14ac:dyDescent="0.2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5"/>
    </row>
    <row r="76" spans="1:13" ht="11.25" x14ac:dyDescent="0.2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5"/>
    </row>
    <row r="77" spans="1:13" ht="11.25" x14ac:dyDescent="0.2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5"/>
    </row>
    <row r="78" spans="1:13" ht="11.25" x14ac:dyDescent="0.2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5"/>
    </row>
    <row r="79" spans="1:13" ht="11.25" x14ac:dyDescent="0.2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5"/>
    </row>
    <row r="80" spans="1:13" ht="11.25" x14ac:dyDescent="0.2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5"/>
    </row>
    <row r="81" spans="1:13" ht="11.25" x14ac:dyDescent="0.2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5"/>
    </row>
    <row r="82" spans="1:13" ht="11.25" x14ac:dyDescent="0.2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5"/>
    </row>
    <row r="83" spans="1:13" ht="11.25" x14ac:dyDescent="0.2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5"/>
    </row>
    <row r="84" spans="1:13" ht="11.25" x14ac:dyDescent="0.2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5"/>
    </row>
    <row r="85" spans="1:13" ht="11.25" x14ac:dyDescent="0.2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5"/>
    </row>
    <row r="86" spans="1:13" ht="11.25" x14ac:dyDescent="0.2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5"/>
    </row>
    <row r="87" spans="1:13" ht="11.25" x14ac:dyDescent="0.2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5"/>
    </row>
    <row r="88" spans="1:13" ht="11.25" x14ac:dyDescent="0.2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5"/>
    </row>
    <row r="89" spans="1:13" ht="11.25" x14ac:dyDescent="0.2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5"/>
    </row>
    <row r="90" spans="1:13" ht="11.25" x14ac:dyDescent="0.2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5"/>
    </row>
    <row r="91" spans="1:13" ht="11.25" x14ac:dyDescent="0.2">
      <c r="A91" s="138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5"/>
    </row>
    <row r="92" spans="1:13" ht="11.25" x14ac:dyDescent="0.2">
      <c r="A92" s="138"/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5"/>
    </row>
    <row r="93" spans="1:13" ht="11.25" x14ac:dyDescent="0.2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5"/>
    </row>
    <row r="94" spans="1:13" ht="11.25" x14ac:dyDescent="0.2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5"/>
    </row>
    <row r="95" spans="1:13" ht="11.25" x14ac:dyDescent="0.2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5"/>
    </row>
    <row r="96" spans="1:13" ht="11.25" x14ac:dyDescent="0.2">
      <c r="A96" s="138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5"/>
    </row>
    <row r="97" spans="1:13" ht="11.25" x14ac:dyDescent="0.2">
      <c r="A97" s="138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5"/>
    </row>
    <row r="98" spans="1:13" ht="11.25" x14ac:dyDescent="0.2">
      <c r="A98" s="138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5"/>
    </row>
    <row r="99" spans="1:13" ht="11.25" x14ac:dyDescent="0.2">
      <c r="A99" s="138"/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5"/>
    </row>
    <row r="100" spans="1:13" ht="11.25" x14ac:dyDescent="0.2">
      <c r="A100" s="138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5"/>
    </row>
    <row r="101" spans="1:13" ht="11.25" x14ac:dyDescent="0.2">
      <c r="A101" s="138"/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5"/>
    </row>
    <row r="102" spans="1:13" ht="11.25" x14ac:dyDescent="0.2">
      <c r="A102" s="138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5"/>
    </row>
    <row r="103" spans="1:13" ht="11.25" x14ac:dyDescent="0.2">
      <c r="A103" s="138"/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5"/>
    </row>
    <row r="104" spans="1:13" ht="11.25" x14ac:dyDescent="0.2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5"/>
    </row>
    <row r="105" spans="1:13" ht="11.25" x14ac:dyDescent="0.2">
      <c r="A105" s="138"/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5"/>
    </row>
    <row r="106" spans="1:13" ht="11.25" x14ac:dyDescent="0.2">
      <c r="A106" s="138"/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5"/>
    </row>
    <row r="107" spans="1:13" ht="11.25" x14ac:dyDescent="0.2">
      <c r="A107" s="138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5"/>
    </row>
    <row r="108" spans="1:13" ht="11.25" x14ac:dyDescent="0.2">
      <c r="A108" s="138"/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5"/>
    </row>
    <row r="109" spans="1:13" ht="11.25" x14ac:dyDescent="0.2">
      <c r="A109" s="138"/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5"/>
    </row>
    <row r="110" spans="1:13" ht="11.25" x14ac:dyDescent="0.2">
      <c r="A110" s="138"/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5"/>
    </row>
    <row r="111" spans="1:13" ht="11.25" x14ac:dyDescent="0.2">
      <c r="A111" s="138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5"/>
    </row>
    <row r="112" spans="1:13" ht="11.25" x14ac:dyDescent="0.2">
      <c r="A112" s="138"/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5"/>
    </row>
    <row r="113" spans="1:13" ht="11.25" x14ac:dyDescent="0.2">
      <c r="A113" s="138"/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5"/>
    </row>
    <row r="114" spans="1:13" ht="11.25" x14ac:dyDescent="0.2">
      <c r="A114" s="138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5"/>
    </row>
    <row r="115" spans="1:13" ht="11.25" x14ac:dyDescent="0.2">
      <c r="A115" s="138"/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5"/>
    </row>
    <row r="116" spans="1:13" ht="11.25" x14ac:dyDescent="0.2">
      <c r="A116" s="138"/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5"/>
    </row>
    <row r="117" spans="1:13" ht="11.25" x14ac:dyDescent="0.2">
      <c r="A117" s="138"/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5"/>
    </row>
    <row r="118" spans="1:13" ht="11.25" x14ac:dyDescent="0.2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5"/>
    </row>
    <row r="119" spans="1:13" ht="11.25" x14ac:dyDescent="0.2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135"/>
    </row>
    <row r="120" spans="1:13" ht="11.25" x14ac:dyDescent="0.2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5"/>
    </row>
    <row r="121" spans="1:13" ht="11.25" x14ac:dyDescent="0.2">
      <c r="A121" s="138"/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5"/>
    </row>
    <row r="122" spans="1:13" ht="11.25" x14ac:dyDescent="0.2">
      <c r="A122" s="138"/>
      <c r="B122" s="13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5"/>
    </row>
    <row r="123" spans="1:13" ht="11.25" x14ac:dyDescent="0.2">
      <c r="A123" s="138"/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5"/>
    </row>
    <row r="124" spans="1:13" ht="11.25" x14ac:dyDescent="0.2">
      <c r="A124" s="138"/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5"/>
    </row>
    <row r="125" spans="1:13" ht="11.25" x14ac:dyDescent="0.2">
      <c r="A125" s="138"/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5"/>
    </row>
    <row r="126" spans="1:13" ht="11.25" x14ac:dyDescent="0.2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5"/>
    </row>
    <row r="127" spans="1:13" ht="11.25" x14ac:dyDescent="0.2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5"/>
    </row>
    <row r="128" spans="1:13" ht="11.25" x14ac:dyDescent="0.2">
      <c r="A128" s="138"/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5"/>
    </row>
    <row r="129" spans="1:13" ht="11.25" x14ac:dyDescent="0.2">
      <c r="A129" s="138"/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5"/>
    </row>
    <row r="130" spans="1:13" ht="11.25" x14ac:dyDescent="0.2">
      <c r="A130" s="138"/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5"/>
    </row>
    <row r="131" spans="1:13" ht="11.25" x14ac:dyDescent="0.2">
      <c r="A131" s="138"/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5"/>
    </row>
    <row r="132" spans="1:13" ht="11.25" x14ac:dyDescent="0.2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5"/>
    </row>
    <row r="133" spans="1:13" ht="11.2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5"/>
    </row>
    <row r="134" spans="1:13" ht="11.25" x14ac:dyDescent="0.2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8"/>
      <c r="L134" s="138"/>
      <c r="M134" s="135"/>
    </row>
    <row r="135" spans="1:13" ht="11.25" x14ac:dyDescent="0.2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  <c r="L135" s="138"/>
      <c r="M135" s="135"/>
    </row>
    <row r="136" spans="1:13" ht="11.25" x14ac:dyDescent="0.2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5"/>
    </row>
    <row r="137" spans="1:13" ht="11.25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5"/>
    </row>
    <row r="138" spans="1:13" ht="11.25" x14ac:dyDescent="0.2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8"/>
      <c r="L138" s="138"/>
      <c r="M138" s="135"/>
    </row>
    <row r="139" spans="1:13" ht="11.25" x14ac:dyDescent="0.2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5"/>
    </row>
    <row r="140" spans="1:13" ht="11.25" x14ac:dyDescent="0.2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5"/>
    </row>
    <row r="141" spans="1:13" ht="11.25" x14ac:dyDescent="0.2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8"/>
      <c r="L141" s="138"/>
      <c r="M141" s="135"/>
    </row>
    <row r="142" spans="1:13" ht="11.25" x14ac:dyDescent="0.2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8"/>
      <c r="L142" s="138"/>
      <c r="M142" s="135"/>
    </row>
    <row r="143" spans="1:13" ht="11.25" x14ac:dyDescent="0.2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5"/>
    </row>
    <row r="144" spans="1:13" ht="11.25" x14ac:dyDescent="0.2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5"/>
    </row>
    <row r="145" spans="1:13" ht="11.25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5"/>
    </row>
    <row r="146" spans="1:13" ht="11.25" x14ac:dyDescent="0.2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8"/>
      <c r="L146" s="138"/>
      <c r="M146" s="135"/>
    </row>
    <row r="147" spans="1:13" ht="11.25" x14ac:dyDescent="0.2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5"/>
    </row>
    <row r="148" spans="1:13" ht="11.25" x14ac:dyDescent="0.2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5"/>
    </row>
    <row r="149" spans="1:13" ht="11.25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5"/>
    </row>
    <row r="150" spans="1:13" ht="11.25" x14ac:dyDescent="0.2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5"/>
    </row>
    <row r="151" spans="1:13" ht="11.25" x14ac:dyDescent="0.2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35"/>
    </row>
    <row r="152" spans="1:13" ht="11.25" x14ac:dyDescent="0.2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5"/>
    </row>
    <row r="153" spans="1:13" ht="11.25" x14ac:dyDescent="0.2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5"/>
    </row>
    <row r="154" spans="1:13" ht="11.25" x14ac:dyDescent="0.2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5"/>
    </row>
    <row r="155" spans="1:13" ht="11.25" x14ac:dyDescent="0.2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135"/>
    </row>
    <row r="156" spans="1:13" ht="11.25" x14ac:dyDescent="0.2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135"/>
    </row>
    <row r="157" spans="1:13" ht="11.25" x14ac:dyDescent="0.2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5"/>
    </row>
    <row r="158" spans="1:13" ht="11.25" x14ac:dyDescent="0.2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8"/>
      <c r="L158" s="138"/>
      <c r="M158" s="135"/>
    </row>
    <row r="159" spans="1:13" ht="11.25" x14ac:dyDescent="0.2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8"/>
      <c r="L159" s="138"/>
      <c r="M159" s="135"/>
    </row>
    <row r="160" spans="1:13" ht="11.25" x14ac:dyDescent="0.2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5"/>
    </row>
    <row r="161" spans="1:13" ht="11.25" x14ac:dyDescent="0.2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8"/>
      <c r="L161" s="138"/>
      <c r="M161" s="135"/>
    </row>
    <row r="162" spans="1:13" ht="11.25" x14ac:dyDescent="0.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8"/>
      <c r="L162" s="138"/>
      <c r="M162" s="135"/>
    </row>
    <row r="163" spans="1:13" ht="11.25" x14ac:dyDescent="0.2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  <c r="M163" s="135"/>
    </row>
    <row r="164" spans="1:13" ht="11.25" x14ac:dyDescent="0.2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8"/>
      <c r="L164" s="138"/>
      <c r="M164" s="135"/>
    </row>
    <row r="165" spans="1:13" ht="11.25" x14ac:dyDescent="0.2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5"/>
    </row>
  </sheetData>
  <mergeCells count="4">
    <mergeCell ref="A1:L1"/>
    <mergeCell ref="A2:L2"/>
    <mergeCell ref="A3:L3"/>
    <mergeCell ref="A4:L4"/>
  </mergeCells>
  <phoneticPr fontId="3" type="noConversion"/>
  <printOptions horizontalCentered="1"/>
  <pageMargins left="0.25" right="0.25" top="1" bottom="0.25" header="0.5" footer="0.5"/>
  <pageSetup scale="99" orientation="landscape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H124"/>
  <sheetViews>
    <sheetView workbookViewId="0">
      <selection activeCell="C54" sqref="C54"/>
    </sheetView>
  </sheetViews>
  <sheetFormatPr defaultColWidth="9.83203125" defaultRowHeight="10.5" x14ac:dyDescent="0.15"/>
  <cols>
    <col min="1" max="1" width="28.33203125" style="59" bestFit="1" customWidth="1"/>
    <col min="2" max="2" width="4.83203125" style="59" customWidth="1"/>
    <col min="3" max="3" width="54" style="59" bestFit="1" customWidth="1"/>
    <col min="4" max="6" width="9.83203125" style="59"/>
    <col min="7" max="7" width="12.83203125" style="59" customWidth="1"/>
    <col min="8" max="16384" width="9.83203125" style="59"/>
  </cols>
  <sheetData>
    <row r="1" spans="1:5" ht="12.75" x14ac:dyDescent="0.2">
      <c r="A1" s="629"/>
      <c r="B1" s="629"/>
      <c r="C1" s="629"/>
      <c r="D1" s="629"/>
      <c r="E1" s="630"/>
    </row>
    <row r="2" spans="1:5" ht="12.75" x14ac:dyDescent="0.2">
      <c r="A2" s="629"/>
      <c r="B2" s="629"/>
      <c r="C2" s="629"/>
      <c r="D2" s="629"/>
      <c r="E2" s="630"/>
    </row>
    <row r="3" spans="1:5" ht="12.75" x14ac:dyDescent="0.2">
      <c r="A3" s="629"/>
      <c r="B3" s="629"/>
      <c r="C3" s="629"/>
      <c r="D3" s="629"/>
      <c r="E3" s="630"/>
    </row>
    <row r="4" spans="1:5" ht="12.75" x14ac:dyDescent="0.2">
      <c r="A4" s="629"/>
      <c r="B4" s="629"/>
      <c r="C4" s="629"/>
      <c r="D4" s="629"/>
      <c r="E4" s="630"/>
    </row>
    <row r="5" spans="1:5" ht="12.75" x14ac:dyDescent="0.2">
      <c r="A5" s="629"/>
      <c r="B5" s="629"/>
      <c r="C5" s="631" t="s">
        <v>121</v>
      </c>
      <c r="D5" s="629"/>
      <c r="E5" s="630"/>
    </row>
    <row r="6" spans="1:5" ht="12.75" x14ac:dyDescent="0.2">
      <c r="A6" s="629"/>
      <c r="B6" s="629"/>
      <c r="C6" s="631"/>
      <c r="D6" s="629"/>
      <c r="E6" s="630"/>
    </row>
    <row r="7" spans="1:5" ht="12.75" x14ac:dyDescent="0.2">
      <c r="A7" s="629"/>
      <c r="B7" s="629"/>
      <c r="C7" s="631" t="s">
        <v>869</v>
      </c>
      <c r="D7" s="629"/>
      <c r="E7" s="630"/>
    </row>
    <row r="8" spans="1:5" ht="12.75" x14ac:dyDescent="0.2">
      <c r="A8" s="629"/>
      <c r="B8" s="629"/>
      <c r="C8" s="631"/>
      <c r="D8" s="629"/>
      <c r="E8" s="630"/>
    </row>
    <row r="9" spans="1:5" ht="12.75" x14ac:dyDescent="0.2">
      <c r="A9" s="629" t="s">
        <v>476</v>
      </c>
      <c r="B9" s="629"/>
      <c r="C9" s="631" t="s">
        <v>477</v>
      </c>
      <c r="D9" s="629"/>
      <c r="E9" s="630"/>
    </row>
    <row r="10" spans="1:5" ht="12.75" x14ac:dyDescent="0.2">
      <c r="A10" s="629"/>
      <c r="B10" s="629"/>
      <c r="C10" s="631"/>
      <c r="D10" s="629"/>
      <c r="E10" s="630"/>
    </row>
    <row r="11" spans="1:5" ht="12.75" x14ac:dyDescent="0.2">
      <c r="A11" s="629" t="s">
        <v>91</v>
      </c>
      <c r="B11" s="629"/>
      <c r="C11" s="631" t="str">
        <f>+Input!C4</f>
        <v>CASE NO. 2017-xxxxx</v>
      </c>
      <c r="D11" s="629"/>
      <c r="E11" s="630"/>
    </row>
    <row r="12" spans="1:5" ht="12.75" x14ac:dyDescent="0.2">
      <c r="A12" s="629"/>
      <c r="B12" s="629"/>
      <c r="C12" s="631"/>
      <c r="D12" s="629"/>
      <c r="E12" s="630"/>
    </row>
    <row r="13" spans="1:5" ht="12.75" x14ac:dyDescent="0.2">
      <c r="A13" s="629" t="s">
        <v>843</v>
      </c>
      <c r="B13" s="629"/>
      <c r="C13" s="631" t="str">
        <f>+Input!C6</f>
        <v>TWELVE MONTHS ENDED DECEMBER 31, 2017</v>
      </c>
      <c r="D13" s="629"/>
      <c r="E13" s="630"/>
    </row>
    <row r="14" spans="1:5" ht="12.75" x14ac:dyDescent="0.2">
      <c r="A14" s="629"/>
      <c r="B14" s="629"/>
      <c r="C14" s="631"/>
      <c r="D14" s="629"/>
      <c r="E14" s="630"/>
    </row>
    <row r="15" spans="1:5" ht="12.75" x14ac:dyDescent="0.2">
      <c r="A15" s="629" t="s">
        <v>478</v>
      </c>
      <c r="B15" s="629"/>
      <c r="C15" s="631" t="str">
        <f>+Input!C6</f>
        <v>TWELVE MONTHS ENDED DECEMBER 31, 2017</v>
      </c>
      <c r="D15" s="629"/>
      <c r="E15" s="630"/>
    </row>
    <row r="16" spans="1:5" ht="12.75" x14ac:dyDescent="0.2">
      <c r="A16" s="629"/>
      <c r="B16" s="629"/>
      <c r="C16" s="629"/>
      <c r="D16" s="629"/>
      <c r="E16" s="630"/>
    </row>
    <row r="17" spans="1:8" ht="12.75" x14ac:dyDescent="0.2">
      <c r="A17" s="629"/>
      <c r="B17" s="629"/>
      <c r="C17" s="629"/>
      <c r="D17" s="629"/>
      <c r="E17" s="630"/>
    </row>
    <row r="18" spans="1:8" ht="12.75" x14ac:dyDescent="0.2">
      <c r="A18" s="632" t="s">
        <v>479</v>
      </c>
      <c r="B18" s="632"/>
      <c r="C18" s="632" t="s">
        <v>480</v>
      </c>
      <c r="D18" s="632"/>
      <c r="E18" s="633"/>
      <c r="F18" s="89"/>
      <c r="G18" s="89"/>
      <c r="H18" s="89"/>
    </row>
    <row r="19" spans="1:8" ht="12.75" x14ac:dyDescent="0.2">
      <c r="A19" s="629"/>
      <c r="B19" s="629"/>
      <c r="C19" s="629"/>
      <c r="D19" s="629"/>
      <c r="E19" s="630"/>
    </row>
    <row r="20" spans="1:8" ht="12.75" x14ac:dyDescent="0.2">
      <c r="A20" s="629" t="s">
        <v>122</v>
      </c>
      <c r="B20" s="629"/>
      <c r="C20" s="629" t="s">
        <v>123</v>
      </c>
      <c r="D20" s="629"/>
      <c r="E20" s="630"/>
    </row>
    <row r="21" spans="1:8" ht="12.75" x14ac:dyDescent="0.2">
      <c r="A21" s="629" t="s">
        <v>124</v>
      </c>
      <c r="B21" s="629"/>
      <c r="C21" s="629" t="s">
        <v>1324</v>
      </c>
      <c r="D21" s="629"/>
      <c r="E21" s="630"/>
    </row>
    <row r="22" spans="1:8" ht="12.75" x14ac:dyDescent="0.2">
      <c r="A22" s="629" t="s">
        <v>125</v>
      </c>
      <c r="B22" s="629"/>
      <c r="C22" s="629" t="s">
        <v>126</v>
      </c>
      <c r="D22" s="629"/>
      <c r="E22" s="630"/>
    </row>
    <row r="23" spans="1:8" ht="12.75" x14ac:dyDescent="0.2">
      <c r="A23" s="629" t="s">
        <v>127</v>
      </c>
      <c r="B23" s="629"/>
      <c r="C23" s="629" t="s">
        <v>128</v>
      </c>
      <c r="D23" s="629"/>
      <c r="E23" s="630"/>
    </row>
    <row r="24" spans="1:8" ht="12.75" x14ac:dyDescent="0.2">
      <c r="A24" s="629" t="s">
        <v>129</v>
      </c>
      <c r="B24" s="629"/>
      <c r="C24" s="629" t="s">
        <v>130</v>
      </c>
      <c r="D24" s="629"/>
      <c r="E24" s="630"/>
    </row>
    <row r="25" spans="1:8" ht="12.75" x14ac:dyDescent="0.2">
      <c r="A25" s="629"/>
      <c r="B25" s="629"/>
      <c r="C25" s="629"/>
      <c r="D25" s="629"/>
      <c r="E25" s="630"/>
    </row>
    <row r="26" spans="1:8" ht="11.25" x14ac:dyDescent="0.2">
      <c r="A26" s="630"/>
      <c r="B26" s="630"/>
      <c r="C26" s="630"/>
      <c r="D26" s="630"/>
      <c r="E26" s="630"/>
    </row>
    <row r="27" spans="1:8" ht="11.25" x14ac:dyDescent="0.2">
      <c r="A27" s="630"/>
      <c r="B27" s="630"/>
      <c r="C27" s="630"/>
      <c r="D27" s="630"/>
      <c r="E27" s="630"/>
    </row>
    <row r="28" spans="1:8" ht="11.25" x14ac:dyDescent="0.2">
      <c r="A28" s="630"/>
      <c r="B28" s="630"/>
      <c r="C28" s="630"/>
      <c r="D28" s="630"/>
      <c r="E28" s="630"/>
    </row>
    <row r="29" spans="1:8" ht="11.25" x14ac:dyDescent="0.2">
      <c r="A29" s="630"/>
      <c r="B29" s="630"/>
      <c r="C29" s="630"/>
      <c r="D29" s="630"/>
      <c r="E29" s="630"/>
    </row>
    <row r="30" spans="1:8" ht="11.25" x14ac:dyDescent="0.2">
      <c r="A30" s="630"/>
      <c r="B30" s="630"/>
      <c r="C30" s="630"/>
      <c r="D30" s="630"/>
      <c r="E30" s="630"/>
    </row>
    <row r="31" spans="1:8" ht="11.25" x14ac:dyDescent="0.2">
      <c r="A31" s="630"/>
      <c r="B31" s="630"/>
      <c r="C31" s="630"/>
      <c r="D31" s="630"/>
      <c r="E31" s="630"/>
    </row>
    <row r="32" spans="1:8" ht="11.25" x14ac:dyDescent="0.2">
      <c r="A32" s="630"/>
      <c r="B32" s="630"/>
      <c r="C32" s="630"/>
      <c r="D32" s="630"/>
      <c r="E32" s="630"/>
    </row>
    <row r="33" spans="1:5" ht="11.25" x14ac:dyDescent="0.2">
      <c r="A33" s="630"/>
      <c r="B33" s="630"/>
      <c r="C33" s="630"/>
      <c r="D33" s="630"/>
      <c r="E33" s="630"/>
    </row>
    <row r="34" spans="1:5" ht="11.25" x14ac:dyDescent="0.2">
      <c r="A34" s="630"/>
      <c r="B34" s="630"/>
      <c r="C34" s="630"/>
      <c r="D34" s="630"/>
      <c r="E34" s="630"/>
    </row>
    <row r="35" spans="1:5" ht="11.25" x14ac:dyDescent="0.2">
      <c r="A35" s="630"/>
      <c r="B35" s="630"/>
      <c r="C35" s="630"/>
      <c r="D35" s="630"/>
      <c r="E35" s="630"/>
    </row>
    <row r="36" spans="1:5" ht="11.25" x14ac:dyDescent="0.2">
      <c r="A36" s="630"/>
      <c r="B36" s="630"/>
      <c r="C36" s="630"/>
      <c r="D36" s="630"/>
      <c r="E36" s="630"/>
    </row>
    <row r="37" spans="1:5" ht="11.25" x14ac:dyDescent="0.2">
      <c r="A37" s="630"/>
      <c r="B37" s="630"/>
      <c r="C37" s="630"/>
      <c r="D37" s="630"/>
      <c r="E37" s="630"/>
    </row>
    <row r="38" spans="1:5" ht="11.25" x14ac:dyDescent="0.2">
      <c r="A38" s="630"/>
      <c r="B38" s="630"/>
      <c r="C38" s="630"/>
      <c r="D38" s="630"/>
      <c r="E38" s="630"/>
    </row>
    <row r="39" spans="1:5" ht="11.25" x14ac:dyDescent="0.2">
      <c r="A39" s="630"/>
      <c r="B39" s="630"/>
      <c r="C39" s="630"/>
      <c r="D39" s="630"/>
      <c r="E39" s="630"/>
    </row>
    <row r="40" spans="1:5" ht="11.25" x14ac:dyDescent="0.2">
      <c r="A40" s="630"/>
      <c r="B40" s="630"/>
      <c r="C40" s="630"/>
      <c r="D40" s="630"/>
      <c r="E40" s="630"/>
    </row>
    <row r="41" spans="1:5" ht="11.25" x14ac:dyDescent="0.2">
      <c r="A41" s="630"/>
      <c r="B41" s="630"/>
      <c r="C41" s="630"/>
      <c r="D41" s="630"/>
      <c r="E41" s="630"/>
    </row>
    <row r="42" spans="1:5" ht="11.25" x14ac:dyDescent="0.2">
      <c r="A42" s="630"/>
      <c r="B42" s="630"/>
      <c r="C42" s="630"/>
      <c r="D42" s="630"/>
      <c r="E42" s="630"/>
    </row>
    <row r="43" spans="1:5" ht="11.25" x14ac:dyDescent="0.2">
      <c r="A43" s="630"/>
      <c r="B43" s="630"/>
      <c r="C43" s="630"/>
      <c r="D43" s="630"/>
      <c r="E43" s="630"/>
    </row>
    <row r="44" spans="1:5" ht="11.25" x14ac:dyDescent="0.2">
      <c r="A44" s="630"/>
      <c r="B44" s="630"/>
      <c r="C44" s="630"/>
      <c r="D44" s="630"/>
      <c r="E44" s="630"/>
    </row>
    <row r="45" spans="1:5" ht="11.25" x14ac:dyDescent="0.2">
      <c r="A45" s="630"/>
      <c r="B45" s="630"/>
      <c r="C45" s="630"/>
      <c r="D45" s="630"/>
      <c r="E45" s="630"/>
    </row>
    <row r="46" spans="1:5" ht="11.25" x14ac:dyDescent="0.2">
      <c r="A46" s="630"/>
      <c r="B46" s="630"/>
      <c r="C46" s="630"/>
      <c r="D46" s="630"/>
      <c r="E46" s="630"/>
    </row>
    <row r="47" spans="1:5" ht="11.25" x14ac:dyDescent="0.2">
      <c r="A47" s="630"/>
      <c r="B47" s="630"/>
      <c r="C47" s="630"/>
      <c r="D47" s="630"/>
      <c r="E47" s="630"/>
    </row>
    <row r="48" spans="1:5" ht="11.25" x14ac:dyDescent="0.2">
      <c r="A48" s="630"/>
      <c r="B48" s="630"/>
      <c r="C48" s="630"/>
      <c r="D48" s="630"/>
      <c r="E48" s="630"/>
    </row>
    <row r="49" spans="1:5" ht="11.25" x14ac:dyDescent="0.2">
      <c r="A49" s="630"/>
      <c r="B49" s="630"/>
      <c r="C49" s="630"/>
      <c r="D49" s="630"/>
      <c r="E49" s="630"/>
    </row>
    <row r="50" spans="1:5" ht="11.25" x14ac:dyDescent="0.2">
      <c r="A50" s="630"/>
      <c r="B50" s="630"/>
      <c r="C50" s="630"/>
      <c r="D50" s="630"/>
      <c r="E50" s="630"/>
    </row>
    <row r="51" spans="1:5" ht="11.25" x14ac:dyDescent="0.2">
      <c r="A51" s="630"/>
      <c r="B51" s="630"/>
      <c r="C51" s="630"/>
      <c r="D51" s="630"/>
      <c r="E51" s="630"/>
    </row>
    <row r="52" spans="1:5" ht="11.25" x14ac:dyDescent="0.2">
      <c r="A52" s="630"/>
      <c r="B52" s="630"/>
      <c r="C52" s="630"/>
      <c r="D52" s="630"/>
      <c r="E52" s="630"/>
    </row>
    <row r="53" spans="1:5" ht="11.25" x14ac:dyDescent="0.2">
      <c r="A53" s="630"/>
      <c r="B53" s="630"/>
      <c r="C53" s="630"/>
      <c r="D53" s="630"/>
      <c r="E53" s="630"/>
    </row>
    <row r="54" spans="1:5" ht="11.25" x14ac:dyDescent="0.2">
      <c r="A54" s="630"/>
      <c r="B54" s="630"/>
      <c r="C54" s="630"/>
      <c r="D54" s="630"/>
      <c r="E54" s="630"/>
    </row>
    <row r="55" spans="1:5" ht="11.25" x14ac:dyDescent="0.2">
      <c r="A55" s="630"/>
      <c r="B55" s="630"/>
      <c r="C55" s="630"/>
      <c r="D55" s="630"/>
      <c r="E55" s="630"/>
    </row>
    <row r="56" spans="1:5" ht="11.25" x14ac:dyDescent="0.2">
      <c r="A56" s="630"/>
      <c r="B56" s="630"/>
      <c r="C56" s="630"/>
      <c r="D56" s="630"/>
      <c r="E56" s="630"/>
    </row>
    <row r="57" spans="1:5" ht="11.25" x14ac:dyDescent="0.2">
      <c r="A57" s="630"/>
      <c r="B57" s="630"/>
      <c r="C57" s="630"/>
      <c r="D57" s="630"/>
      <c r="E57" s="630"/>
    </row>
    <row r="58" spans="1:5" ht="11.25" x14ac:dyDescent="0.2">
      <c r="A58" s="630"/>
      <c r="B58" s="630"/>
      <c r="C58" s="630"/>
      <c r="D58" s="630"/>
      <c r="E58" s="630"/>
    </row>
    <row r="59" spans="1:5" ht="11.25" x14ac:dyDescent="0.2">
      <c r="A59" s="630"/>
      <c r="B59" s="630"/>
      <c r="C59" s="630"/>
      <c r="D59" s="630"/>
      <c r="E59" s="630"/>
    </row>
    <row r="60" spans="1:5" ht="11.25" x14ac:dyDescent="0.2">
      <c r="A60" s="630"/>
      <c r="B60" s="630"/>
      <c r="C60" s="630"/>
      <c r="D60" s="630"/>
      <c r="E60" s="630"/>
    </row>
    <row r="61" spans="1:5" ht="11.25" x14ac:dyDescent="0.2">
      <c r="A61" s="630"/>
      <c r="B61" s="630"/>
      <c r="C61" s="630"/>
      <c r="D61" s="630"/>
      <c r="E61" s="630"/>
    </row>
    <row r="62" spans="1:5" ht="11.25" x14ac:dyDescent="0.2">
      <c r="A62" s="630"/>
      <c r="B62" s="630"/>
      <c r="C62" s="630"/>
      <c r="D62" s="630"/>
      <c r="E62" s="630"/>
    </row>
    <row r="63" spans="1:5" ht="11.25" x14ac:dyDescent="0.2">
      <c r="A63" s="630"/>
      <c r="B63" s="630"/>
      <c r="C63" s="630"/>
      <c r="D63" s="630"/>
      <c r="E63" s="630"/>
    </row>
    <row r="64" spans="1:5" ht="11.25" x14ac:dyDescent="0.2">
      <c r="A64" s="630"/>
      <c r="B64" s="630"/>
      <c r="C64" s="630"/>
      <c r="D64" s="630"/>
      <c r="E64" s="630"/>
    </row>
    <row r="65" spans="1:5" ht="11.25" x14ac:dyDescent="0.2">
      <c r="A65" s="630"/>
      <c r="B65" s="630"/>
      <c r="C65" s="630"/>
      <c r="D65" s="630"/>
      <c r="E65" s="630"/>
    </row>
    <row r="66" spans="1:5" ht="11.25" x14ac:dyDescent="0.2">
      <c r="A66" s="630"/>
      <c r="B66" s="630"/>
      <c r="C66" s="630"/>
      <c r="D66" s="630"/>
      <c r="E66" s="630"/>
    </row>
    <row r="67" spans="1:5" ht="11.25" x14ac:dyDescent="0.2">
      <c r="A67" s="630"/>
      <c r="B67" s="630"/>
      <c r="C67" s="630"/>
      <c r="D67" s="630"/>
      <c r="E67" s="630"/>
    </row>
    <row r="68" spans="1:5" ht="11.25" x14ac:dyDescent="0.2">
      <c r="A68" s="630"/>
      <c r="B68" s="630"/>
      <c r="C68" s="630"/>
      <c r="D68" s="630"/>
      <c r="E68" s="630"/>
    </row>
    <row r="69" spans="1:5" ht="11.25" x14ac:dyDescent="0.2">
      <c r="A69" s="630"/>
      <c r="B69" s="630"/>
      <c r="C69" s="630"/>
      <c r="D69" s="630"/>
      <c r="E69" s="630"/>
    </row>
    <row r="70" spans="1:5" ht="11.25" x14ac:dyDescent="0.2">
      <c r="A70" s="630"/>
      <c r="B70" s="630"/>
      <c r="C70" s="630"/>
      <c r="D70" s="630"/>
      <c r="E70" s="630"/>
    </row>
    <row r="71" spans="1:5" ht="11.25" x14ac:dyDescent="0.2">
      <c r="A71" s="630"/>
      <c r="B71" s="630"/>
      <c r="C71" s="630"/>
      <c r="D71" s="630"/>
      <c r="E71" s="630"/>
    </row>
    <row r="72" spans="1:5" ht="11.25" x14ac:dyDescent="0.2">
      <c r="A72" s="630"/>
      <c r="B72" s="630"/>
      <c r="C72" s="630"/>
      <c r="D72" s="630"/>
      <c r="E72" s="630"/>
    </row>
    <row r="73" spans="1:5" ht="11.25" x14ac:dyDescent="0.2">
      <c r="A73" s="630"/>
      <c r="B73" s="630"/>
      <c r="C73" s="630"/>
      <c r="D73" s="630"/>
      <c r="E73" s="630"/>
    </row>
    <row r="74" spans="1:5" ht="11.25" x14ac:dyDescent="0.2">
      <c r="A74" s="630"/>
      <c r="B74" s="630"/>
      <c r="C74" s="630"/>
      <c r="D74" s="630"/>
      <c r="E74" s="630"/>
    </row>
    <row r="75" spans="1:5" ht="11.25" x14ac:dyDescent="0.2">
      <c r="A75" s="630"/>
      <c r="B75" s="630"/>
      <c r="C75" s="630"/>
      <c r="D75" s="630"/>
      <c r="E75" s="630"/>
    </row>
    <row r="76" spans="1:5" ht="11.25" x14ac:dyDescent="0.2">
      <c r="A76" s="630"/>
      <c r="B76" s="630"/>
      <c r="C76" s="630"/>
      <c r="D76" s="630"/>
      <c r="E76" s="630"/>
    </row>
    <row r="77" spans="1:5" ht="11.25" x14ac:dyDescent="0.2">
      <c r="A77" s="630"/>
      <c r="B77" s="630"/>
      <c r="C77" s="630"/>
      <c r="D77" s="630"/>
      <c r="E77" s="630"/>
    </row>
    <row r="78" spans="1:5" ht="11.25" x14ac:dyDescent="0.2">
      <c r="A78" s="630"/>
      <c r="B78" s="630"/>
      <c r="C78" s="630"/>
      <c r="D78" s="630"/>
      <c r="E78" s="630"/>
    </row>
    <row r="79" spans="1:5" ht="11.25" x14ac:dyDescent="0.2">
      <c r="A79" s="630"/>
      <c r="B79" s="630"/>
      <c r="C79" s="630"/>
      <c r="D79" s="630"/>
      <c r="E79" s="630"/>
    </row>
    <row r="80" spans="1:5" ht="11.25" x14ac:dyDescent="0.2">
      <c r="A80" s="630"/>
      <c r="B80" s="630"/>
      <c r="C80" s="630"/>
      <c r="D80" s="630"/>
      <c r="E80" s="630"/>
    </row>
    <row r="81" spans="1:5" ht="11.25" x14ac:dyDescent="0.2">
      <c r="A81" s="630"/>
      <c r="B81" s="630"/>
      <c r="C81" s="630"/>
      <c r="D81" s="630"/>
      <c r="E81" s="630"/>
    </row>
    <row r="82" spans="1:5" ht="11.25" x14ac:dyDescent="0.2">
      <c r="A82" s="630"/>
      <c r="B82" s="630"/>
      <c r="C82" s="630"/>
      <c r="D82" s="630"/>
      <c r="E82" s="630"/>
    </row>
    <row r="83" spans="1:5" ht="11.25" x14ac:dyDescent="0.2">
      <c r="A83" s="630"/>
      <c r="B83" s="630"/>
      <c r="C83" s="630"/>
      <c r="D83" s="630"/>
      <c r="E83" s="630"/>
    </row>
    <row r="84" spans="1:5" ht="11.25" x14ac:dyDescent="0.2">
      <c r="A84" s="630"/>
      <c r="B84" s="630"/>
      <c r="C84" s="630"/>
      <c r="D84" s="630"/>
      <c r="E84" s="630"/>
    </row>
    <row r="85" spans="1:5" ht="11.25" x14ac:dyDescent="0.2">
      <c r="A85" s="630"/>
      <c r="B85" s="630"/>
      <c r="C85" s="630"/>
      <c r="D85" s="630"/>
      <c r="E85" s="630"/>
    </row>
    <row r="86" spans="1:5" ht="11.25" x14ac:dyDescent="0.2">
      <c r="A86" s="630"/>
      <c r="B86" s="630"/>
      <c r="C86" s="630"/>
      <c r="D86" s="630"/>
      <c r="E86" s="630"/>
    </row>
    <row r="87" spans="1:5" ht="11.25" x14ac:dyDescent="0.2">
      <c r="A87" s="630"/>
      <c r="B87" s="630"/>
      <c r="C87" s="630"/>
      <c r="D87" s="630"/>
      <c r="E87" s="630"/>
    </row>
    <row r="88" spans="1:5" ht="11.25" x14ac:dyDescent="0.2">
      <c r="A88" s="630"/>
      <c r="B88" s="630"/>
      <c r="C88" s="630"/>
      <c r="D88" s="630"/>
      <c r="E88" s="630"/>
    </row>
    <row r="89" spans="1:5" ht="11.25" x14ac:dyDescent="0.2">
      <c r="A89" s="630"/>
      <c r="B89" s="630"/>
      <c r="C89" s="630"/>
      <c r="D89" s="630"/>
      <c r="E89" s="630"/>
    </row>
    <row r="90" spans="1:5" ht="11.25" x14ac:dyDescent="0.2">
      <c r="A90" s="630"/>
      <c r="B90" s="630"/>
      <c r="C90" s="630"/>
      <c r="D90" s="630"/>
      <c r="E90" s="630"/>
    </row>
    <row r="91" spans="1:5" ht="11.25" x14ac:dyDescent="0.2">
      <c r="A91" s="630"/>
      <c r="B91" s="630"/>
      <c r="C91" s="630"/>
      <c r="D91" s="630"/>
      <c r="E91" s="630"/>
    </row>
    <row r="92" spans="1:5" ht="11.25" x14ac:dyDescent="0.2">
      <c r="A92" s="630"/>
      <c r="B92" s="630"/>
      <c r="C92" s="630"/>
      <c r="D92" s="630"/>
      <c r="E92" s="630"/>
    </row>
    <row r="93" spans="1:5" ht="11.25" x14ac:dyDescent="0.2">
      <c r="A93" s="630"/>
      <c r="B93" s="630"/>
      <c r="C93" s="630"/>
      <c r="D93" s="630"/>
      <c r="E93" s="630"/>
    </row>
    <row r="94" spans="1:5" ht="11.25" x14ac:dyDescent="0.2">
      <c r="A94" s="630"/>
      <c r="B94" s="630"/>
      <c r="C94" s="630"/>
      <c r="D94" s="630"/>
      <c r="E94" s="630"/>
    </row>
    <row r="95" spans="1:5" ht="11.25" x14ac:dyDescent="0.2">
      <c r="A95" s="630"/>
      <c r="B95" s="630"/>
      <c r="C95" s="630"/>
      <c r="D95" s="630"/>
      <c r="E95" s="630"/>
    </row>
    <row r="96" spans="1:5" ht="11.25" x14ac:dyDescent="0.2">
      <c r="A96" s="630"/>
      <c r="B96" s="630"/>
      <c r="C96" s="630"/>
      <c r="D96" s="630"/>
      <c r="E96" s="630"/>
    </row>
    <row r="97" spans="1:5" ht="11.25" x14ac:dyDescent="0.2">
      <c r="A97" s="630"/>
      <c r="B97" s="630"/>
      <c r="C97" s="630"/>
      <c r="D97" s="630"/>
      <c r="E97" s="630"/>
    </row>
    <row r="98" spans="1:5" ht="11.25" x14ac:dyDescent="0.2">
      <c r="A98" s="630"/>
      <c r="B98" s="630"/>
      <c r="C98" s="630"/>
      <c r="D98" s="630"/>
      <c r="E98" s="630"/>
    </row>
    <row r="99" spans="1:5" ht="11.25" x14ac:dyDescent="0.2">
      <c r="A99" s="630"/>
      <c r="B99" s="630"/>
      <c r="C99" s="630"/>
      <c r="D99" s="630"/>
      <c r="E99" s="630"/>
    </row>
    <row r="100" spans="1:5" ht="11.25" x14ac:dyDescent="0.2">
      <c r="A100" s="630"/>
      <c r="B100" s="630"/>
      <c r="C100" s="630"/>
      <c r="D100" s="630"/>
      <c r="E100" s="630"/>
    </row>
    <row r="101" spans="1:5" ht="11.25" x14ac:dyDescent="0.2">
      <c r="A101" s="630"/>
      <c r="B101" s="630"/>
      <c r="C101" s="630"/>
      <c r="D101" s="630"/>
      <c r="E101" s="630"/>
    </row>
    <row r="102" spans="1:5" ht="11.25" x14ac:dyDescent="0.2">
      <c r="A102" s="630"/>
      <c r="B102" s="630"/>
      <c r="C102" s="630"/>
      <c r="D102" s="630"/>
      <c r="E102" s="630"/>
    </row>
    <row r="103" spans="1:5" ht="11.25" x14ac:dyDescent="0.2">
      <c r="A103" s="630"/>
      <c r="B103" s="630"/>
      <c r="C103" s="630"/>
      <c r="D103" s="630"/>
      <c r="E103" s="630"/>
    </row>
    <row r="104" spans="1:5" ht="11.25" x14ac:dyDescent="0.2">
      <c r="A104" s="630"/>
      <c r="B104" s="630"/>
      <c r="C104" s="630"/>
      <c r="D104" s="630"/>
      <c r="E104" s="630"/>
    </row>
    <row r="105" spans="1:5" ht="11.25" x14ac:dyDescent="0.2">
      <c r="A105" s="630"/>
      <c r="B105" s="630"/>
      <c r="C105" s="630"/>
      <c r="D105" s="630"/>
      <c r="E105" s="630"/>
    </row>
    <row r="106" spans="1:5" ht="11.25" x14ac:dyDescent="0.2">
      <c r="A106" s="630"/>
      <c r="B106" s="630"/>
      <c r="C106" s="630"/>
      <c r="D106" s="630"/>
      <c r="E106" s="630"/>
    </row>
    <row r="107" spans="1:5" ht="11.25" x14ac:dyDescent="0.2">
      <c r="A107" s="630"/>
      <c r="B107" s="630"/>
      <c r="C107" s="630"/>
      <c r="D107" s="630"/>
      <c r="E107" s="630"/>
    </row>
    <row r="108" spans="1:5" ht="11.25" x14ac:dyDescent="0.2">
      <c r="A108" s="630"/>
      <c r="B108" s="630"/>
      <c r="C108" s="630"/>
      <c r="D108" s="630"/>
      <c r="E108" s="630"/>
    </row>
    <row r="109" spans="1:5" ht="11.25" x14ac:dyDescent="0.2">
      <c r="A109" s="630"/>
      <c r="B109" s="630"/>
      <c r="C109" s="630"/>
      <c r="D109" s="630"/>
      <c r="E109" s="630"/>
    </row>
    <row r="110" spans="1:5" ht="11.25" x14ac:dyDescent="0.2">
      <c r="A110" s="630"/>
      <c r="B110" s="630"/>
      <c r="C110" s="630"/>
      <c r="D110" s="630"/>
      <c r="E110" s="630"/>
    </row>
    <row r="111" spans="1:5" ht="11.25" x14ac:dyDescent="0.2">
      <c r="A111" s="630"/>
      <c r="B111" s="630"/>
      <c r="C111" s="630"/>
      <c r="D111" s="630"/>
      <c r="E111" s="630"/>
    </row>
    <row r="112" spans="1:5" ht="11.25" x14ac:dyDescent="0.2">
      <c r="A112" s="630"/>
      <c r="B112" s="630"/>
      <c r="C112" s="630"/>
      <c r="D112" s="630"/>
      <c r="E112" s="630"/>
    </row>
    <row r="113" spans="1:5" ht="11.25" x14ac:dyDescent="0.2">
      <c r="A113" s="630"/>
      <c r="B113" s="630"/>
      <c r="C113" s="630"/>
      <c r="D113" s="630"/>
      <c r="E113" s="630"/>
    </row>
    <row r="114" spans="1:5" ht="11.25" x14ac:dyDescent="0.2">
      <c r="A114" s="630"/>
      <c r="B114" s="630"/>
      <c r="C114" s="630"/>
      <c r="D114" s="630"/>
      <c r="E114" s="630"/>
    </row>
    <row r="115" spans="1:5" ht="11.25" x14ac:dyDescent="0.2">
      <c r="A115" s="630"/>
      <c r="B115" s="630"/>
      <c r="C115" s="630"/>
      <c r="D115" s="630"/>
      <c r="E115" s="630"/>
    </row>
    <row r="116" spans="1:5" ht="11.25" x14ac:dyDescent="0.2">
      <c r="A116" s="630"/>
      <c r="B116" s="630"/>
      <c r="C116" s="630"/>
      <c r="D116" s="630"/>
      <c r="E116" s="630"/>
    </row>
    <row r="117" spans="1:5" ht="11.25" x14ac:dyDescent="0.2">
      <c r="A117" s="630"/>
      <c r="B117" s="630"/>
      <c r="C117" s="630"/>
      <c r="D117" s="630"/>
      <c r="E117" s="630"/>
    </row>
    <row r="118" spans="1:5" ht="11.25" x14ac:dyDescent="0.2">
      <c r="A118" s="630"/>
      <c r="B118" s="630"/>
      <c r="C118" s="630"/>
      <c r="D118" s="630"/>
      <c r="E118" s="630"/>
    </row>
    <row r="119" spans="1:5" ht="11.25" x14ac:dyDescent="0.2">
      <c r="A119" s="630"/>
      <c r="B119" s="630"/>
      <c r="C119" s="630"/>
      <c r="D119" s="630"/>
      <c r="E119" s="630"/>
    </row>
    <row r="120" spans="1:5" ht="11.25" x14ac:dyDescent="0.2">
      <c r="A120" s="630"/>
      <c r="B120" s="630"/>
      <c r="C120" s="630"/>
      <c r="D120" s="630"/>
      <c r="E120" s="630"/>
    </row>
    <row r="121" spans="1:5" ht="11.25" x14ac:dyDescent="0.2">
      <c r="A121" s="630"/>
      <c r="B121" s="630"/>
      <c r="C121" s="630"/>
      <c r="D121" s="630"/>
      <c r="E121" s="630"/>
    </row>
    <row r="122" spans="1:5" ht="11.25" x14ac:dyDescent="0.2">
      <c r="A122" s="630"/>
      <c r="B122" s="630"/>
      <c r="C122" s="630"/>
      <c r="D122" s="630"/>
      <c r="E122" s="630"/>
    </row>
    <row r="123" spans="1:5" ht="11.25" x14ac:dyDescent="0.2">
      <c r="A123" s="630"/>
      <c r="B123" s="630"/>
      <c r="C123" s="630"/>
      <c r="D123" s="630"/>
      <c r="E123" s="630"/>
    </row>
    <row r="124" spans="1:5" ht="11.25" x14ac:dyDescent="0.2">
      <c r="A124" s="630"/>
      <c r="B124" s="630"/>
      <c r="C124" s="630"/>
      <c r="D124" s="630"/>
      <c r="E124" s="630"/>
    </row>
  </sheetData>
  <phoneticPr fontId="0" type="noConversion"/>
  <printOptions horizontalCentered="1"/>
  <pageMargins left="0.5" right="0.5" top="1" bottom="1" header="0.5" footer="0.5"/>
  <pageSetup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zoomScaleNormal="100" workbookViewId="0">
      <selection activeCell="C54" sqref="C54"/>
    </sheetView>
  </sheetViews>
  <sheetFormatPr defaultColWidth="9.33203125" defaultRowHeight="10.5" x14ac:dyDescent="0.15"/>
  <cols>
    <col min="1" max="1" width="6.83203125" style="59" customWidth="1"/>
    <col min="2" max="2" width="4" style="59" customWidth="1"/>
    <col min="3" max="3" width="23.6640625" style="59" bestFit="1" customWidth="1"/>
    <col min="4" max="4" width="3.83203125" style="59" customWidth="1"/>
    <col min="5" max="5" width="13.6640625" style="59" customWidth="1"/>
    <col min="6" max="6" width="3.83203125" style="59" customWidth="1"/>
    <col min="7" max="7" width="15.83203125" style="59" customWidth="1"/>
    <col min="8" max="8" width="3.83203125" style="59" customWidth="1"/>
    <col min="9" max="9" width="12" style="59" bestFit="1" customWidth="1"/>
    <col min="10" max="10" width="3.83203125" style="59" customWidth="1"/>
    <col min="11" max="11" width="14.1640625" style="59" bestFit="1" customWidth="1"/>
    <col min="12" max="12" width="3.83203125" style="59" customWidth="1"/>
    <col min="13" max="13" width="13.6640625" style="59" customWidth="1"/>
    <col min="14" max="14" width="2.83203125" style="59" customWidth="1"/>
    <col min="15" max="16384" width="9.33203125" style="59"/>
  </cols>
  <sheetData>
    <row r="1" spans="1:15" ht="12.75" x14ac:dyDescent="0.2">
      <c r="A1" s="1462" t="s">
        <v>477</v>
      </c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</row>
    <row r="2" spans="1:15" ht="12.75" x14ac:dyDescent="0.2">
      <c r="A2" s="1462" t="str">
        <f>+Input!C4</f>
        <v>CASE NO. 2017-xxxxx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</row>
    <row r="3" spans="1:15" ht="12.75" x14ac:dyDescent="0.2">
      <c r="A3" s="1462" t="s">
        <v>123</v>
      </c>
      <c r="B3" s="1462"/>
      <c r="C3" s="1462"/>
      <c r="D3" s="1462"/>
      <c r="E3" s="1462"/>
      <c r="F3" s="1462"/>
      <c r="G3" s="1462"/>
      <c r="H3" s="1462"/>
      <c r="I3" s="1462"/>
      <c r="J3" s="1462"/>
      <c r="K3" s="1462"/>
      <c r="L3" s="1462"/>
      <c r="M3" s="1462"/>
    </row>
    <row r="4" spans="1:15" ht="12.75" x14ac:dyDescent="0.2">
      <c r="A4" s="1462" t="str">
        <f>+Input!C7</f>
        <v>AS OF DECEMBER 31, 2017</v>
      </c>
      <c r="B4" s="1462"/>
      <c r="C4" s="1462"/>
      <c r="D4" s="1462"/>
      <c r="E4" s="1462"/>
      <c r="F4" s="1462"/>
      <c r="G4" s="1462"/>
      <c r="H4" s="1462"/>
      <c r="I4" s="1462"/>
      <c r="J4" s="1462"/>
      <c r="K4" s="1462"/>
      <c r="L4" s="1462"/>
      <c r="M4" s="1462"/>
    </row>
    <row r="5" spans="1:15" ht="12.75" x14ac:dyDescent="0.2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</row>
    <row r="6" spans="1:15" ht="12.75" x14ac:dyDescent="0.2">
      <c r="A6" s="634" t="s">
        <v>839</v>
      </c>
      <c r="B6" s="629"/>
      <c r="C6" s="629"/>
      <c r="D6" s="629"/>
      <c r="E6" s="629"/>
      <c r="F6" s="629"/>
      <c r="G6" s="629"/>
      <c r="H6" s="629"/>
      <c r="I6" s="629"/>
      <c r="J6" s="629"/>
      <c r="K6" s="630"/>
      <c r="L6" s="629"/>
      <c r="M6" s="635" t="s">
        <v>131</v>
      </c>
    </row>
    <row r="7" spans="1:15" ht="12.75" x14ac:dyDescent="0.2">
      <c r="A7" s="634" t="s">
        <v>490</v>
      </c>
      <c r="B7" s="629"/>
      <c r="C7" s="629"/>
      <c r="D7" s="629"/>
      <c r="E7" s="629"/>
      <c r="F7" s="629"/>
      <c r="G7" s="629"/>
      <c r="H7" s="629"/>
      <c r="I7" s="629"/>
      <c r="J7" s="629"/>
      <c r="K7" s="630"/>
      <c r="L7" s="629"/>
      <c r="M7" s="635" t="s">
        <v>491</v>
      </c>
    </row>
    <row r="8" spans="1:15" ht="12.75" x14ac:dyDescent="0.2">
      <c r="A8" s="636" t="s">
        <v>840</v>
      </c>
      <c r="B8" s="637"/>
      <c r="C8" s="637"/>
      <c r="D8" s="637"/>
      <c r="E8" s="637"/>
      <c r="F8" s="637"/>
      <c r="G8" s="637"/>
      <c r="H8" s="637"/>
      <c r="I8" s="637"/>
      <c r="J8" s="637"/>
      <c r="K8" s="638"/>
      <c r="L8" s="637"/>
      <c r="M8" s="639" t="str">
        <f>+Input!E33</f>
        <v>WITNESS:  P.  R. MOUL</v>
      </c>
    </row>
    <row r="9" spans="1:15" s="60" customFormat="1" ht="12.75" x14ac:dyDescent="0.2">
      <c r="A9" s="631" t="s">
        <v>493</v>
      </c>
      <c r="B9" s="631"/>
      <c r="C9" s="631"/>
      <c r="D9" s="631"/>
      <c r="E9" s="631" t="s">
        <v>1232</v>
      </c>
      <c r="F9" s="631"/>
      <c r="G9" s="631"/>
      <c r="H9" s="631"/>
      <c r="I9" s="631" t="s">
        <v>983</v>
      </c>
      <c r="J9" s="631"/>
      <c r="K9" s="631"/>
      <c r="L9" s="631"/>
      <c r="M9" s="631" t="s">
        <v>132</v>
      </c>
    </row>
    <row r="10" spans="1:15" s="60" customFormat="1" ht="12.75" x14ac:dyDescent="0.2">
      <c r="A10" s="640" t="s">
        <v>496</v>
      </c>
      <c r="B10" s="640"/>
      <c r="C10" s="640" t="s">
        <v>133</v>
      </c>
      <c r="D10" s="640"/>
      <c r="E10" s="640" t="s">
        <v>852</v>
      </c>
      <c r="F10" s="640"/>
      <c r="G10" s="640" t="s">
        <v>1248</v>
      </c>
      <c r="H10" s="640"/>
      <c r="I10" s="640" t="s">
        <v>134</v>
      </c>
      <c r="J10" s="640"/>
      <c r="K10" s="640" t="s">
        <v>135</v>
      </c>
      <c r="L10" s="640"/>
      <c r="M10" s="640" t="s">
        <v>1371</v>
      </c>
    </row>
    <row r="11" spans="1:15" s="60" customFormat="1" ht="12.75" x14ac:dyDescent="0.2">
      <c r="A11" s="641"/>
      <c r="B11" s="641"/>
      <c r="C11" s="642" t="s">
        <v>1746</v>
      </c>
      <c r="D11" s="631"/>
      <c r="E11" s="642" t="s">
        <v>1747</v>
      </c>
      <c r="F11" s="631"/>
      <c r="G11" s="642" t="s">
        <v>1748</v>
      </c>
      <c r="H11" s="631"/>
      <c r="I11" s="642" t="s">
        <v>1749</v>
      </c>
      <c r="J11" s="631"/>
      <c r="K11" s="642" t="s">
        <v>136</v>
      </c>
      <c r="L11" s="631"/>
      <c r="M11" s="641" t="s">
        <v>137</v>
      </c>
    </row>
    <row r="12" spans="1:15" s="60" customFormat="1" ht="12.75" x14ac:dyDescent="0.2">
      <c r="A12" s="631"/>
      <c r="B12" s="631"/>
      <c r="C12" s="631"/>
      <c r="D12" s="631"/>
      <c r="E12" s="631"/>
      <c r="F12" s="631"/>
      <c r="G12" s="812" t="s">
        <v>500</v>
      </c>
      <c r="H12" s="631"/>
      <c r="I12" s="642" t="s">
        <v>138</v>
      </c>
      <c r="J12" s="631"/>
      <c r="K12" s="642" t="s">
        <v>138</v>
      </c>
      <c r="L12" s="631"/>
      <c r="M12" s="642" t="s">
        <v>138</v>
      </c>
    </row>
    <row r="13" spans="1:15" ht="12.75" x14ac:dyDescent="0.2">
      <c r="A13" s="635"/>
      <c r="B13" s="629"/>
      <c r="C13" s="643"/>
      <c r="D13" s="643"/>
      <c r="E13" s="643"/>
      <c r="F13" s="643"/>
      <c r="G13" s="644"/>
      <c r="H13" s="643"/>
      <c r="I13" s="643"/>
      <c r="J13" s="643"/>
      <c r="K13" s="643"/>
      <c r="L13" s="643"/>
      <c r="M13" s="643"/>
    </row>
    <row r="14" spans="1:15" ht="12.75" x14ac:dyDescent="0.2">
      <c r="A14" s="631" t="s">
        <v>501</v>
      </c>
      <c r="B14" s="629"/>
      <c r="C14" s="643" t="s">
        <v>139</v>
      </c>
      <c r="D14" s="643"/>
      <c r="E14" s="645" t="s">
        <v>125</v>
      </c>
      <c r="F14" s="643"/>
      <c r="G14" s="644">
        <f>+'Avg Base Period  Cap Str J-1.1'!G15</f>
        <v>9861432</v>
      </c>
      <c r="H14" s="643"/>
      <c r="I14" s="809">
        <f>ROUND(G14/$G$22,5)</f>
        <v>5.425E-2</v>
      </c>
      <c r="J14" s="643"/>
      <c r="K14" s="646">
        <f>+'Embedded Cost of STD J-2'!J22/100</f>
        <v>3.2399999999999996E-4</v>
      </c>
      <c r="L14" s="643"/>
      <c r="M14" s="646">
        <f>+'Avg Base Period  Cap Str J-1.1'!M15</f>
        <v>1.8E-3</v>
      </c>
      <c r="N14" s="61"/>
    </row>
    <row r="15" spans="1:15" ht="12.75" x14ac:dyDescent="0.2">
      <c r="A15" s="631"/>
      <c r="B15" s="629"/>
      <c r="C15" s="629"/>
      <c r="D15" s="629"/>
      <c r="E15" s="631"/>
      <c r="F15" s="629"/>
      <c r="G15" s="647"/>
      <c r="H15" s="629"/>
      <c r="I15" s="809"/>
      <c r="J15" s="643"/>
      <c r="K15" s="643"/>
      <c r="L15" s="643"/>
      <c r="M15" s="629"/>
    </row>
    <row r="16" spans="1:15" ht="12.75" x14ac:dyDescent="0.2">
      <c r="A16" s="631" t="s">
        <v>503</v>
      </c>
      <c r="B16" s="629"/>
      <c r="C16" s="629" t="s">
        <v>140</v>
      </c>
      <c r="D16" s="629"/>
      <c r="E16" s="631" t="s">
        <v>127</v>
      </c>
      <c r="F16" s="629"/>
      <c r="G16" s="647">
        <f>+'Avg Base Period  Cap Str J-1.1'!G17</f>
        <v>77368041</v>
      </c>
      <c r="H16" s="629"/>
      <c r="I16" s="809">
        <f>ROUND(G16/$G$22,5)</f>
        <v>0.42559000000000002</v>
      </c>
      <c r="J16" s="643"/>
      <c r="K16" s="646">
        <f>+'Embedded Cost of LTD J-3'!K26</f>
        <v>5.7552526764895084E-2</v>
      </c>
      <c r="L16" s="643"/>
      <c r="M16" s="648">
        <f>+'Avg Base Period  Cap Str J-1.1'!M17</f>
        <v>2.4500000000000001E-2</v>
      </c>
      <c r="O16" s="648"/>
    </row>
    <row r="17" spans="1:13" ht="12.75" x14ac:dyDescent="0.2">
      <c r="A17" s="631"/>
      <c r="B17" s="629"/>
      <c r="C17" s="629"/>
      <c r="D17" s="629"/>
      <c r="E17" s="631"/>
      <c r="F17" s="629"/>
      <c r="G17" s="647"/>
      <c r="H17" s="629"/>
      <c r="I17" s="809"/>
      <c r="J17" s="643"/>
      <c r="K17" s="643"/>
      <c r="L17" s="643"/>
      <c r="M17" s="629"/>
    </row>
    <row r="18" spans="1:13" ht="12.75" x14ac:dyDescent="0.2">
      <c r="A18" s="631" t="s">
        <v>505</v>
      </c>
      <c r="B18" s="629"/>
      <c r="C18" s="629" t="s">
        <v>141</v>
      </c>
      <c r="D18" s="629"/>
      <c r="E18" s="631" t="s">
        <v>129</v>
      </c>
      <c r="F18" s="629"/>
      <c r="G18" s="647">
        <f>+'Avg Base Period  Cap Str J-1.1'!G21</f>
        <v>0</v>
      </c>
      <c r="H18" s="629"/>
      <c r="I18" s="809">
        <f>ROUND(G18/$G$22,4)</f>
        <v>0</v>
      </c>
      <c r="J18" s="643"/>
      <c r="K18" s="646">
        <f>+'Avg Base Period  Cap Str J-1.1'!K21</f>
        <v>0</v>
      </c>
      <c r="L18" s="643"/>
      <c r="M18" s="648">
        <f>+'Avg Base Period  Cap Str J-1.1'!M21</f>
        <v>0</v>
      </c>
    </row>
    <row r="19" spans="1:13" ht="12.75" x14ac:dyDescent="0.2">
      <c r="A19" s="631"/>
      <c r="B19" s="629"/>
      <c r="C19" s="629"/>
      <c r="D19" s="629"/>
      <c r="E19" s="629"/>
      <c r="F19" s="629"/>
      <c r="G19" s="647"/>
      <c r="H19" s="629"/>
      <c r="I19" s="809"/>
      <c r="J19" s="643"/>
      <c r="K19" s="721"/>
      <c r="L19" s="643"/>
      <c r="M19" s="629"/>
    </row>
    <row r="20" spans="1:13" ht="12.75" x14ac:dyDescent="0.2">
      <c r="A20" s="631" t="s">
        <v>506</v>
      </c>
      <c r="B20" s="629"/>
      <c r="C20" s="629" t="s">
        <v>142</v>
      </c>
      <c r="D20" s="629"/>
      <c r="E20" s="629"/>
      <c r="F20" s="629"/>
      <c r="G20" s="649">
        <f>+'Avg Base Period  Cap Str J-1.1'!G23</f>
        <v>94560940</v>
      </c>
      <c r="H20" s="629"/>
      <c r="I20" s="811">
        <f>ROUND(G20/$G$22,5)</f>
        <v>0.52015999999999996</v>
      </c>
      <c r="J20" s="643"/>
      <c r="K20" s="646">
        <f>+'Avg Base Period  Cap Str J-1.1'!K23</f>
        <v>0.1225</v>
      </c>
      <c r="L20" s="643"/>
      <c r="M20" s="650">
        <f>+'Avg Base Period  Cap Str J-1.1'!M23</f>
        <v>6.3700000000000007E-2</v>
      </c>
    </row>
    <row r="21" spans="1:13" ht="12.75" x14ac:dyDescent="0.2">
      <c r="A21" s="631"/>
      <c r="B21" s="629"/>
      <c r="C21" s="629"/>
      <c r="D21" s="629"/>
      <c r="E21" s="629"/>
      <c r="F21" s="629"/>
      <c r="G21" s="647"/>
      <c r="H21" s="629"/>
      <c r="I21" s="810"/>
      <c r="J21" s="629"/>
      <c r="K21" s="629"/>
      <c r="L21" s="629"/>
      <c r="M21" s="629"/>
    </row>
    <row r="22" spans="1:13" ht="12.75" x14ac:dyDescent="0.2">
      <c r="A22" s="631" t="s">
        <v>508</v>
      </c>
      <c r="B22" s="629"/>
      <c r="C22" s="629" t="s">
        <v>143</v>
      </c>
      <c r="D22" s="629"/>
      <c r="E22" s="629"/>
      <c r="F22" s="629"/>
      <c r="G22" s="647">
        <f>SUM(G14:G20)</f>
        <v>181790413</v>
      </c>
      <c r="H22" s="629"/>
      <c r="I22" s="810">
        <f>SUM(I14:I20)</f>
        <v>1</v>
      </c>
      <c r="J22" s="629"/>
      <c r="K22" s="629"/>
      <c r="L22" s="629"/>
      <c r="M22" s="648">
        <f>SUM(M14:M20)</f>
        <v>9.0000000000000011E-2</v>
      </c>
    </row>
    <row r="23" spans="1:13" ht="12.75" x14ac:dyDescent="0.2">
      <c r="A23" s="635"/>
      <c r="B23" s="629"/>
      <c r="C23" s="629"/>
      <c r="D23" s="629"/>
      <c r="E23" s="629"/>
      <c r="F23" s="629"/>
      <c r="G23" s="647"/>
      <c r="H23" s="629"/>
      <c r="I23" s="629"/>
      <c r="J23" s="629"/>
      <c r="K23" s="629"/>
      <c r="L23" s="629"/>
      <c r="M23" s="629"/>
    </row>
    <row r="24" spans="1:13" ht="12.75" x14ac:dyDescent="0.2">
      <c r="A24" s="635"/>
      <c r="B24" s="629"/>
      <c r="C24" s="629"/>
      <c r="D24" s="629"/>
      <c r="E24" s="629"/>
      <c r="F24" s="629"/>
      <c r="G24" s="629"/>
      <c r="H24" s="629"/>
      <c r="I24" s="629"/>
      <c r="J24" s="629"/>
      <c r="K24" s="629"/>
      <c r="L24" s="629"/>
      <c r="M24" s="629"/>
    </row>
    <row r="25" spans="1:13" ht="11.25" x14ac:dyDescent="0.2">
      <c r="A25" s="651"/>
      <c r="B25" s="630"/>
      <c r="C25" s="630"/>
      <c r="D25" s="630"/>
      <c r="E25" s="630"/>
      <c r="F25" s="630"/>
      <c r="G25" s="630"/>
      <c r="H25" s="630"/>
      <c r="I25" s="630"/>
      <c r="J25" s="630"/>
      <c r="K25" s="630"/>
      <c r="L25" s="630"/>
      <c r="M25" s="630"/>
    </row>
    <row r="26" spans="1:13" ht="12.75" x14ac:dyDescent="0.2">
      <c r="A26" s="630"/>
      <c r="B26" s="630"/>
      <c r="C26" s="629" t="s">
        <v>231</v>
      </c>
      <c r="D26" s="630"/>
      <c r="E26" s="630"/>
      <c r="F26" s="630"/>
      <c r="G26" s="630"/>
      <c r="H26" s="630"/>
      <c r="I26" s="630"/>
      <c r="J26" s="630"/>
      <c r="K26" s="630"/>
      <c r="L26" s="630"/>
      <c r="M26" s="630"/>
    </row>
    <row r="27" spans="1:13" ht="11.25" x14ac:dyDescent="0.2">
      <c r="A27" s="630"/>
      <c r="B27" s="630"/>
      <c r="C27" s="630"/>
      <c r="D27" s="630"/>
      <c r="E27" s="630"/>
      <c r="F27" s="630"/>
      <c r="G27" s="630"/>
      <c r="H27" s="630"/>
      <c r="I27" s="630"/>
      <c r="J27" s="630"/>
      <c r="K27" s="630"/>
      <c r="L27" s="630"/>
      <c r="M27" s="630"/>
    </row>
    <row r="28" spans="1:13" ht="11.25" x14ac:dyDescent="0.2">
      <c r="A28" s="630"/>
      <c r="B28" s="630"/>
      <c r="C28" s="630"/>
      <c r="D28" s="630"/>
      <c r="E28" s="630"/>
      <c r="F28" s="630"/>
      <c r="G28" s="630"/>
      <c r="H28" s="630"/>
      <c r="I28" s="630"/>
      <c r="J28" s="630"/>
      <c r="K28" s="630"/>
      <c r="L28" s="630"/>
      <c r="M28" s="630"/>
    </row>
    <row r="29" spans="1:13" ht="11.25" x14ac:dyDescent="0.2">
      <c r="A29" s="630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</row>
    <row r="30" spans="1:13" ht="11.25" x14ac:dyDescent="0.2">
      <c r="A30" s="630"/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</row>
    <row r="31" spans="1:13" ht="11.25" x14ac:dyDescent="0.2">
      <c r="A31" s="630"/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</row>
    <row r="32" spans="1:13" ht="11.25" x14ac:dyDescent="0.2">
      <c r="A32" s="630"/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</row>
    <row r="33" spans="1:13" ht="11.25" x14ac:dyDescent="0.2">
      <c r="A33" s="630"/>
      <c r="B33" s="630"/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0"/>
    </row>
    <row r="34" spans="1:13" ht="11.25" x14ac:dyDescent="0.2">
      <c r="A34" s="630"/>
      <c r="B34" s="630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</row>
    <row r="35" spans="1:13" ht="11.25" x14ac:dyDescent="0.2">
      <c r="A35" s="630"/>
      <c r="B35" s="630"/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</row>
    <row r="36" spans="1:13" ht="11.25" x14ac:dyDescent="0.2">
      <c r="A36" s="630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</row>
    <row r="37" spans="1:13" ht="11.25" x14ac:dyDescent="0.2">
      <c r="A37" s="630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</row>
    <row r="38" spans="1:13" ht="11.25" x14ac:dyDescent="0.2">
      <c r="A38" s="630"/>
      <c r="B38" s="630"/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</row>
    <row r="39" spans="1:13" ht="11.25" x14ac:dyDescent="0.2">
      <c r="A39" s="630"/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</row>
    <row r="40" spans="1:13" ht="11.25" x14ac:dyDescent="0.2">
      <c r="A40" s="630"/>
      <c r="B40" s="630"/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0"/>
    </row>
    <row r="41" spans="1:13" ht="11.25" x14ac:dyDescent="0.2">
      <c r="A41" s="630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</row>
    <row r="42" spans="1:13" ht="11.25" x14ac:dyDescent="0.2">
      <c r="A42" s="630"/>
      <c r="B42" s="630"/>
      <c r="C42" s="630"/>
      <c r="D42" s="630"/>
      <c r="E42" s="630"/>
      <c r="F42" s="630"/>
      <c r="G42" s="630"/>
      <c r="H42" s="630"/>
      <c r="I42" s="630"/>
      <c r="J42" s="630"/>
      <c r="K42" s="630"/>
      <c r="L42" s="630"/>
      <c r="M42" s="630"/>
    </row>
    <row r="43" spans="1:13" ht="11.25" x14ac:dyDescent="0.2">
      <c r="A43" s="630"/>
      <c r="B43" s="630"/>
      <c r="C43" s="630"/>
      <c r="D43" s="630"/>
      <c r="E43" s="630"/>
      <c r="F43" s="630"/>
      <c r="G43" s="630"/>
      <c r="H43" s="630"/>
      <c r="I43" s="630"/>
      <c r="J43" s="630"/>
      <c r="K43" s="630"/>
      <c r="L43" s="630"/>
      <c r="M43" s="630"/>
    </row>
    <row r="44" spans="1:13" ht="11.25" x14ac:dyDescent="0.2">
      <c r="A44" s="630"/>
      <c r="B44" s="630"/>
      <c r="C44" s="630"/>
      <c r="D44" s="630"/>
      <c r="E44" s="630"/>
      <c r="F44" s="630"/>
      <c r="G44" s="630"/>
      <c r="H44" s="630"/>
      <c r="I44" s="630"/>
      <c r="J44" s="630"/>
      <c r="K44" s="630"/>
      <c r="L44" s="630"/>
      <c r="M44" s="630"/>
    </row>
    <row r="45" spans="1:13" ht="11.25" x14ac:dyDescent="0.2">
      <c r="A45" s="630"/>
      <c r="B45" s="630"/>
      <c r="C45" s="630"/>
      <c r="D45" s="630"/>
      <c r="E45" s="630"/>
      <c r="F45" s="630"/>
      <c r="G45" s="630"/>
      <c r="H45" s="630"/>
      <c r="I45" s="630"/>
      <c r="J45" s="630"/>
      <c r="K45" s="630"/>
      <c r="L45" s="630"/>
      <c r="M45" s="630"/>
    </row>
    <row r="46" spans="1:13" ht="11.25" x14ac:dyDescent="0.2">
      <c r="A46" s="630"/>
      <c r="B46" s="630"/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</row>
    <row r="47" spans="1:13" ht="11.25" x14ac:dyDescent="0.2">
      <c r="A47" s="630"/>
      <c r="B47" s="630"/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</row>
    <row r="48" spans="1:13" ht="11.25" x14ac:dyDescent="0.2">
      <c r="A48" s="630"/>
      <c r="B48" s="630"/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</row>
    <row r="49" spans="1:13" ht="11.25" x14ac:dyDescent="0.2">
      <c r="A49" s="630"/>
      <c r="B49" s="630"/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</row>
    <row r="50" spans="1:13" ht="11.25" x14ac:dyDescent="0.2">
      <c r="A50" s="630"/>
      <c r="B50" s="630"/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0"/>
    </row>
    <row r="51" spans="1:13" ht="11.25" x14ac:dyDescent="0.2">
      <c r="A51" s="630"/>
      <c r="B51" s="630"/>
      <c r="C51" s="630"/>
      <c r="D51" s="630"/>
      <c r="E51" s="630"/>
      <c r="F51" s="630"/>
      <c r="G51" s="630"/>
      <c r="H51" s="630"/>
      <c r="I51" s="630"/>
      <c r="J51" s="630"/>
      <c r="K51" s="630"/>
      <c r="L51" s="630"/>
      <c r="M51" s="630"/>
    </row>
    <row r="52" spans="1:13" ht="11.25" x14ac:dyDescent="0.2">
      <c r="A52" s="630"/>
      <c r="B52" s="630"/>
      <c r="C52" s="630"/>
      <c r="D52" s="630"/>
      <c r="E52" s="630"/>
      <c r="F52" s="630"/>
      <c r="G52" s="630"/>
      <c r="H52" s="630"/>
      <c r="I52" s="630"/>
      <c r="J52" s="630"/>
      <c r="K52" s="630"/>
      <c r="L52" s="630"/>
      <c r="M52" s="630"/>
    </row>
    <row r="53" spans="1:13" ht="11.25" x14ac:dyDescent="0.2">
      <c r="A53" s="630"/>
      <c r="B53" s="630"/>
      <c r="C53" s="630"/>
      <c r="D53" s="630"/>
      <c r="E53" s="630"/>
      <c r="F53" s="630"/>
      <c r="G53" s="630"/>
      <c r="H53" s="630"/>
      <c r="I53" s="630"/>
      <c r="J53" s="630"/>
      <c r="K53" s="630"/>
      <c r="L53" s="630"/>
      <c r="M53" s="630"/>
    </row>
    <row r="54" spans="1:13" ht="11.25" x14ac:dyDescent="0.2">
      <c r="A54" s="630"/>
      <c r="B54" s="630"/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30"/>
    </row>
    <row r="55" spans="1:13" ht="11.25" x14ac:dyDescent="0.2">
      <c r="A55" s="630"/>
      <c r="B55" s="630"/>
      <c r="C55" s="630"/>
      <c r="D55" s="630"/>
      <c r="E55" s="630"/>
      <c r="F55" s="630"/>
      <c r="G55" s="630"/>
      <c r="H55" s="630"/>
      <c r="I55" s="630"/>
      <c r="J55" s="630"/>
      <c r="K55" s="630"/>
      <c r="L55" s="630"/>
      <c r="M55" s="630"/>
    </row>
    <row r="56" spans="1:13" ht="11.25" x14ac:dyDescent="0.2">
      <c r="A56" s="630"/>
      <c r="B56" s="630"/>
      <c r="C56" s="630"/>
      <c r="D56" s="630"/>
      <c r="E56" s="630"/>
      <c r="F56" s="630"/>
      <c r="G56" s="630"/>
      <c r="H56" s="630"/>
      <c r="I56" s="630"/>
      <c r="J56" s="630"/>
      <c r="K56" s="630"/>
      <c r="L56" s="630"/>
      <c r="M56" s="630"/>
    </row>
    <row r="57" spans="1:13" ht="11.25" x14ac:dyDescent="0.2">
      <c r="A57" s="630"/>
      <c r="B57" s="630"/>
      <c r="C57" s="630"/>
      <c r="D57" s="630"/>
      <c r="E57" s="630"/>
      <c r="F57" s="630"/>
      <c r="G57" s="630"/>
      <c r="H57" s="630"/>
      <c r="I57" s="630"/>
      <c r="J57" s="630"/>
      <c r="K57" s="630"/>
      <c r="L57" s="630"/>
      <c r="M57" s="630"/>
    </row>
    <row r="58" spans="1:13" ht="11.25" x14ac:dyDescent="0.2">
      <c r="A58" s="630"/>
      <c r="B58" s="630"/>
      <c r="C58" s="630"/>
      <c r="D58" s="630"/>
      <c r="E58" s="630"/>
      <c r="F58" s="630"/>
      <c r="G58" s="630"/>
      <c r="H58" s="630"/>
      <c r="I58" s="630"/>
      <c r="J58" s="630"/>
      <c r="K58" s="630"/>
      <c r="L58" s="630"/>
      <c r="M58" s="630"/>
    </row>
    <row r="59" spans="1:13" ht="11.25" x14ac:dyDescent="0.2">
      <c r="A59" s="630"/>
      <c r="B59" s="630"/>
      <c r="C59" s="630"/>
      <c r="D59" s="630"/>
      <c r="E59" s="630"/>
      <c r="F59" s="630"/>
      <c r="G59" s="630"/>
      <c r="H59" s="630"/>
      <c r="I59" s="630"/>
      <c r="J59" s="630"/>
      <c r="K59" s="630"/>
      <c r="L59" s="630"/>
      <c r="M59" s="630"/>
    </row>
    <row r="60" spans="1:13" ht="11.25" x14ac:dyDescent="0.2">
      <c r="A60" s="630"/>
      <c r="B60" s="630"/>
      <c r="C60" s="630"/>
      <c r="D60" s="630"/>
      <c r="E60" s="630"/>
      <c r="F60" s="630"/>
      <c r="G60" s="630"/>
      <c r="H60" s="630"/>
      <c r="I60" s="630"/>
      <c r="J60" s="630"/>
      <c r="K60" s="630"/>
      <c r="L60" s="630"/>
      <c r="M60" s="630"/>
    </row>
    <row r="61" spans="1:13" ht="11.25" x14ac:dyDescent="0.2">
      <c r="A61" s="630"/>
      <c r="B61" s="630"/>
      <c r="C61" s="630"/>
      <c r="D61" s="630"/>
      <c r="E61" s="630"/>
      <c r="F61" s="630"/>
      <c r="G61" s="630"/>
      <c r="H61" s="630"/>
      <c r="I61" s="630"/>
      <c r="J61" s="630"/>
      <c r="K61" s="630"/>
      <c r="L61" s="630"/>
      <c r="M61" s="630"/>
    </row>
    <row r="62" spans="1:13" ht="11.25" x14ac:dyDescent="0.2">
      <c r="A62" s="630"/>
      <c r="B62" s="630"/>
      <c r="C62" s="630"/>
      <c r="D62" s="630"/>
      <c r="E62" s="630"/>
      <c r="F62" s="630"/>
      <c r="G62" s="630"/>
      <c r="H62" s="630"/>
      <c r="I62" s="630"/>
      <c r="J62" s="630"/>
      <c r="K62" s="630"/>
      <c r="L62" s="630"/>
      <c r="M62" s="630"/>
    </row>
    <row r="63" spans="1:13" ht="11.25" x14ac:dyDescent="0.2">
      <c r="A63" s="630"/>
      <c r="B63" s="630"/>
      <c r="C63" s="630"/>
      <c r="D63" s="630"/>
      <c r="E63" s="630"/>
      <c r="F63" s="630"/>
      <c r="G63" s="630"/>
      <c r="H63" s="630"/>
      <c r="I63" s="630"/>
      <c r="J63" s="630"/>
      <c r="K63" s="630"/>
      <c r="L63" s="630"/>
      <c r="M63" s="630"/>
    </row>
    <row r="64" spans="1:13" ht="11.25" x14ac:dyDescent="0.2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</row>
    <row r="65" spans="1:13" ht="11.25" x14ac:dyDescent="0.2">
      <c r="A65" s="630"/>
      <c r="B65" s="630"/>
      <c r="C65" s="630"/>
      <c r="D65" s="630"/>
      <c r="E65" s="630"/>
      <c r="F65" s="630"/>
      <c r="G65" s="630"/>
      <c r="H65" s="630"/>
      <c r="I65" s="630"/>
      <c r="J65" s="630"/>
      <c r="K65" s="630"/>
      <c r="L65" s="630"/>
      <c r="M65" s="630"/>
    </row>
    <row r="66" spans="1:13" ht="11.25" x14ac:dyDescent="0.2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</row>
    <row r="67" spans="1:13" ht="11.25" x14ac:dyDescent="0.2">
      <c r="A67" s="630"/>
      <c r="B67" s="630"/>
      <c r="C67" s="630"/>
      <c r="D67" s="630"/>
      <c r="E67" s="630"/>
      <c r="F67" s="630"/>
      <c r="G67" s="630"/>
      <c r="H67" s="630"/>
      <c r="I67" s="630"/>
      <c r="J67" s="630"/>
      <c r="K67" s="630"/>
      <c r="L67" s="630"/>
      <c r="M67" s="630"/>
    </row>
    <row r="68" spans="1:13" ht="11.25" x14ac:dyDescent="0.2">
      <c r="A68" s="630"/>
      <c r="B68" s="630"/>
      <c r="C68" s="630"/>
      <c r="D68" s="630"/>
      <c r="E68" s="630"/>
      <c r="F68" s="630"/>
      <c r="G68" s="630"/>
      <c r="H68" s="630"/>
      <c r="I68" s="630"/>
      <c r="J68" s="630"/>
      <c r="K68" s="630"/>
      <c r="L68" s="630"/>
      <c r="M68" s="630"/>
    </row>
    <row r="69" spans="1:13" ht="11.25" x14ac:dyDescent="0.2">
      <c r="A69" s="630"/>
      <c r="B69" s="630"/>
      <c r="C69" s="630"/>
      <c r="D69" s="630"/>
      <c r="E69" s="630"/>
      <c r="F69" s="630"/>
      <c r="G69" s="630"/>
      <c r="H69" s="630"/>
      <c r="I69" s="630"/>
      <c r="J69" s="630"/>
      <c r="K69" s="630"/>
      <c r="L69" s="630"/>
      <c r="M69" s="630"/>
    </row>
    <row r="70" spans="1:13" ht="11.25" x14ac:dyDescent="0.2">
      <c r="A70" s="630"/>
      <c r="B70" s="630"/>
      <c r="C70" s="630"/>
      <c r="D70" s="630"/>
      <c r="E70" s="630"/>
      <c r="F70" s="630"/>
      <c r="G70" s="630"/>
      <c r="H70" s="630"/>
      <c r="I70" s="630"/>
      <c r="J70" s="630"/>
      <c r="K70" s="630"/>
      <c r="L70" s="630"/>
      <c r="M70" s="630"/>
    </row>
    <row r="71" spans="1:13" ht="11.25" x14ac:dyDescent="0.2">
      <c r="A71" s="630"/>
      <c r="B71" s="630"/>
      <c r="C71" s="630"/>
      <c r="D71" s="630"/>
      <c r="E71" s="630"/>
      <c r="F71" s="630"/>
      <c r="G71" s="630"/>
      <c r="H71" s="630"/>
      <c r="I71" s="630"/>
      <c r="J71" s="630"/>
      <c r="K71" s="630"/>
      <c r="L71" s="630"/>
      <c r="M71" s="630"/>
    </row>
    <row r="72" spans="1:13" ht="11.25" x14ac:dyDescent="0.2">
      <c r="A72" s="630"/>
      <c r="B72" s="630"/>
      <c r="C72" s="630"/>
      <c r="D72" s="630"/>
      <c r="E72" s="630"/>
      <c r="F72" s="630"/>
      <c r="G72" s="630"/>
      <c r="H72" s="630"/>
      <c r="I72" s="630"/>
      <c r="J72" s="630"/>
      <c r="K72" s="630"/>
      <c r="L72" s="630"/>
      <c r="M72" s="630"/>
    </row>
    <row r="73" spans="1:13" ht="11.25" x14ac:dyDescent="0.2">
      <c r="A73" s="630"/>
      <c r="B73" s="630"/>
      <c r="C73" s="630"/>
      <c r="D73" s="630"/>
      <c r="E73" s="630"/>
      <c r="F73" s="630"/>
      <c r="G73" s="630"/>
      <c r="H73" s="630"/>
      <c r="I73" s="630"/>
      <c r="J73" s="630"/>
      <c r="K73" s="630"/>
      <c r="L73" s="630"/>
      <c r="M73" s="630"/>
    </row>
    <row r="74" spans="1:13" ht="11.25" x14ac:dyDescent="0.2">
      <c r="A74" s="630"/>
      <c r="B74" s="630"/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</row>
    <row r="75" spans="1:13" ht="11.25" x14ac:dyDescent="0.2">
      <c r="A75" s="630"/>
      <c r="B75" s="630"/>
      <c r="C75" s="630"/>
      <c r="D75" s="630"/>
      <c r="E75" s="630"/>
      <c r="F75" s="630"/>
      <c r="G75" s="630"/>
      <c r="H75" s="630"/>
      <c r="I75" s="630"/>
      <c r="J75" s="630"/>
      <c r="K75" s="630"/>
      <c r="L75" s="630"/>
      <c r="M75" s="630"/>
    </row>
    <row r="76" spans="1:13" ht="11.25" x14ac:dyDescent="0.2">
      <c r="A76" s="630"/>
      <c r="B76" s="630"/>
      <c r="C76" s="630"/>
      <c r="D76" s="630"/>
      <c r="E76" s="630"/>
      <c r="F76" s="630"/>
      <c r="G76" s="630"/>
      <c r="H76" s="630"/>
      <c r="I76" s="630"/>
      <c r="J76" s="630"/>
      <c r="K76" s="630"/>
      <c r="L76" s="630"/>
      <c r="M76" s="630"/>
    </row>
    <row r="77" spans="1:13" ht="11.25" x14ac:dyDescent="0.2">
      <c r="A77" s="630"/>
      <c r="B77" s="630"/>
      <c r="C77" s="630"/>
      <c r="D77" s="630"/>
      <c r="E77" s="630"/>
      <c r="F77" s="630"/>
      <c r="G77" s="630"/>
      <c r="H77" s="630"/>
      <c r="I77" s="630"/>
      <c r="J77" s="630"/>
      <c r="K77" s="630"/>
      <c r="L77" s="630"/>
      <c r="M77" s="630"/>
    </row>
    <row r="78" spans="1:13" ht="11.25" x14ac:dyDescent="0.2">
      <c r="A78" s="630"/>
      <c r="B78" s="630"/>
      <c r="C78" s="630"/>
      <c r="D78" s="630"/>
      <c r="E78" s="630"/>
      <c r="F78" s="630"/>
      <c r="G78" s="630"/>
      <c r="H78" s="630"/>
      <c r="I78" s="630"/>
      <c r="J78" s="630"/>
      <c r="K78" s="630"/>
      <c r="L78" s="630"/>
      <c r="M78" s="630"/>
    </row>
    <row r="79" spans="1:13" ht="11.25" x14ac:dyDescent="0.2">
      <c r="A79" s="630"/>
      <c r="B79" s="630"/>
      <c r="C79" s="630"/>
      <c r="D79" s="630"/>
      <c r="E79" s="630"/>
      <c r="F79" s="630"/>
      <c r="G79" s="630"/>
      <c r="H79" s="630"/>
      <c r="I79" s="630"/>
      <c r="J79" s="630"/>
      <c r="K79" s="630"/>
      <c r="L79" s="630"/>
      <c r="M79" s="630"/>
    </row>
    <row r="80" spans="1:13" ht="11.25" x14ac:dyDescent="0.2">
      <c r="A80" s="630"/>
      <c r="B80" s="630"/>
      <c r="C80" s="630"/>
      <c r="D80" s="630"/>
      <c r="E80" s="630"/>
      <c r="F80" s="630"/>
      <c r="G80" s="630"/>
      <c r="H80" s="630"/>
      <c r="I80" s="630"/>
      <c r="J80" s="630"/>
      <c r="K80" s="630"/>
      <c r="L80" s="630"/>
      <c r="M80" s="630"/>
    </row>
    <row r="81" spans="1:13" ht="11.25" x14ac:dyDescent="0.2">
      <c r="A81" s="630"/>
      <c r="B81" s="630"/>
      <c r="C81" s="630"/>
      <c r="D81" s="630"/>
      <c r="E81" s="630"/>
      <c r="F81" s="630"/>
      <c r="G81" s="630"/>
      <c r="H81" s="630"/>
      <c r="I81" s="630"/>
      <c r="J81" s="630"/>
      <c r="K81" s="630"/>
      <c r="L81" s="630"/>
      <c r="M81" s="630"/>
    </row>
    <row r="82" spans="1:13" ht="11.25" x14ac:dyDescent="0.2">
      <c r="A82" s="630"/>
      <c r="B82" s="630"/>
      <c r="C82" s="630"/>
      <c r="D82" s="630"/>
      <c r="E82" s="630"/>
      <c r="F82" s="630"/>
      <c r="G82" s="630"/>
      <c r="H82" s="630"/>
      <c r="I82" s="630"/>
      <c r="J82" s="630"/>
      <c r="K82" s="630"/>
      <c r="L82" s="630"/>
      <c r="M82" s="630"/>
    </row>
    <row r="83" spans="1:13" ht="11.25" x14ac:dyDescent="0.2">
      <c r="A83" s="630"/>
      <c r="B83" s="630"/>
      <c r="C83" s="630"/>
      <c r="D83" s="630"/>
      <c r="E83" s="630"/>
      <c r="F83" s="630"/>
      <c r="G83" s="630"/>
      <c r="H83" s="630"/>
      <c r="I83" s="630"/>
      <c r="J83" s="630"/>
      <c r="K83" s="630"/>
      <c r="L83" s="630"/>
      <c r="M83" s="630"/>
    </row>
    <row r="84" spans="1:13" ht="11.25" x14ac:dyDescent="0.2">
      <c r="A84" s="630"/>
      <c r="B84" s="630"/>
      <c r="C84" s="630"/>
      <c r="D84" s="630"/>
      <c r="E84" s="630"/>
      <c r="F84" s="630"/>
      <c r="G84" s="630"/>
      <c r="H84" s="630"/>
      <c r="I84" s="630"/>
      <c r="J84" s="630"/>
      <c r="K84" s="630"/>
      <c r="L84" s="630"/>
      <c r="M84" s="630"/>
    </row>
    <row r="85" spans="1:13" ht="11.25" x14ac:dyDescent="0.2">
      <c r="A85" s="630"/>
      <c r="B85" s="630"/>
      <c r="C85" s="630"/>
      <c r="D85" s="630"/>
      <c r="E85" s="630"/>
      <c r="F85" s="630"/>
      <c r="G85" s="630"/>
      <c r="H85" s="630"/>
      <c r="I85" s="630"/>
      <c r="J85" s="630"/>
      <c r="K85" s="630"/>
      <c r="L85" s="630"/>
      <c r="M85" s="630"/>
    </row>
    <row r="86" spans="1:13" ht="11.25" x14ac:dyDescent="0.2">
      <c r="A86" s="630"/>
      <c r="B86" s="630"/>
      <c r="C86" s="630"/>
      <c r="D86" s="630"/>
      <c r="E86" s="630"/>
      <c r="F86" s="630"/>
      <c r="G86" s="630"/>
      <c r="H86" s="630"/>
      <c r="I86" s="630"/>
      <c r="J86" s="630"/>
      <c r="K86" s="630"/>
      <c r="L86" s="630"/>
      <c r="M86" s="630"/>
    </row>
    <row r="87" spans="1:13" ht="11.25" x14ac:dyDescent="0.2">
      <c r="A87" s="630"/>
      <c r="B87" s="630"/>
      <c r="C87" s="630"/>
      <c r="D87" s="630"/>
      <c r="E87" s="630"/>
      <c r="F87" s="630"/>
      <c r="G87" s="630"/>
      <c r="H87" s="630"/>
      <c r="I87" s="630"/>
      <c r="J87" s="630"/>
      <c r="K87" s="630"/>
      <c r="L87" s="630"/>
      <c r="M87" s="630"/>
    </row>
    <row r="88" spans="1:13" ht="11.25" x14ac:dyDescent="0.2">
      <c r="A88" s="630"/>
      <c r="B88" s="630"/>
      <c r="C88" s="630"/>
      <c r="D88" s="630"/>
      <c r="E88" s="630"/>
      <c r="F88" s="630"/>
      <c r="G88" s="630"/>
      <c r="H88" s="630"/>
      <c r="I88" s="630"/>
      <c r="J88" s="630"/>
      <c r="K88" s="630"/>
      <c r="L88" s="630"/>
      <c r="M88" s="630"/>
    </row>
    <row r="89" spans="1:13" ht="11.25" x14ac:dyDescent="0.2">
      <c r="A89" s="630"/>
      <c r="B89" s="630"/>
      <c r="C89" s="630"/>
      <c r="D89" s="630"/>
      <c r="E89" s="630"/>
      <c r="F89" s="630"/>
      <c r="G89" s="630"/>
      <c r="H89" s="630"/>
      <c r="I89" s="630"/>
      <c r="J89" s="630"/>
      <c r="K89" s="630"/>
      <c r="L89" s="630"/>
      <c r="M89" s="630"/>
    </row>
    <row r="90" spans="1:13" ht="11.25" x14ac:dyDescent="0.2">
      <c r="A90" s="630"/>
      <c r="B90" s="630"/>
      <c r="C90" s="630"/>
      <c r="D90" s="630"/>
      <c r="E90" s="630"/>
      <c r="F90" s="630"/>
      <c r="G90" s="630"/>
      <c r="H90" s="630"/>
      <c r="I90" s="630"/>
      <c r="J90" s="630"/>
      <c r="K90" s="630"/>
      <c r="L90" s="630"/>
      <c r="M90" s="630"/>
    </row>
    <row r="91" spans="1:13" ht="11.25" x14ac:dyDescent="0.2">
      <c r="A91" s="630"/>
      <c r="B91" s="630"/>
      <c r="C91" s="630"/>
      <c r="D91" s="630"/>
      <c r="E91" s="630"/>
      <c r="F91" s="630"/>
      <c r="G91" s="630"/>
      <c r="H91" s="630"/>
      <c r="I91" s="630"/>
      <c r="J91" s="630"/>
      <c r="K91" s="630"/>
      <c r="L91" s="630"/>
      <c r="M91" s="630"/>
    </row>
    <row r="92" spans="1:13" ht="11.25" x14ac:dyDescent="0.2">
      <c r="A92" s="630"/>
      <c r="B92" s="630"/>
      <c r="C92" s="630"/>
      <c r="D92" s="630"/>
      <c r="E92" s="630"/>
      <c r="F92" s="630"/>
      <c r="G92" s="630"/>
      <c r="H92" s="630"/>
      <c r="I92" s="630"/>
      <c r="J92" s="630"/>
      <c r="K92" s="630"/>
      <c r="L92" s="630"/>
      <c r="M92" s="630"/>
    </row>
    <row r="93" spans="1:13" ht="11.25" x14ac:dyDescent="0.2">
      <c r="A93" s="630"/>
      <c r="B93" s="630"/>
      <c r="C93" s="630"/>
      <c r="D93" s="630"/>
      <c r="E93" s="630"/>
      <c r="F93" s="630"/>
      <c r="G93" s="630"/>
      <c r="H93" s="630"/>
      <c r="I93" s="630"/>
      <c r="J93" s="630"/>
      <c r="K93" s="630"/>
      <c r="L93" s="630"/>
      <c r="M93" s="630"/>
    </row>
    <row r="94" spans="1:13" ht="11.25" x14ac:dyDescent="0.2">
      <c r="A94" s="630"/>
      <c r="B94" s="630"/>
      <c r="C94" s="630"/>
      <c r="D94" s="630"/>
      <c r="E94" s="630"/>
      <c r="F94" s="630"/>
      <c r="G94" s="630"/>
      <c r="H94" s="630"/>
      <c r="I94" s="630"/>
      <c r="J94" s="630"/>
      <c r="K94" s="630"/>
      <c r="L94" s="630"/>
      <c r="M94" s="630"/>
    </row>
    <row r="95" spans="1:13" ht="11.25" x14ac:dyDescent="0.2">
      <c r="A95" s="630"/>
      <c r="B95" s="630"/>
      <c r="C95" s="630"/>
      <c r="D95" s="630"/>
      <c r="E95" s="630"/>
      <c r="F95" s="630"/>
      <c r="G95" s="630"/>
      <c r="H95" s="630"/>
      <c r="I95" s="630"/>
      <c r="J95" s="630"/>
      <c r="K95" s="630"/>
      <c r="L95" s="630"/>
      <c r="M95" s="630"/>
    </row>
    <row r="96" spans="1:13" ht="11.25" x14ac:dyDescent="0.2">
      <c r="A96" s="630"/>
      <c r="B96" s="630"/>
      <c r="C96" s="630"/>
      <c r="D96" s="630"/>
      <c r="E96" s="630"/>
      <c r="F96" s="630"/>
      <c r="G96" s="630"/>
      <c r="H96" s="630"/>
      <c r="I96" s="630"/>
      <c r="J96" s="630"/>
      <c r="K96" s="630"/>
      <c r="L96" s="630"/>
      <c r="M96" s="630"/>
    </row>
    <row r="97" spans="1:13" ht="11.25" x14ac:dyDescent="0.2">
      <c r="A97" s="630"/>
      <c r="B97" s="630"/>
      <c r="C97" s="630"/>
      <c r="D97" s="630"/>
      <c r="E97" s="630"/>
      <c r="F97" s="630"/>
      <c r="G97" s="630"/>
      <c r="H97" s="630"/>
      <c r="I97" s="630"/>
      <c r="J97" s="630"/>
      <c r="K97" s="630"/>
      <c r="L97" s="630"/>
      <c r="M97" s="630"/>
    </row>
    <row r="98" spans="1:13" ht="11.25" x14ac:dyDescent="0.2">
      <c r="A98" s="630"/>
      <c r="B98" s="630"/>
      <c r="C98" s="630"/>
      <c r="D98" s="630"/>
      <c r="E98" s="630"/>
      <c r="F98" s="630"/>
      <c r="G98" s="630"/>
      <c r="H98" s="630"/>
      <c r="I98" s="630"/>
      <c r="J98" s="630"/>
      <c r="K98" s="630"/>
      <c r="L98" s="630"/>
      <c r="M98" s="630"/>
    </row>
    <row r="99" spans="1:13" ht="11.25" x14ac:dyDescent="0.2">
      <c r="A99" s="630"/>
      <c r="B99" s="630"/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</row>
    <row r="100" spans="1:13" ht="11.25" x14ac:dyDescent="0.2">
      <c r="A100" s="630"/>
      <c r="B100" s="630"/>
      <c r="C100" s="630"/>
      <c r="D100" s="630"/>
      <c r="E100" s="630"/>
      <c r="F100" s="630"/>
      <c r="G100" s="630"/>
      <c r="H100" s="630"/>
      <c r="I100" s="630"/>
      <c r="J100" s="630"/>
      <c r="K100" s="630"/>
      <c r="L100" s="630"/>
      <c r="M100" s="630"/>
    </row>
    <row r="101" spans="1:13" ht="11.25" x14ac:dyDescent="0.2">
      <c r="A101" s="630"/>
      <c r="B101" s="630"/>
      <c r="C101" s="630"/>
      <c r="D101" s="630"/>
      <c r="E101" s="630"/>
      <c r="F101" s="630"/>
      <c r="G101" s="630"/>
      <c r="H101" s="630"/>
      <c r="I101" s="630"/>
      <c r="J101" s="630"/>
      <c r="K101" s="630"/>
      <c r="L101" s="630"/>
      <c r="M101" s="630"/>
    </row>
    <row r="102" spans="1:13" ht="11.25" x14ac:dyDescent="0.2">
      <c r="A102" s="630"/>
      <c r="B102" s="630"/>
      <c r="C102" s="630"/>
      <c r="D102" s="630"/>
      <c r="E102" s="630"/>
      <c r="F102" s="630"/>
      <c r="G102" s="630"/>
      <c r="H102" s="630"/>
      <c r="I102" s="630"/>
      <c r="J102" s="630"/>
      <c r="K102" s="630"/>
      <c r="L102" s="630"/>
      <c r="M102" s="630"/>
    </row>
    <row r="103" spans="1:13" ht="11.25" x14ac:dyDescent="0.2">
      <c r="A103" s="630"/>
      <c r="B103" s="630"/>
      <c r="C103" s="630"/>
      <c r="D103" s="630"/>
      <c r="E103" s="630"/>
      <c r="F103" s="630"/>
      <c r="G103" s="630"/>
      <c r="H103" s="630"/>
      <c r="I103" s="630"/>
      <c r="J103" s="630"/>
      <c r="K103" s="630"/>
      <c r="L103" s="630"/>
      <c r="M103" s="630"/>
    </row>
    <row r="104" spans="1:13" ht="11.25" x14ac:dyDescent="0.2">
      <c r="A104" s="630"/>
      <c r="B104" s="630"/>
      <c r="C104" s="630"/>
      <c r="D104" s="630"/>
      <c r="E104" s="630"/>
      <c r="F104" s="630"/>
      <c r="G104" s="630"/>
      <c r="H104" s="630"/>
      <c r="I104" s="630"/>
      <c r="J104" s="630"/>
      <c r="K104" s="630"/>
      <c r="L104" s="630"/>
      <c r="M104" s="630"/>
    </row>
    <row r="105" spans="1:13" ht="11.25" x14ac:dyDescent="0.2">
      <c r="A105" s="630"/>
      <c r="B105" s="630"/>
      <c r="C105" s="630"/>
      <c r="D105" s="630"/>
      <c r="E105" s="630"/>
      <c r="F105" s="630"/>
      <c r="G105" s="630"/>
      <c r="H105" s="630"/>
      <c r="I105" s="630"/>
      <c r="J105" s="630"/>
      <c r="K105" s="630"/>
      <c r="L105" s="630"/>
      <c r="M105" s="630"/>
    </row>
    <row r="106" spans="1:13" ht="11.25" x14ac:dyDescent="0.2">
      <c r="A106" s="630"/>
      <c r="B106" s="630"/>
      <c r="C106" s="630"/>
      <c r="D106" s="630"/>
      <c r="E106" s="630"/>
      <c r="F106" s="630"/>
      <c r="G106" s="630"/>
      <c r="H106" s="630"/>
      <c r="I106" s="630"/>
      <c r="J106" s="630"/>
      <c r="K106" s="630"/>
      <c r="L106" s="630"/>
      <c r="M106" s="630"/>
    </row>
    <row r="107" spans="1:13" ht="11.25" x14ac:dyDescent="0.2">
      <c r="A107" s="630"/>
      <c r="B107" s="630"/>
      <c r="C107" s="630"/>
      <c r="D107" s="630"/>
      <c r="E107" s="630"/>
      <c r="F107" s="630"/>
      <c r="G107" s="630"/>
      <c r="H107" s="630"/>
      <c r="I107" s="630"/>
      <c r="J107" s="630"/>
      <c r="K107" s="630"/>
      <c r="L107" s="630"/>
      <c r="M107" s="630"/>
    </row>
    <row r="108" spans="1:13" ht="11.25" x14ac:dyDescent="0.2">
      <c r="A108" s="630"/>
      <c r="B108" s="630"/>
      <c r="C108" s="630"/>
      <c r="D108" s="630"/>
      <c r="E108" s="630"/>
      <c r="F108" s="630"/>
      <c r="G108" s="630"/>
      <c r="H108" s="630"/>
      <c r="I108" s="630"/>
      <c r="J108" s="630"/>
      <c r="K108" s="630"/>
      <c r="L108" s="630"/>
      <c r="M108" s="630"/>
    </row>
    <row r="109" spans="1:13" ht="11.25" x14ac:dyDescent="0.2">
      <c r="A109" s="630"/>
      <c r="B109" s="630"/>
      <c r="C109" s="630"/>
      <c r="D109" s="630"/>
      <c r="E109" s="630"/>
      <c r="F109" s="630"/>
      <c r="G109" s="630"/>
      <c r="H109" s="630"/>
      <c r="I109" s="630"/>
      <c r="J109" s="630"/>
      <c r="K109" s="630"/>
      <c r="L109" s="630"/>
      <c r="M109" s="630"/>
    </row>
    <row r="110" spans="1:13" ht="11.25" x14ac:dyDescent="0.2">
      <c r="A110" s="630"/>
      <c r="B110" s="630"/>
      <c r="C110" s="630"/>
      <c r="D110" s="630"/>
      <c r="E110" s="630"/>
      <c r="F110" s="630"/>
      <c r="G110" s="630"/>
      <c r="H110" s="630"/>
      <c r="I110" s="630"/>
      <c r="J110" s="630"/>
      <c r="K110" s="630"/>
      <c r="L110" s="630"/>
      <c r="M110" s="630"/>
    </row>
    <row r="111" spans="1:13" ht="11.25" x14ac:dyDescent="0.2">
      <c r="A111" s="630"/>
      <c r="B111" s="630"/>
      <c r="C111" s="630"/>
      <c r="D111" s="630"/>
      <c r="E111" s="630"/>
      <c r="F111" s="630"/>
      <c r="G111" s="630"/>
      <c r="H111" s="630"/>
      <c r="I111" s="630"/>
      <c r="J111" s="630"/>
      <c r="K111" s="630"/>
      <c r="L111" s="630"/>
      <c r="M111" s="630"/>
    </row>
    <row r="112" spans="1:13" ht="11.25" x14ac:dyDescent="0.2">
      <c r="A112" s="630"/>
      <c r="B112" s="630"/>
      <c r="C112" s="630"/>
      <c r="D112" s="630"/>
      <c r="E112" s="630"/>
      <c r="F112" s="630"/>
      <c r="G112" s="630"/>
      <c r="H112" s="630"/>
      <c r="I112" s="630"/>
      <c r="J112" s="630"/>
      <c r="K112" s="630"/>
      <c r="L112" s="630"/>
      <c r="M112" s="630"/>
    </row>
    <row r="113" spans="1:13" ht="11.25" x14ac:dyDescent="0.2">
      <c r="A113" s="630"/>
      <c r="B113" s="630"/>
      <c r="C113" s="630"/>
      <c r="D113" s="630"/>
      <c r="E113" s="630"/>
      <c r="F113" s="630"/>
      <c r="G113" s="630"/>
      <c r="H113" s="630"/>
      <c r="I113" s="630"/>
      <c r="J113" s="630"/>
      <c r="K113" s="630"/>
      <c r="L113" s="630"/>
      <c r="M113" s="630"/>
    </row>
    <row r="114" spans="1:13" ht="11.25" x14ac:dyDescent="0.2">
      <c r="A114" s="630"/>
      <c r="B114" s="630"/>
      <c r="C114" s="630"/>
      <c r="D114" s="630"/>
      <c r="E114" s="630"/>
      <c r="F114" s="630"/>
      <c r="G114" s="630"/>
      <c r="H114" s="630"/>
      <c r="I114" s="630"/>
      <c r="J114" s="630"/>
      <c r="K114" s="630"/>
      <c r="L114" s="630"/>
      <c r="M114" s="630"/>
    </row>
    <row r="115" spans="1:13" ht="11.25" x14ac:dyDescent="0.2">
      <c r="A115" s="630"/>
      <c r="B115" s="630"/>
      <c r="C115" s="630"/>
      <c r="D115" s="630"/>
      <c r="E115" s="630"/>
      <c r="F115" s="630"/>
      <c r="G115" s="630"/>
      <c r="H115" s="630"/>
      <c r="I115" s="630"/>
      <c r="J115" s="630"/>
      <c r="K115" s="630"/>
      <c r="L115" s="630"/>
      <c r="M115" s="630"/>
    </row>
    <row r="116" spans="1:13" ht="11.25" x14ac:dyDescent="0.2">
      <c r="A116" s="630"/>
      <c r="B116" s="630"/>
      <c r="C116" s="630"/>
      <c r="D116" s="630"/>
      <c r="E116" s="630"/>
      <c r="F116" s="630"/>
      <c r="G116" s="630"/>
      <c r="H116" s="630"/>
      <c r="I116" s="630"/>
      <c r="J116" s="630"/>
      <c r="K116" s="630"/>
      <c r="L116" s="630"/>
      <c r="M116" s="630"/>
    </row>
    <row r="117" spans="1:13" ht="11.25" x14ac:dyDescent="0.2">
      <c r="A117" s="630"/>
      <c r="B117" s="630"/>
      <c r="C117" s="630"/>
      <c r="D117" s="630"/>
      <c r="E117" s="630"/>
      <c r="F117" s="630"/>
      <c r="G117" s="630"/>
      <c r="H117" s="630"/>
      <c r="I117" s="630"/>
      <c r="J117" s="630"/>
      <c r="K117" s="630"/>
      <c r="L117" s="630"/>
      <c r="M117" s="630"/>
    </row>
    <row r="118" spans="1:13" ht="11.25" x14ac:dyDescent="0.2">
      <c r="A118" s="630"/>
      <c r="B118" s="630"/>
      <c r="C118" s="630"/>
      <c r="D118" s="630"/>
      <c r="E118" s="630"/>
      <c r="F118" s="630"/>
      <c r="G118" s="630"/>
      <c r="H118" s="630"/>
      <c r="I118" s="630"/>
      <c r="J118" s="630"/>
      <c r="K118" s="630"/>
      <c r="L118" s="630"/>
      <c r="M118" s="630"/>
    </row>
    <row r="119" spans="1:13" ht="11.25" x14ac:dyDescent="0.2">
      <c r="A119" s="630"/>
      <c r="B119" s="630"/>
      <c r="C119" s="630"/>
      <c r="D119" s="630"/>
      <c r="E119" s="630"/>
      <c r="F119" s="630"/>
      <c r="G119" s="630"/>
      <c r="H119" s="630"/>
      <c r="I119" s="630"/>
      <c r="J119" s="630"/>
      <c r="K119" s="630"/>
      <c r="L119" s="630"/>
      <c r="M119" s="630"/>
    </row>
    <row r="120" spans="1:13" ht="11.25" x14ac:dyDescent="0.2">
      <c r="A120" s="630"/>
      <c r="B120" s="630"/>
      <c r="C120" s="630"/>
      <c r="D120" s="630"/>
      <c r="E120" s="630"/>
      <c r="F120" s="630"/>
      <c r="G120" s="630"/>
      <c r="H120" s="630"/>
      <c r="I120" s="630"/>
      <c r="J120" s="630"/>
      <c r="K120" s="630"/>
      <c r="L120" s="630"/>
      <c r="M120" s="630"/>
    </row>
    <row r="121" spans="1:13" ht="11.25" x14ac:dyDescent="0.2">
      <c r="A121" s="630"/>
      <c r="B121" s="630"/>
      <c r="C121" s="630"/>
      <c r="D121" s="630"/>
      <c r="E121" s="630"/>
      <c r="F121" s="630"/>
      <c r="G121" s="630"/>
      <c r="H121" s="630"/>
      <c r="I121" s="630"/>
      <c r="J121" s="630"/>
      <c r="K121" s="630"/>
      <c r="L121" s="630"/>
      <c r="M121" s="630"/>
    </row>
    <row r="122" spans="1:13" ht="11.25" x14ac:dyDescent="0.2">
      <c r="A122" s="630"/>
      <c r="B122" s="630"/>
      <c r="C122" s="630"/>
      <c r="D122" s="630"/>
      <c r="E122" s="630"/>
      <c r="F122" s="630"/>
      <c r="G122" s="630"/>
      <c r="H122" s="630"/>
      <c r="I122" s="630"/>
      <c r="J122" s="630"/>
      <c r="K122" s="630"/>
      <c r="L122" s="630"/>
      <c r="M122" s="630"/>
    </row>
    <row r="123" spans="1:13" ht="11.25" x14ac:dyDescent="0.2">
      <c r="A123" s="630"/>
      <c r="B123" s="630"/>
      <c r="C123" s="630"/>
      <c r="D123" s="630"/>
      <c r="E123" s="630"/>
      <c r="F123" s="630"/>
      <c r="G123" s="630"/>
      <c r="H123" s="630"/>
      <c r="I123" s="630"/>
      <c r="J123" s="630"/>
      <c r="K123" s="630"/>
      <c r="L123" s="630"/>
      <c r="M123" s="630"/>
    </row>
    <row r="124" spans="1:13" ht="11.25" x14ac:dyDescent="0.2">
      <c r="A124" s="630"/>
      <c r="B124" s="630"/>
      <c r="C124" s="630"/>
      <c r="D124" s="630"/>
      <c r="E124" s="630"/>
      <c r="F124" s="630"/>
      <c r="G124" s="630"/>
      <c r="H124" s="630"/>
      <c r="I124" s="630"/>
      <c r="J124" s="630"/>
      <c r="K124" s="630"/>
      <c r="L124" s="630"/>
      <c r="M124" s="630"/>
    </row>
    <row r="125" spans="1:13" ht="11.25" x14ac:dyDescent="0.2">
      <c r="A125" s="630"/>
      <c r="B125" s="630"/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</row>
    <row r="126" spans="1:13" ht="11.25" x14ac:dyDescent="0.2">
      <c r="A126" s="630"/>
      <c r="B126" s="630"/>
      <c r="C126" s="630"/>
      <c r="D126" s="630"/>
      <c r="E126" s="630"/>
      <c r="F126" s="630"/>
      <c r="G126" s="630"/>
      <c r="H126" s="630"/>
      <c r="I126" s="630"/>
      <c r="J126" s="630"/>
      <c r="K126" s="630"/>
      <c r="L126" s="630"/>
      <c r="M126" s="630"/>
    </row>
    <row r="127" spans="1:13" ht="11.25" x14ac:dyDescent="0.2">
      <c r="A127" s="630"/>
      <c r="B127" s="630"/>
      <c r="C127" s="630"/>
      <c r="D127" s="630"/>
      <c r="E127" s="630"/>
      <c r="F127" s="630"/>
      <c r="G127" s="630"/>
      <c r="H127" s="630"/>
      <c r="I127" s="630"/>
      <c r="J127" s="630"/>
      <c r="K127" s="630"/>
      <c r="L127" s="630"/>
      <c r="M127" s="630"/>
    </row>
    <row r="128" spans="1:13" ht="11.25" x14ac:dyDescent="0.2">
      <c r="A128" s="630"/>
      <c r="B128" s="630"/>
      <c r="C128" s="630"/>
      <c r="D128" s="630"/>
      <c r="E128" s="630"/>
      <c r="F128" s="630"/>
      <c r="G128" s="630"/>
      <c r="H128" s="630"/>
      <c r="I128" s="630"/>
      <c r="J128" s="630"/>
      <c r="K128" s="630"/>
      <c r="L128" s="630"/>
      <c r="M128" s="630"/>
    </row>
    <row r="129" spans="1:13" ht="11.25" x14ac:dyDescent="0.2">
      <c r="A129" s="630"/>
      <c r="B129" s="630"/>
      <c r="C129" s="630"/>
      <c r="D129" s="630"/>
      <c r="E129" s="630"/>
      <c r="F129" s="630"/>
      <c r="G129" s="630"/>
      <c r="H129" s="630"/>
      <c r="I129" s="630"/>
      <c r="J129" s="630"/>
      <c r="K129" s="630"/>
      <c r="L129" s="630"/>
      <c r="M129" s="630"/>
    </row>
    <row r="130" spans="1:13" ht="11.25" x14ac:dyDescent="0.2">
      <c r="A130" s="630"/>
      <c r="B130" s="630"/>
      <c r="C130" s="630"/>
      <c r="D130" s="630"/>
      <c r="E130" s="630"/>
      <c r="F130" s="630"/>
      <c r="G130" s="630"/>
      <c r="H130" s="630"/>
      <c r="I130" s="630"/>
      <c r="J130" s="630"/>
      <c r="K130" s="630"/>
      <c r="L130" s="630"/>
      <c r="M130" s="630"/>
    </row>
    <row r="131" spans="1:13" ht="11.25" x14ac:dyDescent="0.2">
      <c r="A131" s="630"/>
      <c r="B131" s="630"/>
      <c r="C131" s="630"/>
      <c r="D131" s="630"/>
      <c r="E131" s="630"/>
      <c r="F131" s="630"/>
      <c r="G131" s="630"/>
      <c r="H131" s="630"/>
      <c r="I131" s="630"/>
      <c r="J131" s="630"/>
      <c r="K131" s="630"/>
      <c r="L131" s="630"/>
      <c r="M131" s="630"/>
    </row>
    <row r="132" spans="1:13" ht="11.25" x14ac:dyDescent="0.2">
      <c r="A132" s="630"/>
      <c r="B132" s="630"/>
      <c r="C132" s="630"/>
      <c r="D132" s="630"/>
      <c r="E132" s="630"/>
      <c r="F132" s="630"/>
      <c r="G132" s="630"/>
      <c r="H132" s="630"/>
      <c r="I132" s="630"/>
      <c r="J132" s="630"/>
      <c r="K132" s="630"/>
      <c r="L132" s="630"/>
      <c r="M132" s="630"/>
    </row>
    <row r="133" spans="1:13" ht="11.25" x14ac:dyDescent="0.2">
      <c r="A133" s="630"/>
      <c r="B133" s="630"/>
      <c r="C133" s="630"/>
      <c r="D133" s="630"/>
      <c r="E133" s="630"/>
      <c r="F133" s="630"/>
      <c r="G133" s="630"/>
      <c r="H133" s="630"/>
      <c r="I133" s="630"/>
      <c r="J133" s="630"/>
      <c r="K133" s="630"/>
      <c r="L133" s="630"/>
      <c r="M133" s="630"/>
    </row>
    <row r="134" spans="1:13" ht="11.25" x14ac:dyDescent="0.2">
      <c r="A134" s="630"/>
      <c r="B134" s="630"/>
      <c r="C134" s="630"/>
      <c r="D134" s="630"/>
      <c r="E134" s="630"/>
      <c r="F134" s="630"/>
      <c r="G134" s="630"/>
      <c r="H134" s="630"/>
      <c r="I134" s="630"/>
      <c r="J134" s="630"/>
      <c r="K134" s="630"/>
      <c r="L134" s="630"/>
      <c r="M134" s="630"/>
    </row>
    <row r="135" spans="1:13" ht="11.25" x14ac:dyDescent="0.2">
      <c r="A135" s="630"/>
      <c r="B135" s="630"/>
      <c r="C135" s="630"/>
      <c r="D135" s="630"/>
      <c r="E135" s="630"/>
      <c r="F135" s="630"/>
      <c r="G135" s="630"/>
      <c r="H135" s="630"/>
      <c r="I135" s="630"/>
      <c r="J135" s="630"/>
      <c r="K135" s="630"/>
      <c r="L135" s="630"/>
      <c r="M135" s="630"/>
    </row>
    <row r="136" spans="1:13" ht="11.25" x14ac:dyDescent="0.2">
      <c r="A136" s="630"/>
      <c r="B136" s="630"/>
      <c r="C136" s="630"/>
      <c r="D136" s="630"/>
      <c r="E136" s="630"/>
      <c r="F136" s="630"/>
      <c r="G136" s="630"/>
      <c r="H136" s="630"/>
      <c r="I136" s="630"/>
      <c r="J136" s="630"/>
      <c r="K136" s="630"/>
      <c r="L136" s="630"/>
      <c r="M136" s="630"/>
    </row>
    <row r="137" spans="1:13" ht="11.25" x14ac:dyDescent="0.2">
      <c r="A137" s="630"/>
      <c r="B137" s="630"/>
      <c r="C137" s="630"/>
      <c r="D137" s="630"/>
      <c r="E137" s="630"/>
      <c r="F137" s="630"/>
      <c r="G137" s="630"/>
      <c r="H137" s="630"/>
      <c r="I137" s="630"/>
      <c r="J137" s="630"/>
      <c r="K137" s="630"/>
      <c r="L137" s="630"/>
      <c r="M137" s="630"/>
    </row>
    <row r="138" spans="1:13" ht="11.25" x14ac:dyDescent="0.2">
      <c r="A138" s="630"/>
      <c r="B138" s="630"/>
      <c r="C138" s="630"/>
      <c r="D138" s="630"/>
      <c r="E138" s="630"/>
      <c r="F138" s="630"/>
      <c r="G138" s="630"/>
      <c r="H138" s="630"/>
      <c r="I138" s="630"/>
      <c r="J138" s="630"/>
      <c r="K138" s="630"/>
      <c r="L138" s="630"/>
      <c r="M138" s="630"/>
    </row>
    <row r="139" spans="1:13" ht="11.25" x14ac:dyDescent="0.2">
      <c r="A139" s="630"/>
      <c r="B139" s="630"/>
      <c r="C139" s="630"/>
      <c r="D139" s="630"/>
      <c r="E139" s="630"/>
      <c r="F139" s="630"/>
      <c r="G139" s="630"/>
      <c r="H139" s="630"/>
      <c r="I139" s="630"/>
      <c r="J139" s="630"/>
      <c r="K139" s="630"/>
      <c r="L139" s="630"/>
      <c r="M139" s="630"/>
    </row>
    <row r="140" spans="1:13" ht="11.25" x14ac:dyDescent="0.2">
      <c r="A140" s="630"/>
      <c r="B140" s="630"/>
      <c r="C140" s="630"/>
      <c r="D140" s="630"/>
      <c r="E140" s="630"/>
      <c r="F140" s="630"/>
      <c r="G140" s="630"/>
      <c r="H140" s="630"/>
      <c r="I140" s="630"/>
      <c r="J140" s="630"/>
      <c r="K140" s="630"/>
      <c r="L140" s="630"/>
      <c r="M140" s="630"/>
    </row>
    <row r="141" spans="1:13" ht="11.25" x14ac:dyDescent="0.2">
      <c r="A141" s="630"/>
      <c r="B141" s="630"/>
      <c r="C141" s="630"/>
      <c r="D141" s="630"/>
      <c r="E141" s="630"/>
      <c r="F141" s="630"/>
      <c r="G141" s="630"/>
      <c r="H141" s="630"/>
      <c r="I141" s="630"/>
      <c r="J141" s="630"/>
      <c r="K141" s="630"/>
      <c r="L141" s="630"/>
      <c r="M141" s="630"/>
    </row>
    <row r="142" spans="1:13" ht="11.25" x14ac:dyDescent="0.2">
      <c r="A142" s="630"/>
      <c r="B142" s="630"/>
      <c r="C142" s="630"/>
      <c r="D142" s="630"/>
      <c r="E142" s="630"/>
      <c r="F142" s="630"/>
      <c r="G142" s="630"/>
      <c r="H142" s="630"/>
      <c r="I142" s="630"/>
      <c r="J142" s="630"/>
      <c r="K142" s="630"/>
      <c r="L142" s="630"/>
      <c r="M142" s="630"/>
    </row>
    <row r="143" spans="1:13" ht="11.25" x14ac:dyDescent="0.2">
      <c r="A143" s="630"/>
      <c r="B143" s="630"/>
      <c r="C143" s="630"/>
      <c r="D143" s="630"/>
      <c r="E143" s="630"/>
      <c r="F143" s="630"/>
      <c r="G143" s="630"/>
      <c r="H143" s="630"/>
      <c r="I143" s="630"/>
      <c r="J143" s="630"/>
      <c r="K143" s="630"/>
      <c r="L143" s="630"/>
      <c r="M143" s="630"/>
    </row>
    <row r="144" spans="1:13" ht="11.25" x14ac:dyDescent="0.2">
      <c r="A144" s="630"/>
      <c r="B144" s="630"/>
      <c r="C144" s="630"/>
      <c r="D144" s="630"/>
      <c r="E144" s="630"/>
      <c r="F144" s="630"/>
      <c r="G144" s="630"/>
      <c r="H144" s="630"/>
      <c r="I144" s="630"/>
      <c r="J144" s="630"/>
      <c r="K144" s="630"/>
      <c r="L144" s="630"/>
      <c r="M144" s="630"/>
    </row>
    <row r="145" spans="1:13" ht="11.25" x14ac:dyDescent="0.2">
      <c r="A145" s="630"/>
      <c r="B145" s="630"/>
      <c r="C145" s="630"/>
      <c r="D145" s="630"/>
      <c r="E145" s="630"/>
      <c r="F145" s="630"/>
      <c r="G145" s="630"/>
      <c r="H145" s="630"/>
      <c r="I145" s="630"/>
      <c r="J145" s="630"/>
      <c r="K145" s="630"/>
      <c r="L145" s="630"/>
      <c r="M145" s="630"/>
    </row>
    <row r="146" spans="1:13" ht="11.25" x14ac:dyDescent="0.2">
      <c r="A146" s="630"/>
      <c r="B146" s="630"/>
      <c r="C146" s="630"/>
      <c r="D146" s="630"/>
      <c r="E146" s="630"/>
      <c r="F146" s="630"/>
      <c r="G146" s="630"/>
      <c r="H146" s="630"/>
      <c r="I146" s="630"/>
      <c r="J146" s="630"/>
      <c r="K146" s="630"/>
      <c r="L146" s="630"/>
      <c r="M146" s="630"/>
    </row>
    <row r="147" spans="1:13" ht="11.25" x14ac:dyDescent="0.2">
      <c r="A147" s="630"/>
      <c r="B147" s="630"/>
      <c r="C147" s="630"/>
      <c r="D147" s="630"/>
      <c r="E147" s="630"/>
      <c r="F147" s="630"/>
      <c r="G147" s="630"/>
      <c r="H147" s="630"/>
      <c r="I147" s="630"/>
      <c r="J147" s="630"/>
      <c r="K147" s="630"/>
      <c r="L147" s="630"/>
      <c r="M147" s="630"/>
    </row>
    <row r="148" spans="1:13" ht="11.25" x14ac:dyDescent="0.2">
      <c r="A148" s="630"/>
      <c r="B148" s="630"/>
      <c r="C148" s="630"/>
      <c r="D148" s="630"/>
      <c r="E148" s="630"/>
      <c r="F148" s="630"/>
      <c r="G148" s="630"/>
      <c r="H148" s="630"/>
      <c r="I148" s="630"/>
      <c r="J148" s="630"/>
      <c r="K148" s="630"/>
      <c r="L148" s="630"/>
      <c r="M148" s="630"/>
    </row>
    <row r="149" spans="1:13" ht="11.25" x14ac:dyDescent="0.2">
      <c r="A149" s="630"/>
      <c r="B149" s="630"/>
      <c r="C149" s="630"/>
      <c r="D149" s="630"/>
      <c r="E149" s="630"/>
      <c r="F149" s="630"/>
      <c r="G149" s="630"/>
      <c r="H149" s="630"/>
      <c r="I149" s="630"/>
      <c r="J149" s="630"/>
      <c r="K149" s="630"/>
      <c r="L149" s="630"/>
      <c r="M149" s="630"/>
    </row>
    <row r="150" spans="1:13" ht="11.25" x14ac:dyDescent="0.2">
      <c r="A150" s="630"/>
      <c r="B150" s="630"/>
      <c r="C150" s="630"/>
      <c r="D150" s="630"/>
      <c r="E150" s="630"/>
      <c r="F150" s="630"/>
      <c r="G150" s="630"/>
      <c r="H150" s="630"/>
      <c r="I150" s="630"/>
      <c r="J150" s="630"/>
      <c r="K150" s="630"/>
      <c r="L150" s="630"/>
      <c r="M150" s="630"/>
    </row>
    <row r="151" spans="1:13" ht="11.25" x14ac:dyDescent="0.2">
      <c r="A151" s="630"/>
      <c r="B151" s="630"/>
      <c r="C151" s="630"/>
      <c r="D151" s="630"/>
      <c r="E151" s="630"/>
      <c r="F151" s="630"/>
      <c r="G151" s="630"/>
      <c r="H151" s="630"/>
      <c r="I151" s="630"/>
      <c r="J151" s="630"/>
      <c r="K151" s="630"/>
      <c r="L151" s="630"/>
      <c r="M151" s="630"/>
    </row>
    <row r="152" spans="1:13" ht="11.25" x14ac:dyDescent="0.2">
      <c r="A152" s="630"/>
      <c r="B152" s="630"/>
      <c r="C152" s="630"/>
      <c r="D152" s="630"/>
      <c r="E152" s="630"/>
      <c r="F152" s="630"/>
      <c r="G152" s="630"/>
      <c r="H152" s="630"/>
      <c r="I152" s="630"/>
      <c r="J152" s="630"/>
      <c r="K152" s="630"/>
      <c r="L152" s="630"/>
      <c r="M152" s="630"/>
    </row>
    <row r="153" spans="1:13" ht="11.25" x14ac:dyDescent="0.2">
      <c r="A153" s="630"/>
      <c r="B153" s="630"/>
      <c r="C153" s="630"/>
      <c r="D153" s="630"/>
      <c r="E153" s="630"/>
      <c r="F153" s="630"/>
      <c r="G153" s="630"/>
      <c r="H153" s="630"/>
      <c r="I153" s="630"/>
      <c r="J153" s="630"/>
      <c r="K153" s="630"/>
      <c r="L153" s="630"/>
      <c r="M153" s="630"/>
    </row>
    <row r="154" spans="1:13" ht="11.25" x14ac:dyDescent="0.2">
      <c r="A154" s="630"/>
      <c r="B154" s="630"/>
      <c r="C154" s="630"/>
      <c r="D154" s="630"/>
      <c r="E154" s="630"/>
      <c r="F154" s="630"/>
      <c r="G154" s="630"/>
      <c r="H154" s="630"/>
      <c r="I154" s="630"/>
      <c r="J154" s="630"/>
      <c r="K154" s="630"/>
      <c r="L154" s="630"/>
      <c r="M154" s="630"/>
    </row>
    <row r="155" spans="1:13" ht="11.25" x14ac:dyDescent="0.2">
      <c r="A155" s="630"/>
      <c r="B155" s="630"/>
      <c r="C155" s="630"/>
      <c r="D155" s="630"/>
      <c r="E155" s="630"/>
      <c r="F155" s="630"/>
      <c r="G155" s="630"/>
      <c r="H155" s="630"/>
      <c r="I155" s="630"/>
      <c r="J155" s="630"/>
      <c r="K155" s="630"/>
      <c r="L155" s="630"/>
      <c r="M155" s="630"/>
    </row>
    <row r="156" spans="1:13" ht="11.25" x14ac:dyDescent="0.2">
      <c r="A156" s="630"/>
      <c r="B156" s="630"/>
      <c r="C156" s="630"/>
      <c r="D156" s="630"/>
      <c r="E156" s="630"/>
      <c r="F156" s="630"/>
      <c r="G156" s="630"/>
      <c r="H156" s="630"/>
      <c r="I156" s="630"/>
      <c r="J156" s="630"/>
      <c r="K156" s="630"/>
      <c r="L156" s="630"/>
      <c r="M156" s="630"/>
    </row>
    <row r="157" spans="1:13" ht="11.25" x14ac:dyDescent="0.2">
      <c r="A157" s="630"/>
      <c r="B157" s="630"/>
      <c r="C157" s="630"/>
      <c r="D157" s="630"/>
      <c r="E157" s="630"/>
      <c r="F157" s="630"/>
      <c r="G157" s="630"/>
      <c r="H157" s="630"/>
      <c r="I157" s="630"/>
      <c r="J157" s="630"/>
      <c r="K157" s="630"/>
      <c r="L157" s="630"/>
      <c r="M157" s="630"/>
    </row>
    <row r="158" spans="1:13" ht="11.25" x14ac:dyDescent="0.2">
      <c r="A158" s="630"/>
      <c r="B158" s="630"/>
      <c r="C158" s="630"/>
      <c r="D158" s="630"/>
      <c r="E158" s="630"/>
      <c r="F158" s="630"/>
      <c r="G158" s="630"/>
      <c r="H158" s="630"/>
      <c r="I158" s="630"/>
      <c r="J158" s="630"/>
      <c r="K158" s="630"/>
      <c r="L158" s="630"/>
      <c r="M158" s="630"/>
    </row>
    <row r="159" spans="1:13" ht="11.25" x14ac:dyDescent="0.2">
      <c r="A159" s="630"/>
      <c r="B159" s="630"/>
      <c r="C159" s="630"/>
      <c r="D159" s="630"/>
      <c r="E159" s="630"/>
      <c r="F159" s="630"/>
      <c r="G159" s="630"/>
      <c r="H159" s="630"/>
      <c r="I159" s="630"/>
      <c r="J159" s="630"/>
      <c r="K159" s="630"/>
      <c r="L159" s="630"/>
      <c r="M159" s="630"/>
    </row>
    <row r="160" spans="1:13" ht="11.25" x14ac:dyDescent="0.2">
      <c r="A160" s="630"/>
      <c r="B160" s="630"/>
      <c r="C160" s="630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</row>
    <row r="161" spans="1:13" ht="11.25" x14ac:dyDescent="0.2">
      <c r="A161" s="630"/>
      <c r="B161" s="630"/>
      <c r="C161" s="630"/>
      <c r="D161" s="630"/>
      <c r="E161" s="630"/>
      <c r="F161" s="630"/>
      <c r="G161" s="630"/>
      <c r="H161" s="630"/>
      <c r="I161" s="630"/>
      <c r="J161" s="630"/>
      <c r="K161" s="630"/>
      <c r="L161" s="630"/>
      <c r="M161" s="630"/>
    </row>
    <row r="162" spans="1:13" ht="11.25" x14ac:dyDescent="0.2">
      <c r="A162" s="630"/>
      <c r="B162" s="630"/>
      <c r="C162" s="630"/>
      <c r="D162" s="630"/>
      <c r="E162" s="630"/>
      <c r="F162" s="630"/>
      <c r="G162" s="630"/>
      <c r="H162" s="630"/>
      <c r="I162" s="630"/>
      <c r="J162" s="630"/>
      <c r="K162" s="630"/>
      <c r="L162" s="630"/>
      <c r="M162" s="630"/>
    </row>
    <row r="163" spans="1:13" ht="11.25" x14ac:dyDescent="0.2">
      <c r="A163" s="630"/>
      <c r="B163" s="630"/>
      <c r="C163" s="630"/>
      <c r="D163" s="630"/>
      <c r="E163" s="630"/>
      <c r="F163" s="630"/>
      <c r="G163" s="630"/>
      <c r="H163" s="630"/>
      <c r="I163" s="630"/>
      <c r="J163" s="630"/>
      <c r="K163" s="630"/>
      <c r="L163" s="630"/>
      <c r="M163" s="630"/>
    </row>
    <row r="164" spans="1:13" ht="11.25" x14ac:dyDescent="0.2">
      <c r="A164" s="630"/>
      <c r="B164" s="630"/>
      <c r="C164" s="630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</row>
    <row r="165" spans="1:13" ht="11.25" x14ac:dyDescent="0.2">
      <c r="A165" s="630"/>
      <c r="B165" s="630"/>
      <c r="C165" s="630"/>
      <c r="D165" s="630"/>
      <c r="E165" s="630"/>
      <c r="F165" s="630"/>
      <c r="G165" s="630"/>
      <c r="H165" s="630"/>
      <c r="I165" s="630"/>
      <c r="J165" s="630"/>
      <c r="K165" s="630"/>
      <c r="L165" s="630"/>
      <c r="M165" s="630"/>
    </row>
    <row r="166" spans="1:13" ht="11.25" x14ac:dyDescent="0.2">
      <c r="A166" s="630"/>
      <c r="B166" s="630"/>
      <c r="C166" s="630"/>
      <c r="D166" s="630"/>
      <c r="E166" s="630"/>
      <c r="F166" s="630"/>
      <c r="G166" s="630"/>
      <c r="H166" s="630"/>
      <c r="I166" s="630"/>
      <c r="J166" s="630"/>
      <c r="K166" s="630"/>
      <c r="L166" s="630"/>
      <c r="M166" s="630"/>
    </row>
  </sheetData>
  <mergeCells count="4">
    <mergeCell ref="A4:M4"/>
    <mergeCell ref="A3:M3"/>
    <mergeCell ref="A2:M2"/>
    <mergeCell ref="A1:M1"/>
  </mergeCells>
  <phoneticPr fontId="0" type="noConversion"/>
  <printOptions horizontalCentered="1"/>
  <pageMargins left="0.25" right="0.25" top="1" bottom="1" header="0.5" footer="0.5"/>
  <pageSetup orientation="portrait" horizontalDpi="300" verticalDpi="30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selection activeCell="C54" sqref="C54"/>
    </sheetView>
  </sheetViews>
  <sheetFormatPr defaultColWidth="11.83203125" defaultRowHeight="10.5" x14ac:dyDescent="0.15"/>
  <cols>
    <col min="1" max="1" width="5.83203125" style="59" customWidth="1"/>
    <col min="2" max="2" width="2.83203125" style="59" customWidth="1"/>
    <col min="3" max="3" width="23.6640625" style="59" bestFit="1" customWidth="1"/>
    <col min="4" max="4" width="2.83203125" style="59" customWidth="1"/>
    <col min="5" max="5" width="15.83203125" style="59" bestFit="1" customWidth="1"/>
    <col min="6" max="6" width="2.83203125" style="59" customWidth="1"/>
    <col min="7" max="7" width="14.83203125" style="59" customWidth="1"/>
    <col min="8" max="8" width="2.83203125" style="59" customWidth="1"/>
    <col min="9" max="9" width="11.83203125" style="59"/>
    <col min="10" max="10" width="2.83203125" style="59" customWidth="1"/>
    <col min="11" max="11" width="14.1640625" style="59" bestFit="1" customWidth="1"/>
    <col min="12" max="12" width="2.83203125" style="59" customWidth="1"/>
    <col min="13" max="13" width="13.83203125" style="59" customWidth="1"/>
    <col min="14" max="14" width="11.83203125" style="59" customWidth="1"/>
    <col min="15" max="16384" width="11.83203125" style="59"/>
  </cols>
  <sheetData>
    <row r="1" spans="1:14" ht="12.75" x14ac:dyDescent="0.2">
      <c r="A1" s="1462" t="s">
        <v>477</v>
      </c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</row>
    <row r="2" spans="1:14" ht="12.75" x14ac:dyDescent="0.2">
      <c r="A2" s="1462" t="str">
        <f>+Input!C4</f>
        <v>CASE NO. 2017-xxxxx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</row>
    <row r="3" spans="1:14" ht="12.75" x14ac:dyDescent="0.2">
      <c r="A3" s="1462" t="s">
        <v>1325</v>
      </c>
      <c r="B3" s="1462"/>
      <c r="C3" s="1462"/>
      <c r="D3" s="1462"/>
      <c r="E3" s="1462"/>
      <c r="F3" s="1462"/>
      <c r="G3" s="1462"/>
      <c r="H3" s="1462"/>
      <c r="I3" s="1462"/>
      <c r="J3" s="1462"/>
      <c r="K3" s="1462"/>
      <c r="L3" s="1462"/>
      <c r="M3" s="1462"/>
    </row>
    <row r="4" spans="1:14" ht="12.75" x14ac:dyDescent="0.2">
      <c r="A4" s="1462" t="str">
        <f>+Input!C12</f>
        <v>HISTORIC PERIOD ENDING DECEMBER 31, 2017</v>
      </c>
      <c r="B4" s="1462"/>
      <c r="C4" s="1462"/>
      <c r="D4" s="1462"/>
      <c r="E4" s="1462"/>
      <c r="F4" s="1462"/>
      <c r="G4" s="1462"/>
      <c r="H4" s="1462"/>
      <c r="I4" s="1462"/>
      <c r="J4" s="1462"/>
      <c r="K4" s="1462"/>
      <c r="L4" s="1462"/>
      <c r="M4" s="1462"/>
    </row>
    <row r="5" spans="1:14" ht="12.75" x14ac:dyDescent="0.2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</row>
    <row r="6" spans="1:14" ht="12.75" x14ac:dyDescent="0.2">
      <c r="A6" s="634" t="s">
        <v>839</v>
      </c>
      <c r="B6" s="629"/>
      <c r="C6" s="629"/>
      <c r="D6" s="629"/>
      <c r="E6" s="629"/>
      <c r="F6" s="629"/>
      <c r="G6" s="629"/>
      <c r="H6" s="629"/>
      <c r="I6" s="629"/>
      <c r="J6" s="629"/>
      <c r="K6" s="630"/>
      <c r="L6" s="629"/>
      <c r="M6" s="635" t="s">
        <v>144</v>
      </c>
    </row>
    <row r="7" spans="1:14" ht="12.75" x14ac:dyDescent="0.2">
      <c r="A7" s="634" t="s">
        <v>490</v>
      </c>
      <c r="B7" s="629"/>
      <c r="C7" s="629"/>
      <c r="D7" s="629"/>
      <c r="E7" s="629"/>
      <c r="F7" s="629"/>
      <c r="G7" s="629"/>
      <c r="H7" s="629"/>
      <c r="I7" s="629"/>
      <c r="J7" s="629"/>
      <c r="K7" s="630"/>
      <c r="L7" s="629"/>
      <c r="M7" s="635" t="s">
        <v>491</v>
      </c>
    </row>
    <row r="8" spans="1:14" ht="12.75" x14ac:dyDescent="0.2">
      <c r="A8" s="636" t="s">
        <v>840</v>
      </c>
      <c r="B8" s="637"/>
      <c r="C8" s="637"/>
      <c r="D8" s="637"/>
      <c r="E8" s="637"/>
      <c r="F8" s="637"/>
      <c r="G8" s="637"/>
      <c r="H8" s="637"/>
      <c r="I8" s="637"/>
      <c r="J8" s="637"/>
      <c r="K8" s="638"/>
      <c r="L8" s="652"/>
      <c r="M8" s="639" t="str">
        <f>+Input!E33</f>
        <v>WITNESS:  P.  R. MOUL</v>
      </c>
    </row>
    <row r="9" spans="1:14" s="60" customFormat="1" ht="12.75" x14ac:dyDescent="0.2">
      <c r="A9" s="631"/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  <c r="M9" s="653"/>
      <c r="N9" s="59"/>
    </row>
    <row r="10" spans="1:14" s="60" customFormat="1" ht="12.75" x14ac:dyDescent="0.2">
      <c r="A10" s="631" t="s">
        <v>493</v>
      </c>
      <c r="B10" s="631"/>
      <c r="C10" s="631"/>
      <c r="D10" s="631"/>
      <c r="E10" s="631" t="s">
        <v>1232</v>
      </c>
      <c r="F10" s="631"/>
      <c r="G10" s="631"/>
      <c r="H10" s="631"/>
      <c r="I10" s="631" t="s">
        <v>983</v>
      </c>
      <c r="J10" s="631"/>
      <c r="K10" s="631"/>
      <c r="L10" s="631"/>
      <c r="M10" s="631" t="s">
        <v>132</v>
      </c>
      <c r="N10" s="59"/>
    </row>
    <row r="11" spans="1:14" s="60" customFormat="1" ht="12.75" x14ac:dyDescent="0.2">
      <c r="A11" s="640" t="s">
        <v>496</v>
      </c>
      <c r="B11" s="640"/>
      <c r="C11" s="640" t="s">
        <v>133</v>
      </c>
      <c r="D11" s="640"/>
      <c r="E11" s="640" t="s">
        <v>852</v>
      </c>
      <c r="F11" s="640"/>
      <c r="G11" s="640" t="s">
        <v>1248</v>
      </c>
      <c r="H11" s="640"/>
      <c r="I11" s="640" t="s">
        <v>134</v>
      </c>
      <c r="J11" s="640"/>
      <c r="K11" s="640" t="s">
        <v>135</v>
      </c>
      <c r="L11" s="640"/>
      <c r="M11" s="640" t="s">
        <v>1371</v>
      </c>
      <c r="N11" s="59"/>
    </row>
    <row r="12" spans="1:14" s="60" customFormat="1" ht="12.75" x14ac:dyDescent="0.2">
      <c r="A12" s="641"/>
      <c r="B12" s="641"/>
      <c r="C12" s="642" t="s">
        <v>1746</v>
      </c>
      <c r="D12" s="631"/>
      <c r="E12" s="642" t="s">
        <v>1747</v>
      </c>
      <c r="F12" s="631"/>
      <c r="G12" s="642" t="s">
        <v>1748</v>
      </c>
      <c r="H12" s="631"/>
      <c r="I12" s="642" t="s">
        <v>1749</v>
      </c>
      <c r="J12" s="631"/>
      <c r="K12" s="642" t="s">
        <v>136</v>
      </c>
      <c r="L12" s="631"/>
      <c r="M12" s="641" t="s">
        <v>137</v>
      </c>
      <c r="N12" s="59"/>
    </row>
    <row r="13" spans="1:14" s="60" customFormat="1" ht="12.75" x14ac:dyDescent="0.2">
      <c r="A13" s="631"/>
      <c r="B13" s="631"/>
      <c r="C13" s="631"/>
      <c r="D13" s="631"/>
      <c r="E13" s="631"/>
      <c r="F13" s="631"/>
      <c r="G13" s="631" t="s">
        <v>500</v>
      </c>
      <c r="H13" s="631"/>
      <c r="I13" s="642" t="s">
        <v>138</v>
      </c>
      <c r="J13" s="631"/>
      <c r="K13" s="642" t="s">
        <v>138</v>
      </c>
      <c r="L13" s="631"/>
      <c r="M13" s="642" t="s">
        <v>138</v>
      </c>
      <c r="N13" s="59"/>
    </row>
    <row r="14" spans="1:14" ht="12.75" x14ac:dyDescent="0.2">
      <c r="A14" s="654"/>
      <c r="B14" s="629"/>
      <c r="C14" s="629"/>
      <c r="D14" s="629"/>
      <c r="E14" s="629"/>
      <c r="F14" s="629"/>
      <c r="G14" s="643"/>
      <c r="H14" s="643"/>
      <c r="I14" s="643"/>
      <c r="J14" s="643"/>
      <c r="K14" s="643"/>
      <c r="L14" s="629"/>
      <c r="M14" s="629"/>
    </row>
    <row r="15" spans="1:14" ht="12.75" x14ac:dyDescent="0.2">
      <c r="A15" s="655" t="s">
        <v>501</v>
      </c>
      <c r="B15" s="629"/>
      <c r="C15" s="643" t="s">
        <v>139</v>
      </c>
      <c r="D15" s="643"/>
      <c r="E15" s="643"/>
      <c r="F15" s="643"/>
      <c r="G15" s="720">
        <v>9861432</v>
      </c>
      <c r="H15" s="643"/>
      <c r="I15" s="809">
        <f>ROUND(G15/$G$27,9)</f>
        <v>5.4246161000000001E-2</v>
      </c>
      <c r="J15" s="643"/>
      <c r="K15" s="646">
        <f>+'Embedded Cost of STD J-2'!J22</f>
        <v>3.2399999999999998E-2</v>
      </c>
      <c r="L15" s="643"/>
      <c r="M15" s="646">
        <f>ROUND(I15*K15,4)</f>
        <v>1.8E-3</v>
      </c>
    </row>
    <row r="16" spans="1:14" ht="12.75" x14ac:dyDescent="0.2">
      <c r="A16" s="655"/>
      <c r="B16" s="629"/>
      <c r="C16" s="629"/>
      <c r="D16" s="629"/>
      <c r="E16" s="629"/>
      <c r="F16" s="629"/>
      <c r="G16" s="721"/>
      <c r="H16" s="643"/>
      <c r="I16" s="809"/>
      <c r="J16" s="643"/>
      <c r="K16" s="643"/>
      <c r="L16" s="629"/>
      <c r="M16" s="629"/>
    </row>
    <row r="17" spans="1:13" ht="12.75" x14ac:dyDescent="0.2">
      <c r="A17" s="655" t="s">
        <v>503</v>
      </c>
      <c r="B17" s="629"/>
      <c r="C17" s="629" t="s">
        <v>140</v>
      </c>
      <c r="D17" s="629"/>
      <c r="E17" s="629"/>
      <c r="F17" s="629"/>
      <c r="G17" s="1091">
        <v>77368041</v>
      </c>
      <c r="H17" s="643"/>
      <c r="I17" s="811">
        <f>ROUND(G17/$G$27,9)</f>
        <v>0.42558922500000002</v>
      </c>
      <c r="J17" s="643"/>
      <c r="K17" s="646">
        <f>+'Embedded Cost of LTD J-3'!K26</f>
        <v>5.7552526764895084E-2</v>
      </c>
      <c r="L17" s="629"/>
      <c r="M17" s="656">
        <f>ROUND(I17*K17,4)</f>
        <v>2.4500000000000001E-2</v>
      </c>
    </row>
    <row r="18" spans="1:13" ht="12.75" x14ac:dyDescent="0.2">
      <c r="A18" s="655"/>
      <c r="B18" s="629"/>
      <c r="C18" s="629"/>
      <c r="D18" s="629"/>
      <c r="E18" s="629"/>
      <c r="F18" s="629"/>
      <c r="G18" s="643"/>
      <c r="H18" s="643"/>
      <c r="I18" s="809"/>
      <c r="J18" s="643"/>
      <c r="K18" s="643"/>
      <c r="L18" s="629"/>
      <c r="M18" s="629"/>
    </row>
    <row r="19" spans="1:13" ht="12.75" x14ac:dyDescent="0.2">
      <c r="A19" s="655" t="s">
        <v>505</v>
      </c>
      <c r="B19" s="629"/>
      <c r="C19" s="629" t="s">
        <v>145</v>
      </c>
      <c r="D19" s="629"/>
      <c r="E19" s="629"/>
      <c r="F19" s="629"/>
      <c r="G19" s="644">
        <f>G15+G17</f>
        <v>87229473</v>
      </c>
      <c r="H19" s="643"/>
      <c r="I19" s="809">
        <f>I15+I17</f>
        <v>0.47983538600000003</v>
      </c>
      <c r="J19" s="643"/>
      <c r="K19" s="643"/>
      <c r="L19" s="629"/>
      <c r="M19" s="648">
        <f>M15+M17</f>
        <v>2.63E-2</v>
      </c>
    </row>
    <row r="20" spans="1:13" ht="12.75" x14ac:dyDescent="0.2">
      <c r="A20" s="655"/>
      <c r="B20" s="629"/>
      <c r="C20" s="629"/>
      <c r="D20" s="629"/>
      <c r="E20" s="629"/>
      <c r="F20" s="629"/>
      <c r="G20" s="644"/>
      <c r="H20" s="643"/>
      <c r="I20" s="809"/>
      <c r="J20" s="643"/>
      <c r="K20" s="643"/>
      <c r="L20" s="629"/>
      <c r="M20" s="629"/>
    </row>
    <row r="21" spans="1:13" ht="12.75" x14ac:dyDescent="0.2">
      <c r="A21" s="655" t="s">
        <v>506</v>
      </c>
      <c r="B21" s="629"/>
      <c r="C21" s="629" t="s">
        <v>141</v>
      </c>
      <c r="D21" s="629"/>
      <c r="E21" s="629"/>
      <c r="F21" s="629"/>
      <c r="G21" s="720">
        <v>0</v>
      </c>
      <c r="H21" s="643"/>
      <c r="I21" s="809">
        <f>ROUND(G21/$G$27,4)</f>
        <v>0</v>
      </c>
      <c r="J21" s="643"/>
      <c r="K21" s="1092">
        <v>0</v>
      </c>
      <c r="L21" s="629"/>
      <c r="M21" s="648">
        <f>ROUND(I21*K21,4)</f>
        <v>0</v>
      </c>
    </row>
    <row r="22" spans="1:13" ht="12.75" x14ac:dyDescent="0.2">
      <c r="A22" s="655"/>
      <c r="B22" s="629"/>
      <c r="C22" s="629"/>
      <c r="D22" s="629"/>
      <c r="E22" s="629"/>
      <c r="F22" s="629"/>
      <c r="G22" s="720"/>
      <c r="H22" s="643"/>
      <c r="I22" s="809"/>
      <c r="J22" s="643"/>
      <c r="K22" s="643"/>
      <c r="L22" s="629"/>
      <c r="M22" s="629"/>
    </row>
    <row r="23" spans="1:13" ht="12.75" x14ac:dyDescent="0.2">
      <c r="A23" s="655" t="s">
        <v>508</v>
      </c>
      <c r="B23" s="629"/>
      <c r="C23" s="629" t="s">
        <v>142</v>
      </c>
      <c r="D23" s="629"/>
      <c r="E23" s="629"/>
      <c r="F23" s="629"/>
      <c r="G23" s="720">
        <v>94560940</v>
      </c>
      <c r="H23" s="643"/>
      <c r="I23" s="809">
        <f>ROUND(G23/$G$27,9)</f>
        <v>0.52016461400000003</v>
      </c>
      <c r="J23" s="643"/>
      <c r="K23" s="1092">
        <v>0.1225</v>
      </c>
      <c r="L23" s="629"/>
      <c r="M23" s="648">
        <f>ROUND(I23*K23,4)</f>
        <v>6.3700000000000007E-2</v>
      </c>
    </row>
    <row r="24" spans="1:13" ht="12.75" x14ac:dyDescent="0.2">
      <c r="A24" s="655"/>
      <c r="B24" s="629"/>
      <c r="C24" s="629"/>
      <c r="D24" s="629"/>
      <c r="E24" s="629"/>
      <c r="F24" s="629"/>
      <c r="G24" s="721"/>
      <c r="H24" s="643"/>
      <c r="I24" s="809"/>
      <c r="J24" s="643"/>
      <c r="K24" s="643"/>
      <c r="L24" s="629"/>
      <c r="M24" s="629"/>
    </row>
    <row r="25" spans="1:13" ht="12.75" x14ac:dyDescent="0.2">
      <c r="A25" s="655" t="s">
        <v>510</v>
      </c>
      <c r="B25" s="629"/>
      <c r="C25" s="629" t="s">
        <v>146</v>
      </c>
      <c r="D25" s="629"/>
      <c r="E25" s="629"/>
      <c r="F25" s="629"/>
      <c r="G25" s="1091">
        <v>0</v>
      </c>
      <c r="H25" s="643"/>
      <c r="I25" s="811">
        <f>ROUND(G25/$G$27,4)</f>
        <v>0</v>
      </c>
      <c r="J25" s="643"/>
      <c r="K25" s="1092">
        <v>0</v>
      </c>
      <c r="L25" s="629"/>
      <c r="M25" s="656">
        <f>ROUND(I25*K25,4)</f>
        <v>0</v>
      </c>
    </row>
    <row r="26" spans="1:13" ht="12.75" x14ac:dyDescent="0.2">
      <c r="A26" s="655"/>
      <c r="B26" s="629"/>
      <c r="C26" s="629"/>
      <c r="D26" s="629"/>
      <c r="E26" s="629"/>
      <c r="F26" s="629"/>
      <c r="G26" s="643"/>
      <c r="H26" s="643"/>
      <c r="I26" s="809"/>
      <c r="J26" s="643"/>
      <c r="K26" s="643"/>
      <c r="L26" s="629"/>
      <c r="M26" s="629"/>
    </row>
    <row r="27" spans="1:13" ht="12.75" x14ac:dyDescent="0.2">
      <c r="A27" s="655" t="s">
        <v>101</v>
      </c>
      <c r="B27" s="629"/>
      <c r="C27" s="629" t="s">
        <v>143</v>
      </c>
      <c r="D27" s="629"/>
      <c r="E27" s="629"/>
      <c r="F27" s="629"/>
      <c r="G27" s="644">
        <f>G19+G21+G23+G25</f>
        <v>181790413</v>
      </c>
      <c r="H27" s="629"/>
      <c r="I27" s="810">
        <f>I19+I21+I23+I25</f>
        <v>1</v>
      </c>
      <c r="J27" s="629"/>
      <c r="K27" s="629"/>
      <c r="L27" s="629"/>
      <c r="M27" s="648">
        <f>M19+M21+M23+M25</f>
        <v>9.0000000000000011E-2</v>
      </c>
    </row>
    <row r="28" spans="1:13" ht="12.75" x14ac:dyDescent="0.2">
      <c r="A28" s="654"/>
      <c r="B28" s="629"/>
      <c r="C28" s="629"/>
      <c r="D28" s="629"/>
      <c r="E28" s="629"/>
      <c r="F28" s="629"/>
      <c r="G28" s="629"/>
      <c r="H28" s="629"/>
      <c r="I28" s="629"/>
      <c r="J28" s="629"/>
      <c r="K28" s="629"/>
      <c r="L28" s="629"/>
      <c r="M28" s="629"/>
    </row>
    <row r="29" spans="1:13" ht="11.25" x14ac:dyDescent="0.2">
      <c r="A29" s="657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</row>
    <row r="30" spans="1:13" ht="12.75" x14ac:dyDescent="0.2">
      <c r="A30" s="629" t="s">
        <v>232</v>
      </c>
      <c r="B30" s="630"/>
      <c r="C30" s="630"/>
      <c r="D30" s="630"/>
      <c r="E30" s="630"/>
      <c r="F30" s="630"/>
      <c r="G30" s="630"/>
      <c r="H30" s="630"/>
      <c r="I30" s="630"/>
      <c r="J30" s="630"/>
      <c r="K30" s="630"/>
      <c r="L30" s="630"/>
      <c r="M30" s="630"/>
    </row>
    <row r="31" spans="1:13" ht="11.25" x14ac:dyDescent="0.2">
      <c r="A31" s="630"/>
      <c r="B31" s="630"/>
      <c r="C31" s="630"/>
      <c r="D31" s="630"/>
      <c r="E31" s="630"/>
      <c r="F31" s="630"/>
      <c r="G31" s="630"/>
      <c r="H31" s="630"/>
      <c r="I31" s="630"/>
      <c r="J31" s="630"/>
      <c r="K31" s="630"/>
      <c r="L31" s="630"/>
      <c r="M31" s="630"/>
    </row>
    <row r="32" spans="1:13" ht="11.25" x14ac:dyDescent="0.2">
      <c r="A32" s="630"/>
      <c r="B32" s="630"/>
      <c r="C32" s="630"/>
      <c r="D32" s="630"/>
      <c r="E32" s="630"/>
      <c r="F32" s="630"/>
      <c r="G32" s="630"/>
      <c r="H32" s="630"/>
      <c r="I32" s="630"/>
      <c r="J32" s="630"/>
      <c r="K32" s="630"/>
      <c r="L32" s="630"/>
      <c r="M32" s="630"/>
    </row>
    <row r="33" spans="1:13" ht="11.25" x14ac:dyDescent="0.2">
      <c r="A33" s="630"/>
      <c r="B33" s="630"/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0"/>
    </row>
    <row r="34" spans="1:13" ht="11.25" x14ac:dyDescent="0.2">
      <c r="A34" s="630"/>
      <c r="B34" s="630"/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</row>
    <row r="35" spans="1:13" ht="11.25" x14ac:dyDescent="0.2">
      <c r="A35" s="630"/>
      <c r="B35" s="630"/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</row>
    <row r="36" spans="1:13" ht="11.25" x14ac:dyDescent="0.2">
      <c r="A36" s="630"/>
      <c r="B36" s="630"/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</row>
    <row r="37" spans="1:13" ht="11.25" x14ac:dyDescent="0.2">
      <c r="A37" s="630"/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</row>
    <row r="38" spans="1:13" ht="11.25" x14ac:dyDescent="0.2">
      <c r="A38" s="630"/>
      <c r="B38" s="630"/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</row>
    <row r="39" spans="1:13" ht="11.25" x14ac:dyDescent="0.2">
      <c r="A39" s="630"/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</row>
    <row r="40" spans="1:13" ht="11.25" x14ac:dyDescent="0.2">
      <c r="A40" s="630"/>
      <c r="B40" s="630"/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0"/>
    </row>
    <row r="41" spans="1:13" ht="11.25" x14ac:dyDescent="0.2">
      <c r="A41" s="630"/>
      <c r="B41" s="630"/>
      <c r="C41" s="630"/>
      <c r="D41" s="630"/>
      <c r="E41" s="630"/>
      <c r="F41" s="630"/>
      <c r="G41" s="630"/>
      <c r="H41" s="630"/>
      <c r="I41" s="630"/>
      <c r="J41" s="630"/>
      <c r="K41" s="630"/>
      <c r="L41" s="630"/>
      <c r="M41" s="630"/>
    </row>
  </sheetData>
  <mergeCells count="4">
    <mergeCell ref="A4:M4"/>
    <mergeCell ref="A1:M1"/>
    <mergeCell ref="A2:M2"/>
    <mergeCell ref="A3:M3"/>
  </mergeCells>
  <phoneticPr fontId="0" type="noConversion"/>
  <printOptions horizontalCentered="1"/>
  <pageMargins left="0.25" right="0.25" top="1" bottom="1" header="0.5" footer="0.5"/>
  <pageSetup orientation="portrait" horizontalDpi="300" verticalDpi="30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selection activeCell="C54" sqref="C54"/>
    </sheetView>
  </sheetViews>
  <sheetFormatPr defaultColWidth="11.83203125" defaultRowHeight="10.5" x14ac:dyDescent="0.15"/>
  <cols>
    <col min="1" max="1" width="8.83203125" style="59" customWidth="1"/>
    <col min="2" max="2" width="3.83203125" style="59" customWidth="1"/>
    <col min="3" max="3" width="27.5" style="59" customWidth="1"/>
    <col min="4" max="5" width="3.83203125" style="59" customWidth="1"/>
    <col min="6" max="6" width="18.33203125" style="59" customWidth="1"/>
    <col min="7" max="7" width="3.83203125" style="59" customWidth="1"/>
    <col min="8" max="8" width="12.5" style="59" bestFit="1" customWidth="1"/>
    <col min="9" max="9" width="3.83203125" style="59" customWidth="1"/>
    <col min="10" max="10" width="13.5" style="59" bestFit="1" customWidth="1"/>
    <col min="11" max="11" width="3.83203125" style="59" customWidth="1"/>
    <col min="12" max="12" width="16.83203125" style="59" customWidth="1"/>
    <col min="13" max="16384" width="11.83203125" style="59"/>
  </cols>
  <sheetData>
    <row r="1" spans="1:12" ht="12.75" x14ac:dyDescent="0.2">
      <c r="A1" s="1462" t="s">
        <v>477</v>
      </c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</row>
    <row r="2" spans="1:12" ht="12.75" x14ac:dyDescent="0.2">
      <c r="A2" s="1462" t="str">
        <f>+Input!C4</f>
        <v>CASE NO. 2017-xxxxx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</row>
    <row r="3" spans="1:12" ht="12.75" x14ac:dyDescent="0.2">
      <c r="A3" s="1462" t="s">
        <v>126</v>
      </c>
      <c r="B3" s="1462"/>
      <c r="C3" s="1462"/>
      <c r="D3" s="1462"/>
      <c r="E3" s="1462"/>
      <c r="F3" s="1462"/>
      <c r="G3" s="1462"/>
      <c r="H3" s="1462"/>
      <c r="I3" s="1462"/>
      <c r="J3" s="1462"/>
      <c r="K3" s="1462"/>
      <c r="L3" s="1462"/>
    </row>
    <row r="4" spans="1:12" ht="12.75" x14ac:dyDescent="0.2">
      <c r="A4" s="1462" t="str">
        <f>+Input!C7</f>
        <v>AS OF DECEMBER 31, 2017</v>
      </c>
      <c r="B4" s="1462"/>
      <c r="C4" s="1462"/>
      <c r="D4" s="1462"/>
      <c r="E4" s="1462"/>
      <c r="F4" s="1462"/>
      <c r="G4" s="1462"/>
      <c r="H4" s="1462"/>
      <c r="I4" s="1462"/>
      <c r="J4" s="1462"/>
      <c r="K4" s="1462"/>
      <c r="L4" s="1462"/>
    </row>
    <row r="5" spans="1:12" ht="12.75" x14ac:dyDescent="0.2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</row>
    <row r="6" spans="1:12" ht="12.75" x14ac:dyDescent="0.2">
      <c r="A6" s="634" t="s">
        <v>839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35" t="s">
        <v>147</v>
      </c>
    </row>
    <row r="7" spans="1:12" ht="12.75" x14ac:dyDescent="0.2">
      <c r="A7" s="634" t="s">
        <v>490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35" t="s">
        <v>491</v>
      </c>
    </row>
    <row r="8" spans="1:12" ht="12.75" x14ac:dyDescent="0.2">
      <c r="A8" s="636" t="s">
        <v>840</v>
      </c>
      <c r="B8" s="637"/>
      <c r="C8" s="637"/>
      <c r="D8" s="637"/>
      <c r="E8" s="637"/>
      <c r="F8" s="637"/>
      <c r="G8" s="637"/>
      <c r="H8" s="637"/>
      <c r="I8" s="637"/>
      <c r="J8" s="637"/>
      <c r="K8" s="652"/>
      <c r="L8" s="639" t="str">
        <f>+Input!E33</f>
        <v>WITNESS:  P.  R. MOUL</v>
      </c>
    </row>
    <row r="9" spans="1:12" s="60" customFormat="1" ht="12.75" x14ac:dyDescent="0.2">
      <c r="A9" s="631"/>
      <c r="B9" s="631"/>
      <c r="C9" s="631"/>
      <c r="D9" s="631"/>
      <c r="E9" s="631"/>
      <c r="F9" s="631"/>
      <c r="G9" s="631"/>
      <c r="H9" s="631"/>
      <c r="I9" s="631"/>
      <c r="J9" s="631" t="s">
        <v>148</v>
      </c>
      <c r="K9" s="631"/>
      <c r="L9" s="631" t="s">
        <v>149</v>
      </c>
    </row>
    <row r="10" spans="1:12" s="60" customFormat="1" ht="12.75" x14ac:dyDescent="0.2">
      <c r="A10" s="631" t="s">
        <v>493</v>
      </c>
      <c r="B10" s="631"/>
      <c r="C10" s="631"/>
      <c r="D10" s="631"/>
      <c r="E10" s="631"/>
      <c r="F10" s="631" t="s">
        <v>1248</v>
      </c>
      <c r="G10" s="631"/>
      <c r="H10" s="631" t="s">
        <v>150</v>
      </c>
      <c r="I10" s="631"/>
      <c r="J10" s="631" t="s">
        <v>151</v>
      </c>
      <c r="K10" s="631"/>
      <c r="L10" s="631" t="s">
        <v>150</v>
      </c>
    </row>
    <row r="11" spans="1:12" s="60" customFormat="1" ht="12.75" x14ac:dyDescent="0.2">
      <c r="A11" s="640" t="s">
        <v>496</v>
      </c>
      <c r="B11" s="640"/>
      <c r="C11" s="640" t="s">
        <v>152</v>
      </c>
      <c r="D11" s="640"/>
      <c r="E11" s="640"/>
      <c r="F11" s="640" t="s">
        <v>153</v>
      </c>
      <c r="G11" s="640"/>
      <c r="H11" s="640" t="s">
        <v>1442</v>
      </c>
      <c r="I11" s="640"/>
      <c r="J11" s="640" t="s">
        <v>1371</v>
      </c>
      <c r="K11" s="640"/>
      <c r="L11" s="640" t="s">
        <v>1442</v>
      </c>
    </row>
    <row r="12" spans="1:12" s="60" customFormat="1" ht="12.75" x14ac:dyDescent="0.2">
      <c r="A12" s="631"/>
      <c r="B12" s="631"/>
      <c r="C12" s="642" t="s">
        <v>1746</v>
      </c>
      <c r="D12" s="631"/>
      <c r="E12" s="631"/>
      <c r="F12" s="642" t="s">
        <v>1747</v>
      </c>
      <c r="G12" s="631"/>
      <c r="H12" s="642" t="s">
        <v>1748</v>
      </c>
      <c r="I12" s="631"/>
      <c r="J12" s="642" t="s">
        <v>1749</v>
      </c>
      <c r="K12" s="631"/>
      <c r="L12" s="642" t="s">
        <v>136</v>
      </c>
    </row>
    <row r="13" spans="1:12" s="60" customFormat="1" ht="12.75" x14ac:dyDescent="0.2">
      <c r="A13" s="631"/>
      <c r="B13" s="631"/>
      <c r="C13" s="642"/>
      <c r="D13" s="631"/>
      <c r="E13" s="631"/>
      <c r="F13" s="642"/>
      <c r="G13" s="631"/>
      <c r="H13" s="642"/>
      <c r="I13" s="631"/>
      <c r="J13" s="642"/>
      <c r="K13" s="631"/>
      <c r="L13" s="642"/>
    </row>
    <row r="14" spans="1:12" s="60" customFormat="1" ht="12.75" x14ac:dyDescent="0.2">
      <c r="A14" s="631"/>
      <c r="B14" s="631"/>
      <c r="C14" s="763" t="s">
        <v>78</v>
      </c>
      <c r="D14" s="631"/>
      <c r="E14" s="631"/>
      <c r="F14" s="631"/>
      <c r="G14" s="631"/>
      <c r="H14" s="631"/>
      <c r="I14" s="631"/>
      <c r="J14" s="631"/>
      <c r="K14" s="631"/>
      <c r="L14" s="631"/>
    </row>
    <row r="15" spans="1:12" ht="12.75" x14ac:dyDescent="0.2">
      <c r="A15" s="629"/>
      <c r="B15" s="629"/>
      <c r="C15" s="629" t="s">
        <v>79</v>
      </c>
      <c r="D15" s="629"/>
      <c r="E15" s="629"/>
      <c r="F15" s="629"/>
      <c r="G15" s="629"/>
      <c r="H15" s="629"/>
      <c r="I15" s="629"/>
      <c r="J15" s="629"/>
      <c r="K15" s="629"/>
      <c r="L15" s="629"/>
    </row>
    <row r="16" spans="1:12" ht="12.75" x14ac:dyDescent="0.2">
      <c r="A16" s="629"/>
      <c r="B16" s="629"/>
      <c r="C16" s="629"/>
      <c r="D16" s="629"/>
      <c r="E16" s="629"/>
      <c r="F16" s="629"/>
      <c r="G16" s="629"/>
      <c r="H16" s="629"/>
      <c r="I16" s="629"/>
      <c r="J16" s="629"/>
      <c r="K16" s="629"/>
      <c r="L16" s="629"/>
    </row>
    <row r="17" spans="1:14" ht="12.75" x14ac:dyDescent="0.2">
      <c r="A17" s="629"/>
      <c r="B17" s="629"/>
      <c r="C17" s="629"/>
      <c r="D17" s="629"/>
      <c r="E17" s="629"/>
      <c r="F17" s="629"/>
      <c r="G17" s="629"/>
      <c r="H17" s="629"/>
      <c r="I17" s="629"/>
      <c r="J17" s="629"/>
      <c r="K17" s="629"/>
      <c r="L17" s="629"/>
    </row>
    <row r="18" spans="1:14" ht="12.75" x14ac:dyDescent="0.2">
      <c r="A18" s="629"/>
      <c r="B18" s="629"/>
      <c r="C18" s="1093">
        <v>39729</v>
      </c>
      <c r="D18" s="629"/>
      <c r="E18" s="629"/>
      <c r="F18" s="629"/>
      <c r="G18" s="629"/>
      <c r="H18" s="1092">
        <v>4.0800000000000003E-2</v>
      </c>
      <c r="I18" s="629"/>
      <c r="J18" s="629"/>
      <c r="K18" s="629"/>
      <c r="L18" s="629"/>
    </row>
    <row r="19" spans="1:14" ht="12.75" x14ac:dyDescent="0.2">
      <c r="A19" s="629"/>
      <c r="B19" s="629"/>
      <c r="C19" s="1093">
        <v>39760</v>
      </c>
      <c r="D19" s="629"/>
      <c r="E19" s="629"/>
      <c r="F19" s="629"/>
      <c r="G19" s="629"/>
      <c r="H19" s="1092">
        <v>3.6999999999999998E-2</v>
      </c>
      <c r="I19" s="629"/>
      <c r="J19" s="629"/>
      <c r="K19" s="629"/>
      <c r="L19" s="629"/>
    </row>
    <row r="20" spans="1:14" ht="12.75" x14ac:dyDescent="0.2">
      <c r="A20" s="629"/>
      <c r="B20" s="629"/>
      <c r="C20" s="1093">
        <v>39790</v>
      </c>
      <c r="D20" s="629"/>
      <c r="E20" s="629"/>
      <c r="F20" s="629"/>
      <c r="G20" s="629"/>
      <c r="H20" s="1094">
        <v>1.9300000000000001E-2</v>
      </c>
      <c r="I20" s="629"/>
      <c r="J20" s="629"/>
      <c r="K20" s="629"/>
      <c r="L20" s="629"/>
    </row>
    <row r="21" spans="1:14" ht="12.75" x14ac:dyDescent="0.2">
      <c r="A21" s="629"/>
      <c r="B21" s="629"/>
      <c r="C21" s="629"/>
      <c r="D21" s="629"/>
      <c r="E21" s="629"/>
      <c r="F21" s="629"/>
      <c r="G21" s="629"/>
      <c r="H21" s="629"/>
      <c r="I21" s="629"/>
      <c r="J21" s="629"/>
      <c r="K21" s="629"/>
      <c r="L21" s="629"/>
    </row>
    <row r="22" spans="1:14" ht="12.75" x14ac:dyDescent="0.2">
      <c r="A22" s="629"/>
      <c r="B22" s="629"/>
      <c r="C22" s="629"/>
      <c r="D22" s="629"/>
      <c r="E22" s="629"/>
      <c r="F22" s="629"/>
      <c r="G22" s="629"/>
      <c r="H22" s="629">
        <f>SUM(H18:H21)</f>
        <v>9.7100000000000006E-2</v>
      </c>
      <c r="I22" s="765" t="s">
        <v>80</v>
      </c>
      <c r="J22" s="648">
        <f>ROUND(H22/3,4)</f>
        <v>3.2399999999999998E-2</v>
      </c>
      <c r="K22" s="629"/>
      <c r="L22" s="629"/>
    </row>
    <row r="23" spans="1:14" ht="12.75" x14ac:dyDescent="0.2">
      <c r="A23" s="629"/>
      <c r="B23" s="629"/>
      <c r="C23" s="629"/>
      <c r="D23" s="629"/>
      <c r="E23" s="629"/>
      <c r="F23" s="629"/>
      <c r="G23" s="629"/>
      <c r="H23" s="629"/>
      <c r="I23" s="629"/>
      <c r="J23" s="629"/>
      <c r="K23" s="629"/>
      <c r="L23" s="629"/>
    </row>
    <row r="24" spans="1:14" ht="12.75" x14ac:dyDescent="0.2">
      <c r="A24" s="1462"/>
      <c r="B24" s="1462"/>
      <c r="C24" s="1462"/>
      <c r="D24" s="1462"/>
      <c r="E24" s="1462"/>
      <c r="F24" s="1462"/>
      <c r="G24" s="1462"/>
      <c r="H24" s="1462"/>
      <c r="I24" s="1462"/>
      <c r="J24" s="1462"/>
      <c r="K24" s="1462"/>
      <c r="L24" s="1462"/>
      <c r="M24" s="629"/>
      <c r="N24" s="629"/>
    </row>
    <row r="25" spans="1:14" ht="12.75" x14ac:dyDescent="0.2">
      <c r="H25" s="764"/>
    </row>
  </sheetData>
  <mergeCells count="5">
    <mergeCell ref="A24:L24"/>
    <mergeCell ref="A1:L1"/>
    <mergeCell ref="A4:L4"/>
    <mergeCell ref="A3:L3"/>
    <mergeCell ref="A2:L2"/>
  </mergeCells>
  <phoneticPr fontId="0" type="noConversion"/>
  <printOptions horizontalCentered="1"/>
  <pageMargins left="0.25" right="0.25" top="1" bottom="1" header="0.5" footer="0.5"/>
  <pageSetup orientation="portrait" horizontalDpi="300" verticalDpi="30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zoomScaleNormal="100" workbookViewId="0">
      <selection activeCell="C54" sqref="C54"/>
    </sheetView>
  </sheetViews>
  <sheetFormatPr defaultColWidth="9.33203125" defaultRowHeight="10.5" x14ac:dyDescent="0.15"/>
  <cols>
    <col min="1" max="1" width="5.83203125" style="59" customWidth="1"/>
    <col min="2" max="2" width="2.83203125" style="59" customWidth="1"/>
    <col min="3" max="3" width="40.1640625" style="59" bestFit="1" customWidth="1"/>
    <col min="4" max="4" width="18.5" style="59" customWidth="1"/>
    <col min="5" max="5" width="19.6640625" style="59" bestFit="1" customWidth="1"/>
    <col min="6" max="6" width="10.33203125" style="59" customWidth="1"/>
    <col min="7" max="7" width="12.5" style="59" bestFit="1" customWidth="1"/>
    <col min="8" max="8" width="2.83203125" style="59" customWidth="1"/>
    <col min="9" max="9" width="13.5" style="59" bestFit="1" customWidth="1"/>
    <col min="10" max="10" width="2.83203125" style="59" customWidth="1"/>
    <col min="11" max="11" width="14.33203125" style="59" customWidth="1"/>
    <col min="12" max="16384" width="9.33203125" style="59"/>
  </cols>
  <sheetData>
    <row r="1" spans="1:12" ht="12.75" x14ac:dyDescent="0.2">
      <c r="A1" s="1462" t="s">
        <v>477</v>
      </c>
      <c r="B1" s="1462"/>
      <c r="C1" s="1462"/>
      <c r="D1" s="1462"/>
      <c r="E1" s="1462"/>
      <c r="F1" s="1462"/>
      <c r="G1" s="1462"/>
      <c r="H1" s="1462"/>
      <c r="I1" s="1462"/>
      <c r="J1" s="1462"/>
      <c r="K1" s="1462"/>
    </row>
    <row r="2" spans="1:12" ht="12.75" x14ac:dyDescent="0.2">
      <c r="A2" s="1462" t="str">
        <f>+Input!C4</f>
        <v>CASE NO. 2017-xxxxx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</row>
    <row r="3" spans="1:12" ht="12.75" x14ac:dyDescent="0.2">
      <c r="A3" s="1462" t="s">
        <v>128</v>
      </c>
      <c r="B3" s="1462"/>
      <c r="C3" s="1462"/>
      <c r="D3" s="1462"/>
      <c r="E3" s="1462"/>
      <c r="F3" s="1462"/>
      <c r="G3" s="1462"/>
      <c r="H3" s="1462"/>
      <c r="I3" s="1462"/>
      <c r="J3" s="1462"/>
      <c r="K3" s="1462"/>
    </row>
    <row r="4" spans="1:12" ht="12.75" x14ac:dyDescent="0.2">
      <c r="A4" s="1462" t="str">
        <f>+Input!C7</f>
        <v>AS OF DECEMBER 31, 2017</v>
      </c>
      <c r="B4" s="1462"/>
      <c r="C4" s="1462"/>
      <c r="D4" s="1462"/>
      <c r="E4" s="1462"/>
      <c r="F4" s="1462"/>
      <c r="G4" s="1462"/>
      <c r="H4" s="1462"/>
      <c r="I4" s="1462"/>
      <c r="J4" s="1462"/>
      <c r="K4" s="1462"/>
    </row>
    <row r="5" spans="1:12" ht="12.75" x14ac:dyDescent="0.2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</row>
    <row r="6" spans="1:12" ht="12.75" x14ac:dyDescent="0.2">
      <c r="A6" s="634" t="s">
        <v>839</v>
      </c>
      <c r="B6" s="629"/>
      <c r="C6" s="629"/>
      <c r="D6" s="629"/>
      <c r="E6" s="629"/>
      <c r="F6" s="629"/>
      <c r="G6" s="629"/>
      <c r="H6" s="629"/>
      <c r="I6" s="630"/>
      <c r="J6" s="629"/>
      <c r="K6" s="635" t="s">
        <v>154</v>
      </c>
    </row>
    <row r="7" spans="1:12" ht="12.75" x14ac:dyDescent="0.2">
      <c r="A7" s="634" t="s">
        <v>490</v>
      </c>
      <c r="B7" s="629"/>
      <c r="C7" s="629"/>
      <c r="D7" s="629"/>
      <c r="E7" s="629"/>
      <c r="F7" s="629"/>
      <c r="G7" s="629"/>
      <c r="H7" s="629"/>
      <c r="I7" s="630"/>
      <c r="J7" s="629"/>
      <c r="K7" s="635" t="s">
        <v>491</v>
      </c>
    </row>
    <row r="8" spans="1:12" ht="12.75" x14ac:dyDescent="0.2">
      <c r="A8" s="636" t="s">
        <v>840</v>
      </c>
      <c r="B8" s="637"/>
      <c r="C8" s="637"/>
      <c r="D8" s="637"/>
      <c r="E8" s="637"/>
      <c r="F8" s="637"/>
      <c r="G8" s="637"/>
      <c r="H8" s="637"/>
      <c r="I8" s="638"/>
      <c r="J8" s="629"/>
      <c r="K8" s="639" t="str">
        <f>+Input!E33</f>
        <v>WITNESS:  P.  R. MOUL</v>
      </c>
    </row>
    <row r="9" spans="1:12" s="60" customFormat="1" ht="12.75" x14ac:dyDescent="0.2">
      <c r="A9" s="631"/>
      <c r="B9" s="631"/>
      <c r="C9" s="631"/>
      <c r="D9" s="631"/>
      <c r="E9" s="631"/>
      <c r="F9" s="631"/>
      <c r="G9" s="631"/>
      <c r="H9" s="631"/>
      <c r="I9" s="631" t="s">
        <v>148</v>
      </c>
      <c r="J9" s="653"/>
      <c r="K9" s="631" t="s">
        <v>149</v>
      </c>
    </row>
    <row r="10" spans="1:12" s="60" customFormat="1" ht="10.5" customHeight="1" x14ac:dyDescent="0.2">
      <c r="A10" s="631" t="s">
        <v>493</v>
      </c>
      <c r="B10" s="631"/>
      <c r="C10" s="631"/>
      <c r="D10" s="631"/>
      <c r="E10" s="631" t="s">
        <v>1248</v>
      </c>
      <c r="F10" s="631"/>
      <c r="G10" s="631" t="s">
        <v>150</v>
      </c>
      <c r="H10" s="631"/>
      <c r="I10" s="631" t="s">
        <v>151</v>
      </c>
      <c r="J10" s="631"/>
      <c r="K10" s="631" t="s">
        <v>150</v>
      </c>
    </row>
    <row r="11" spans="1:12" s="60" customFormat="1" ht="10.5" customHeight="1" x14ac:dyDescent="0.2">
      <c r="A11" s="640" t="s">
        <v>496</v>
      </c>
      <c r="B11" s="640"/>
      <c r="C11" s="640" t="s">
        <v>152</v>
      </c>
      <c r="D11" s="640"/>
      <c r="E11" s="640" t="s">
        <v>1594</v>
      </c>
      <c r="F11" s="640"/>
      <c r="G11" s="640" t="s">
        <v>1442</v>
      </c>
      <c r="H11" s="640"/>
      <c r="I11" s="640" t="s">
        <v>1371</v>
      </c>
      <c r="J11" s="640"/>
      <c r="K11" s="640" t="s">
        <v>1442</v>
      </c>
    </row>
    <row r="12" spans="1:12" s="60" customFormat="1" ht="12.75" x14ac:dyDescent="0.2">
      <c r="A12" s="635"/>
      <c r="B12" s="631"/>
      <c r="C12" s="631" t="s">
        <v>1746</v>
      </c>
      <c r="D12" s="631"/>
      <c r="E12" s="631" t="s">
        <v>1747</v>
      </c>
      <c r="F12" s="631"/>
      <c r="G12" s="631" t="s">
        <v>1748</v>
      </c>
      <c r="H12" s="631"/>
      <c r="I12" s="631" t="s">
        <v>1749</v>
      </c>
      <c r="J12" s="631"/>
      <c r="K12" s="631" t="s">
        <v>155</v>
      </c>
    </row>
    <row r="13" spans="1:12" ht="12.75" x14ac:dyDescent="0.2">
      <c r="A13" s="635"/>
      <c r="B13" s="629"/>
      <c r="C13" s="629"/>
      <c r="D13" s="629"/>
      <c r="E13" s="631" t="s">
        <v>500</v>
      </c>
      <c r="F13" s="629"/>
      <c r="G13" s="642" t="s">
        <v>138</v>
      </c>
      <c r="H13" s="629"/>
      <c r="I13" s="631" t="s">
        <v>500</v>
      </c>
      <c r="J13" s="629"/>
      <c r="K13" s="642" t="s">
        <v>138</v>
      </c>
    </row>
    <row r="14" spans="1:12" ht="12.75" x14ac:dyDescent="0.2">
      <c r="A14" s="635"/>
      <c r="B14" s="629"/>
      <c r="C14" s="629"/>
      <c r="D14" s="629"/>
      <c r="E14" s="629"/>
      <c r="F14" s="629"/>
      <c r="G14" s="629"/>
      <c r="H14" s="629"/>
      <c r="I14" s="629"/>
      <c r="J14" s="629"/>
      <c r="K14" s="629"/>
    </row>
    <row r="15" spans="1:12" ht="12.75" x14ac:dyDescent="0.2">
      <c r="A15" s="631">
        <v>1</v>
      </c>
      <c r="B15" s="629"/>
      <c r="C15" s="629" t="s">
        <v>156</v>
      </c>
      <c r="D15" s="629"/>
      <c r="E15" s="720">
        <v>14720000</v>
      </c>
      <c r="F15" s="721"/>
      <c r="G15" s="1092">
        <v>5.28E-2</v>
      </c>
      <c r="H15" s="629"/>
      <c r="I15" s="647">
        <f t="shared" ref="I15:I24" si="0">(E15*G15)</f>
        <v>777216</v>
      </c>
      <c r="J15" s="629"/>
      <c r="K15" s="629"/>
      <c r="L15" s="62"/>
    </row>
    <row r="16" spans="1:12" ht="12.75" x14ac:dyDescent="0.2">
      <c r="A16" s="631">
        <f>A15+1</f>
        <v>2</v>
      </c>
      <c r="B16" s="629"/>
      <c r="C16" s="629" t="s">
        <v>156</v>
      </c>
      <c r="D16" s="629"/>
      <c r="E16" s="720">
        <v>10750000</v>
      </c>
      <c r="F16" s="721"/>
      <c r="G16" s="1092">
        <v>5.4100000000000002E-2</v>
      </c>
      <c r="H16" s="629"/>
      <c r="I16" s="647">
        <f t="shared" si="0"/>
        <v>581575</v>
      </c>
      <c r="J16" s="629"/>
      <c r="K16" s="629"/>
      <c r="L16" s="62"/>
    </row>
    <row r="17" spans="1:12" ht="12.75" x14ac:dyDescent="0.2">
      <c r="A17" s="631">
        <f>A16+1</f>
        <v>3</v>
      </c>
      <c r="B17" s="629"/>
      <c r="C17" s="629" t="s">
        <v>156</v>
      </c>
      <c r="D17" s="629"/>
      <c r="E17" s="720">
        <v>4210000</v>
      </c>
      <c r="F17" s="721"/>
      <c r="G17" s="1092">
        <v>5.45E-2</v>
      </c>
      <c r="H17" s="629"/>
      <c r="I17" s="647">
        <f t="shared" si="0"/>
        <v>229445</v>
      </c>
      <c r="J17" s="629"/>
      <c r="K17" s="629"/>
      <c r="L17" s="62"/>
    </row>
    <row r="18" spans="1:12" ht="12.75" x14ac:dyDescent="0.2">
      <c r="A18" s="631">
        <f>A17+1</f>
        <v>4</v>
      </c>
      <c r="B18" s="629"/>
      <c r="C18" s="629" t="s">
        <v>156</v>
      </c>
      <c r="D18" s="629"/>
      <c r="E18" s="720">
        <v>12375000</v>
      </c>
      <c r="F18" s="721"/>
      <c r="G18" s="1092">
        <v>5.9200000000000003E-2</v>
      </c>
      <c r="H18" s="629"/>
      <c r="I18" s="647">
        <f t="shared" si="0"/>
        <v>732600</v>
      </c>
      <c r="J18" s="629"/>
      <c r="K18" s="629"/>
      <c r="L18" s="62"/>
    </row>
    <row r="19" spans="1:12" ht="12.75" x14ac:dyDescent="0.2">
      <c r="A19" s="631">
        <f>A18+1</f>
        <v>5</v>
      </c>
      <c r="B19" s="629"/>
      <c r="C19" s="629" t="s">
        <v>156</v>
      </c>
      <c r="D19" s="629"/>
      <c r="E19" s="720">
        <v>16000000</v>
      </c>
      <c r="F19" s="721"/>
      <c r="G19" s="1092">
        <v>6.0150000000000002E-2</v>
      </c>
      <c r="H19" s="629"/>
      <c r="I19" s="647">
        <f t="shared" si="0"/>
        <v>962400</v>
      </c>
      <c r="J19" s="629"/>
      <c r="K19" s="629"/>
      <c r="L19" s="62"/>
    </row>
    <row r="20" spans="1:12" ht="12.75" x14ac:dyDescent="0.2">
      <c r="A20" s="631">
        <f>A19+1</f>
        <v>6</v>
      </c>
      <c r="B20" s="629"/>
      <c r="C20" s="629" t="s">
        <v>156</v>
      </c>
      <c r="D20" s="629"/>
      <c r="E20" s="1237">
        <v>14000000</v>
      </c>
      <c r="F20" s="721"/>
      <c r="G20" s="1092">
        <v>5.5300000000000002E-2</v>
      </c>
      <c r="H20" s="629"/>
      <c r="I20" s="658">
        <f t="shared" si="0"/>
        <v>774200</v>
      </c>
      <c r="J20" s="629"/>
      <c r="K20" s="629"/>
      <c r="L20" s="62"/>
    </row>
    <row r="21" spans="1:12" ht="12.75" x14ac:dyDescent="0.2">
      <c r="A21" s="631"/>
      <c r="B21" s="629"/>
      <c r="C21" s="629"/>
      <c r="D21" s="629"/>
      <c r="E21" s="720"/>
      <c r="F21" s="721"/>
      <c r="G21" s="1092"/>
      <c r="H21" s="629"/>
      <c r="I21" s="647"/>
      <c r="J21" s="629"/>
      <c r="K21" s="629"/>
      <c r="L21" s="62"/>
    </row>
    <row r="22" spans="1:12" ht="12.75" x14ac:dyDescent="0.2">
      <c r="A22" s="631">
        <v>5</v>
      </c>
      <c r="B22" s="629"/>
      <c r="C22" s="629" t="s">
        <v>787</v>
      </c>
      <c r="D22" s="629"/>
      <c r="E22" s="644">
        <f>SUM(E15:E20)</f>
        <v>72055000</v>
      </c>
      <c r="F22" s="721"/>
      <c r="G22" s="1092"/>
      <c r="H22" s="629"/>
      <c r="I22" s="647">
        <f>SUM(I15:I20)</f>
        <v>4057436</v>
      </c>
      <c r="J22" s="629"/>
      <c r="K22" s="648">
        <f>I22/E22</f>
        <v>5.6310262993546599E-2</v>
      </c>
      <c r="L22" s="62"/>
    </row>
    <row r="23" spans="1:12" ht="12.75" x14ac:dyDescent="0.2">
      <c r="A23" s="631"/>
      <c r="B23" s="629"/>
      <c r="C23" s="629"/>
      <c r="D23" s="629"/>
      <c r="E23" s="720"/>
      <c r="F23" s="721"/>
      <c r="G23" s="1092"/>
      <c r="H23" s="629"/>
      <c r="I23" s="647"/>
      <c r="J23" s="629"/>
      <c r="K23" s="629"/>
      <c r="L23" s="62"/>
    </row>
    <row r="24" spans="1:12" ht="12.75" x14ac:dyDescent="0.2">
      <c r="A24" s="631">
        <f>A22+1</f>
        <v>6</v>
      </c>
      <c r="B24" s="629"/>
      <c r="C24" s="629" t="s">
        <v>788</v>
      </c>
      <c r="D24" s="90" t="s">
        <v>222</v>
      </c>
      <c r="E24" s="1237">
        <v>5313041</v>
      </c>
      <c r="F24" s="721"/>
      <c r="G24" s="1092">
        <v>7.4399999999999994E-2</v>
      </c>
      <c r="H24" s="629"/>
      <c r="I24" s="658">
        <f t="shared" si="0"/>
        <v>395290.25039999996</v>
      </c>
      <c r="J24" s="629"/>
      <c r="K24" s="629"/>
      <c r="L24" s="62"/>
    </row>
    <row r="25" spans="1:12" ht="12.75" x14ac:dyDescent="0.2">
      <c r="A25" s="631"/>
      <c r="B25" s="629"/>
      <c r="C25" s="629"/>
      <c r="D25" s="629"/>
      <c r="E25" s="720"/>
      <c r="F25" s="721"/>
      <c r="G25" s="1092"/>
      <c r="H25" s="629"/>
      <c r="I25" s="647"/>
      <c r="J25" s="629"/>
      <c r="K25" s="629"/>
      <c r="L25" s="62"/>
    </row>
    <row r="26" spans="1:12" ht="13.5" thickBot="1" x14ac:dyDescent="0.25">
      <c r="A26" s="631">
        <f>A24+1</f>
        <v>7</v>
      </c>
      <c r="B26" s="629"/>
      <c r="C26" s="629" t="s">
        <v>157</v>
      </c>
      <c r="D26" s="629"/>
      <c r="E26" s="1238">
        <f>E22+E24</f>
        <v>77368041</v>
      </c>
      <c r="F26" s="643"/>
      <c r="G26" s="643"/>
      <c r="H26" s="629"/>
      <c r="I26" s="659">
        <f>I24+I22</f>
        <v>4452726.2504000003</v>
      </c>
      <c r="J26" s="629"/>
      <c r="K26" s="660">
        <f>I26/E26</f>
        <v>5.7552526764895084E-2</v>
      </c>
    </row>
    <row r="27" spans="1:12" ht="13.5" thickTop="1" x14ac:dyDescent="0.2">
      <c r="A27" s="635"/>
      <c r="B27" s="629"/>
      <c r="C27" s="629"/>
      <c r="D27" s="629"/>
      <c r="E27" s="629"/>
      <c r="F27" s="629"/>
      <c r="G27" s="629"/>
      <c r="H27" s="629"/>
      <c r="I27" s="629"/>
      <c r="J27" s="629"/>
      <c r="K27" s="629"/>
    </row>
    <row r="28" spans="1:12" ht="12.75" x14ac:dyDescent="0.2">
      <c r="A28" s="635"/>
      <c r="B28" s="629"/>
      <c r="C28" s="629"/>
      <c r="D28" s="629"/>
      <c r="E28" s="629"/>
      <c r="F28" s="629"/>
      <c r="G28" s="629"/>
      <c r="H28" s="629"/>
      <c r="I28" s="629"/>
      <c r="J28" s="629"/>
      <c r="K28" s="629"/>
    </row>
    <row r="29" spans="1:12" ht="12.75" x14ac:dyDescent="0.2">
      <c r="A29" s="635"/>
      <c r="B29" s="629"/>
      <c r="C29" s="629"/>
      <c r="D29" s="629"/>
      <c r="E29" s="629"/>
      <c r="F29" s="629"/>
      <c r="G29" s="629"/>
      <c r="H29" s="629"/>
      <c r="I29" s="629"/>
      <c r="J29" s="629"/>
      <c r="K29" s="629"/>
    </row>
    <row r="30" spans="1:12" ht="12.75" x14ac:dyDescent="0.2">
      <c r="A30" s="635"/>
      <c r="B30" s="629"/>
      <c r="C30" s="629" t="s">
        <v>1598</v>
      </c>
      <c r="D30" s="629"/>
      <c r="E30" s="629"/>
      <c r="F30" s="629"/>
      <c r="G30" s="629"/>
      <c r="H30" s="629"/>
      <c r="I30" s="629"/>
      <c r="J30" s="629"/>
      <c r="K30" s="629"/>
    </row>
    <row r="31" spans="1:12" ht="12.75" x14ac:dyDescent="0.2">
      <c r="A31" s="635"/>
      <c r="B31" s="629"/>
      <c r="C31" s="629" t="s">
        <v>233</v>
      </c>
      <c r="D31" s="629"/>
      <c r="E31" s="629"/>
      <c r="F31" s="629"/>
      <c r="G31" s="629"/>
      <c r="H31" s="629"/>
      <c r="I31" s="629"/>
      <c r="J31" s="629"/>
      <c r="K31" s="629"/>
    </row>
    <row r="32" spans="1:12" ht="11.25" x14ac:dyDescent="0.2">
      <c r="A32" s="651"/>
      <c r="B32" s="630"/>
      <c r="C32" s="630"/>
      <c r="D32" s="630"/>
      <c r="E32" s="630"/>
      <c r="F32" s="630"/>
      <c r="G32" s="630"/>
      <c r="H32" s="630"/>
      <c r="I32" s="630"/>
      <c r="J32" s="630"/>
      <c r="K32" s="630"/>
    </row>
    <row r="33" spans="1:11" ht="11.25" x14ac:dyDescent="0.2">
      <c r="A33" s="651"/>
      <c r="B33" s="630"/>
      <c r="C33" s="630"/>
      <c r="D33" s="630"/>
      <c r="E33" s="630"/>
      <c r="F33" s="630"/>
      <c r="G33" s="630"/>
      <c r="H33" s="630"/>
      <c r="I33" s="630"/>
      <c r="J33" s="630"/>
      <c r="K33" s="630"/>
    </row>
    <row r="34" spans="1:11" ht="11.25" x14ac:dyDescent="0.2">
      <c r="A34" s="630"/>
      <c r="B34" s="630"/>
      <c r="C34" s="630"/>
      <c r="D34" s="630"/>
      <c r="E34" s="630"/>
      <c r="F34" s="630"/>
      <c r="G34" s="630"/>
      <c r="H34" s="630"/>
      <c r="I34" s="630"/>
      <c r="J34" s="630"/>
      <c r="K34" s="630"/>
    </row>
    <row r="35" spans="1:11" ht="11.25" x14ac:dyDescent="0.2">
      <c r="A35" s="630"/>
      <c r="B35" s="630"/>
      <c r="C35" s="630"/>
      <c r="D35" s="630"/>
      <c r="E35" s="630"/>
      <c r="F35" s="630"/>
      <c r="G35" s="630"/>
      <c r="H35" s="630"/>
      <c r="I35" s="630"/>
      <c r="J35" s="630"/>
      <c r="K35" s="630"/>
    </row>
    <row r="36" spans="1:11" ht="11.25" x14ac:dyDescent="0.2">
      <c r="A36" s="630"/>
      <c r="B36" s="630"/>
      <c r="C36" s="630"/>
      <c r="D36" s="630"/>
      <c r="E36" s="630"/>
      <c r="F36" s="630"/>
      <c r="G36" s="630"/>
      <c r="H36" s="630"/>
      <c r="I36" s="630"/>
      <c r="J36" s="630"/>
      <c r="K36" s="630"/>
    </row>
    <row r="37" spans="1:11" ht="11.25" x14ac:dyDescent="0.2">
      <c r="A37" s="630"/>
      <c r="B37" s="630"/>
      <c r="C37" s="630"/>
      <c r="D37" s="630"/>
      <c r="E37" s="630"/>
      <c r="F37" s="630"/>
      <c r="G37" s="630"/>
      <c r="H37" s="630"/>
      <c r="I37" s="630"/>
      <c r="J37" s="630"/>
      <c r="K37" s="630"/>
    </row>
    <row r="38" spans="1:11" ht="11.25" x14ac:dyDescent="0.2">
      <c r="A38" s="630"/>
      <c r="B38" s="630"/>
      <c r="C38" s="630"/>
      <c r="D38" s="630"/>
      <c r="E38" s="630"/>
      <c r="F38" s="630"/>
      <c r="G38" s="630"/>
      <c r="H38" s="630"/>
      <c r="I38" s="630"/>
      <c r="J38" s="630"/>
      <c r="K38" s="630"/>
    </row>
    <row r="39" spans="1:11" ht="11.25" x14ac:dyDescent="0.2">
      <c r="A39" s="630"/>
      <c r="B39" s="630"/>
      <c r="C39" s="630"/>
      <c r="D39" s="630"/>
      <c r="E39" s="630"/>
      <c r="F39" s="630"/>
      <c r="G39" s="630"/>
      <c r="H39" s="630"/>
      <c r="I39" s="630"/>
      <c r="J39" s="630"/>
      <c r="K39" s="630"/>
    </row>
    <row r="40" spans="1:11" ht="11.25" x14ac:dyDescent="0.2">
      <c r="A40" s="630"/>
      <c r="B40" s="630"/>
      <c r="C40" s="630"/>
      <c r="D40" s="630"/>
      <c r="E40" s="630"/>
      <c r="F40" s="630"/>
      <c r="G40" s="630"/>
      <c r="H40" s="630"/>
      <c r="I40" s="630"/>
      <c r="J40" s="630"/>
      <c r="K40" s="630"/>
    </row>
    <row r="41" spans="1:11" ht="11.25" x14ac:dyDescent="0.2">
      <c r="A41" s="630"/>
      <c r="B41" s="630"/>
      <c r="C41" s="630"/>
      <c r="D41" s="630"/>
      <c r="E41" s="630"/>
      <c r="F41" s="630"/>
      <c r="G41" s="630"/>
      <c r="H41" s="630"/>
      <c r="I41" s="630"/>
      <c r="J41" s="630"/>
      <c r="K41" s="630"/>
    </row>
    <row r="42" spans="1:11" ht="11.25" x14ac:dyDescent="0.2">
      <c r="A42" s="630"/>
      <c r="B42" s="630"/>
      <c r="C42" s="630"/>
      <c r="D42" s="630"/>
      <c r="E42" s="630"/>
      <c r="F42" s="630"/>
      <c r="G42" s="630"/>
      <c r="H42" s="630"/>
      <c r="I42" s="630"/>
      <c r="J42" s="630"/>
      <c r="K42" s="630"/>
    </row>
    <row r="43" spans="1:11" ht="11.25" x14ac:dyDescent="0.2">
      <c r="A43" s="630"/>
      <c r="B43" s="630"/>
      <c r="C43" s="630"/>
      <c r="D43" s="630"/>
      <c r="E43" s="630"/>
      <c r="F43" s="630"/>
      <c r="G43" s="630"/>
      <c r="H43" s="630"/>
      <c r="I43" s="630"/>
      <c r="J43" s="630"/>
      <c r="K43" s="630"/>
    </row>
    <row r="44" spans="1:11" ht="11.25" x14ac:dyDescent="0.2">
      <c r="A44" s="630"/>
      <c r="B44" s="630"/>
      <c r="C44" s="630"/>
      <c r="D44" s="630"/>
      <c r="E44" s="630"/>
      <c r="F44" s="630"/>
      <c r="G44" s="630"/>
      <c r="H44" s="630"/>
      <c r="I44" s="630"/>
      <c r="J44" s="630"/>
      <c r="K44" s="630"/>
    </row>
    <row r="45" spans="1:11" ht="11.25" x14ac:dyDescent="0.2">
      <c r="A45" s="630"/>
      <c r="B45" s="630"/>
      <c r="C45" s="630"/>
      <c r="D45" s="630"/>
      <c r="E45" s="630"/>
      <c r="F45" s="630"/>
      <c r="G45" s="630"/>
      <c r="H45" s="630"/>
      <c r="I45" s="630"/>
      <c r="J45" s="630"/>
      <c r="K45" s="630"/>
    </row>
    <row r="46" spans="1:11" ht="11.25" x14ac:dyDescent="0.2">
      <c r="A46" s="630"/>
      <c r="B46" s="630"/>
      <c r="C46" s="630"/>
      <c r="D46" s="630"/>
      <c r="E46" s="630"/>
      <c r="F46" s="630"/>
      <c r="G46" s="630"/>
      <c r="H46" s="630"/>
      <c r="I46" s="630"/>
      <c r="J46" s="630"/>
      <c r="K46" s="630"/>
    </row>
    <row r="47" spans="1:11" ht="11.25" x14ac:dyDescent="0.2">
      <c r="A47" s="630"/>
      <c r="B47" s="630"/>
      <c r="C47" s="630"/>
      <c r="D47" s="630"/>
      <c r="E47" s="630"/>
      <c r="F47" s="630"/>
      <c r="G47" s="630"/>
      <c r="H47" s="630"/>
      <c r="I47" s="630"/>
      <c r="J47" s="630"/>
      <c r="K47" s="630"/>
    </row>
    <row r="48" spans="1:11" ht="11.25" x14ac:dyDescent="0.2">
      <c r="A48" s="630"/>
      <c r="B48" s="630"/>
      <c r="C48" s="630"/>
      <c r="D48" s="630"/>
      <c r="E48" s="630"/>
      <c r="F48" s="630"/>
      <c r="G48" s="630"/>
      <c r="H48" s="630"/>
      <c r="I48" s="630"/>
      <c r="J48" s="630"/>
      <c r="K48" s="630"/>
    </row>
    <row r="49" spans="1:11" ht="11.25" x14ac:dyDescent="0.2">
      <c r="A49" s="630"/>
      <c r="B49" s="630"/>
      <c r="C49" s="630"/>
      <c r="D49" s="630"/>
      <c r="E49" s="630"/>
      <c r="F49" s="630"/>
      <c r="G49" s="630"/>
      <c r="H49" s="630"/>
      <c r="I49" s="630"/>
      <c r="J49" s="630"/>
      <c r="K49" s="630"/>
    </row>
    <row r="50" spans="1:11" ht="11.25" x14ac:dyDescent="0.2">
      <c r="A50" s="630"/>
      <c r="B50" s="630"/>
      <c r="C50" s="630"/>
      <c r="D50" s="630"/>
      <c r="E50" s="630"/>
      <c r="F50" s="630"/>
      <c r="G50" s="630"/>
      <c r="H50" s="630"/>
      <c r="I50" s="630"/>
      <c r="J50" s="630"/>
      <c r="K50" s="630"/>
    </row>
    <row r="51" spans="1:11" ht="11.25" x14ac:dyDescent="0.2">
      <c r="A51" s="630"/>
      <c r="B51" s="630"/>
      <c r="C51" s="630"/>
      <c r="D51" s="630"/>
      <c r="E51" s="630"/>
      <c r="F51" s="630"/>
      <c r="G51" s="630"/>
      <c r="H51" s="630"/>
      <c r="I51" s="630"/>
      <c r="J51" s="630"/>
      <c r="K51" s="630"/>
    </row>
    <row r="52" spans="1:11" ht="11.25" x14ac:dyDescent="0.2">
      <c r="A52" s="630"/>
      <c r="B52" s="630"/>
      <c r="C52" s="630"/>
      <c r="D52" s="630"/>
      <c r="E52" s="630"/>
      <c r="F52" s="630"/>
      <c r="G52" s="630"/>
      <c r="H52" s="630"/>
      <c r="I52" s="630"/>
      <c r="J52" s="630"/>
      <c r="K52" s="630"/>
    </row>
    <row r="53" spans="1:11" ht="11.25" x14ac:dyDescent="0.2">
      <c r="A53" s="630"/>
      <c r="B53" s="630"/>
      <c r="C53" s="630"/>
      <c r="D53" s="630"/>
      <c r="E53" s="630"/>
      <c r="F53" s="630"/>
      <c r="G53" s="630"/>
      <c r="H53" s="630"/>
      <c r="I53" s="630"/>
      <c r="J53" s="630"/>
      <c r="K53" s="630"/>
    </row>
    <row r="54" spans="1:11" ht="11.25" x14ac:dyDescent="0.2">
      <c r="A54" s="630"/>
      <c r="B54" s="630"/>
      <c r="C54" s="630"/>
      <c r="D54" s="630"/>
      <c r="E54" s="630"/>
      <c r="F54" s="630"/>
      <c r="G54" s="630"/>
      <c r="H54" s="630"/>
      <c r="I54" s="630"/>
      <c r="J54" s="630"/>
      <c r="K54" s="630"/>
    </row>
    <row r="55" spans="1:11" ht="11.25" x14ac:dyDescent="0.2">
      <c r="A55" s="630"/>
      <c r="B55" s="630"/>
      <c r="C55" s="630"/>
      <c r="D55" s="630"/>
      <c r="E55" s="630"/>
      <c r="F55" s="630"/>
      <c r="G55" s="630"/>
      <c r="H55" s="630"/>
      <c r="I55" s="630"/>
      <c r="J55" s="630"/>
      <c r="K55" s="630"/>
    </row>
    <row r="56" spans="1:11" ht="11.25" x14ac:dyDescent="0.2">
      <c r="A56" s="630"/>
      <c r="B56" s="630"/>
      <c r="C56" s="630"/>
      <c r="D56" s="630"/>
      <c r="E56" s="630"/>
      <c r="F56" s="630"/>
      <c r="G56" s="630"/>
      <c r="H56" s="630"/>
      <c r="I56" s="630"/>
      <c r="J56" s="630"/>
      <c r="K56" s="630"/>
    </row>
    <row r="57" spans="1:11" ht="11.25" x14ac:dyDescent="0.2">
      <c r="A57" s="630"/>
      <c r="B57" s="630"/>
      <c r="C57" s="630"/>
      <c r="D57" s="630"/>
      <c r="E57" s="630"/>
      <c r="F57" s="630"/>
      <c r="G57" s="630"/>
      <c r="H57" s="630"/>
      <c r="I57" s="630"/>
      <c r="J57" s="630"/>
      <c r="K57" s="630"/>
    </row>
    <row r="58" spans="1:11" ht="11.25" x14ac:dyDescent="0.2">
      <c r="A58" s="630"/>
      <c r="B58" s="630"/>
      <c r="C58" s="630"/>
      <c r="D58" s="630"/>
      <c r="E58" s="630"/>
      <c r="F58" s="630"/>
      <c r="G58" s="630"/>
      <c r="H58" s="630"/>
      <c r="I58" s="630"/>
      <c r="J58" s="630"/>
      <c r="K58" s="630"/>
    </row>
    <row r="59" spans="1:11" ht="11.25" x14ac:dyDescent="0.2">
      <c r="A59" s="630"/>
      <c r="B59" s="630"/>
      <c r="C59" s="630"/>
      <c r="D59" s="630"/>
      <c r="E59" s="630"/>
      <c r="F59" s="630"/>
      <c r="G59" s="630"/>
      <c r="H59" s="630"/>
      <c r="I59" s="630"/>
      <c r="J59" s="630"/>
      <c r="K59" s="630"/>
    </row>
    <row r="60" spans="1:11" ht="11.25" x14ac:dyDescent="0.2">
      <c r="A60" s="630"/>
      <c r="B60" s="630"/>
      <c r="C60" s="630"/>
      <c r="D60" s="630"/>
      <c r="E60" s="630"/>
      <c r="F60" s="630"/>
      <c r="G60" s="630"/>
      <c r="H60" s="630"/>
      <c r="I60" s="630"/>
      <c r="J60" s="630"/>
      <c r="K60" s="630"/>
    </row>
    <row r="61" spans="1:11" ht="11.25" x14ac:dyDescent="0.2">
      <c r="A61" s="630"/>
      <c r="B61" s="630"/>
      <c r="C61" s="630"/>
      <c r="D61" s="630"/>
      <c r="E61" s="630"/>
      <c r="F61" s="630"/>
      <c r="G61" s="630"/>
      <c r="H61" s="630"/>
      <c r="I61" s="630"/>
      <c r="J61" s="630"/>
      <c r="K61" s="630"/>
    </row>
    <row r="62" spans="1:11" ht="11.25" x14ac:dyDescent="0.2">
      <c r="A62" s="630"/>
      <c r="B62" s="630"/>
      <c r="C62" s="630"/>
      <c r="D62" s="630"/>
      <c r="E62" s="630"/>
      <c r="F62" s="630"/>
      <c r="G62" s="630"/>
      <c r="H62" s="630"/>
      <c r="I62" s="630"/>
      <c r="J62" s="630"/>
      <c r="K62" s="630"/>
    </row>
    <row r="63" spans="1:11" ht="11.25" x14ac:dyDescent="0.2">
      <c r="A63" s="630"/>
      <c r="B63" s="630"/>
      <c r="C63" s="630"/>
      <c r="D63" s="630"/>
      <c r="E63" s="630"/>
      <c r="F63" s="630"/>
      <c r="G63" s="630"/>
      <c r="H63" s="630"/>
      <c r="I63" s="630"/>
      <c r="J63" s="630"/>
      <c r="K63" s="630"/>
    </row>
    <row r="64" spans="1:11" ht="11.25" x14ac:dyDescent="0.2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</row>
    <row r="65" spans="1:11" ht="11.25" x14ac:dyDescent="0.2">
      <c r="A65" s="630"/>
      <c r="B65" s="630"/>
      <c r="C65" s="630"/>
      <c r="D65" s="630"/>
      <c r="E65" s="630"/>
      <c r="F65" s="630"/>
      <c r="G65" s="630"/>
      <c r="H65" s="630"/>
      <c r="I65" s="630"/>
      <c r="J65" s="630"/>
      <c r="K65" s="630"/>
    </row>
    <row r="66" spans="1:11" ht="11.25" x14ac:dyDescent="0.2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</row>
    <row r="67" spans="1:11" ht="11.25" x14ac:dyDescent="0.2">
      <c r="A67" s="630"/>
      <c r="B67" s="630"/>
      <c r="C67" s="630"/>
      <c r="D67" s="630"/>
      <c r="E67" s="630"/>
      <c r="F67" s="630"/>
      <c r="G67" s="630"/>
      <c r="H67" s="630"/>
      <c r="I67" s="630"/>
      <c r="J67" s="630"/>
      <c r="K67" s="630"/>
    </row>
    <row r="68" spans="1:11" ht="11.25" x14ac:dyDescent="0.2">
      <c r="A68" s="630"/>
      <c r="B68" s="630"/>
      <c r="C68" s="630"/>
      <c r="D68" s="630"/>
      <c r="E68" s="630"/>
      <c r="F68" s="630"/>
      <c r="G68" s="630"/>
      <c r="H68" s="630"/>
      <c r="I68" s="630"/>
      <c r="J68" s="630"/>
      <c r="K68" s="630"/>
    </row>
    <row r="69" spans="1:11" ht="11.25" x14ac:dyDescent="0.2">
      <c r="A69" s="630"/>
      <c r="B69" s="630"/>
      <c r="C69" s="630"/>
      <c r="D69" s="630"/>
      <c r="E69" s="630"/>
      <c r="F69" s="630"/>
      <c r="G69" s="630"/>
      <c r="H69" s="630"/>
      <c r="I69" s="630"/>
      <c r="J69" s="630"/>
      <c r="K69" s="630"/>
    </row>
    <row r="70" spans="1:11" ht="11.25" x14ac:dyDescent="0.2">
      <c r="A70" s="630"/>
      <c r="B70" s="630"/>
      <c r="C70" s="630"/>
      <c r="D70" s="630"/>
      <c r="E70" s="630"/>
      <c r="F70" s="630"/>
      <c r="G70" s="630"/>
      <c r="H70" s="630"/>
      <c r="I70" s="630"/>
      <c r="J70" s="630"/>
      <c r="K70" s="630"/>
    </row>
    <row r="71" spans="1:11" ht="11.25" x14ac:dyDescent="0.2">
      <c r="A71" s="630"/>
      <c r="B71" s="630"/>
      <c r="C71" s="630"/>
      <c r="D71" s="630"/>
      <c r="E71" s="630"/>
      <c r="F71" s="630"/>
      <c r="G71" s="630"/>
      <c r="H71" s="630"/>
      <c r="I71" s="630"/>
      <c r="J71" s="630"/>
      <c r="K71" s="630"/>
    </row>
    <row r="72" spans="1:11" ht="11.25" x14ac:dyDescent="0.2">
      <c r="A72" s="630"/>
      <c r="B72" s="630"/>
      <c r="C72" s="630"/>
      <c r="D72" s="630"/>
      <c r="E72" s="630"/>
      <c r="F72" s="630"/>
      <c r="G72" s="630"/>
      <c r="H72" s="630"/>
      <c r="I72" s="630"/>
      <c r="J72" s="630"/>
      <c r="K72" s="630"/>
    </row>
    <row r="73" spans="1:11" ht="11.25" x14ac:dyDescent="0.2">
      <c r="A73" s="630"/>
      <c r="B73" s="630"/>
      <c r="C73" s="630"/>
      <c r="D73" s="630"/>
      <c r="E73" s="630"/>
      <c r="F73" s="630"/>
      <c r="G73" s="630"/>
      <c r="H73" s="630"/>
      <c r="I73" s="630"/>
      <c r="J73" s="630"/>
      <c r="K73" s="630"/>
    </row>
    <row r="74" spans="1:11" ht="11.25" x14ac:dyDescent="0.2">
      <c r="A74" s="630"/>
      <c r="B74" s="630"/>
      <c r="C74" s="630"/>
      <c r="D74" s="630"/>
      <c r="E74" s="630"/>
      <c r="F74" s="630"/>
      <c r="G74" s="630"/>
      <c r="H74" s="630"/>
      <c r="I74" s="630"/>
      <c r="J74" s="630"/>
      <c r="K74" s="630"/>
    </row>
    <row r="75" spans="1:11" ht="11.25" x14ac:dyDescent="0.2">
      <c r="A75" s="630"/>
      <c r="B75" s="630"/>
      <c r="C75" s="630"/>
      <c r="D75" s="630"/>
      <c r="E75" s="630"/>
      <c r="F75" s="630"/>
      <c r="G75" s="630"/>
      <c r="H75" s="630"/>
      <c r="I75" s="630"/>
      <c r="J75" s="630"/>
      <c r="K75" s="630"/>
    </row>
    <row r="76" spans="1:11" ht="11.25" x14ac:dyDescent="0.2">
      <c r="A76" s="630"/>
      <c r="B76" s="630"/>
      <c r="C76" s="630"/>
      <c r="D76" s="630"/>
      <c r="E76" s="630"/>
      <c r="F76" s="630"/>
      <c r="G76" s="630"/>
      <c r="H76" s="630"/>
      <c r="I76" s="630"/>
      <c r="J76" s="630"/>
      <c r="K76" s="630"/>
    </row>
    <row r="77" spans="1:11" ht="11.25" x14ac:dyDescent="0.2">
      <c r="A77" s="630"/>
      <c r="B77" s="630"/>
      <c r="C77" s="630"/>
      <c r="D77" s="630"/>
      <c r="E77" s="630"/>
      <c r="F77" s="630"/>
      <c r="G77" s="630"/>
      <c r="H77" s="630"/>
      <c r="I77" s="630"/>
      <c r="J77" s="630"/>
      <c r="K77" s="630"/>
    </row>
    <row r="78" spans="1:11" ht="11.25" x14ac:dyDescent="0.2">
      <c r="A78" s="630"/>
      <c r="B78" s="630"/>
      <c r="C78" s="630"/>
      <c r="D78" s="630"/>
      <c r="E78" s="630"/>
      <c r="F78" s="630"/>
      <c r="G78" s="630"/>
      <c r="H78" s="630"/>
      <c r="I78" s="630"/>
      <c r="J78" s="630"/>
      <c r="K78" s="630"/>
    </row>
    <row r="79" spans="1:11" ht="11.25" x14ac:dyDescent="0.2">
      <c r="A79" s="630"/>
      <c r="B79" s="630"/>
      <c r="C79" s="630"/>
      <c r="D79" s="630"/>
      <c r="E79" s="630"/>
      <c r="F79" s="630"/>
      <c r="G79" s="630"/>
      <c r="H79" s="630"/>
      <c r="I79" s="630"/>
      <c r="J79" s="630"/>
      <c r="K79" s="630"/>
    </row>
    <row r="80" spans="1:11" ht="11.25" x14ac:dyDescent="0.2">
      <c r="A80" s="630"/>
      <c r="B80" s="630"/>
      <c r="C80" s="630"/>
      <c r="D80" s="630"/>
      <c r="E80" s="630"/>
      <c r="F80" s="630"/>
      <c r="G80" s="630"/>
      <c r="H80" s="630"/>
      <c r="I80" s="630"/>
      <c r="J80" s="630"/>
      <c r="K80" s="630"/>
    </row>
    <row r="81" spans="1:11" ht="11.25" x14ac:dyDescent="0.2">
      <c r="A81" s="630"/>
      <c r="B81" s="630"/>
      <c r="C81" s="630"/>
      <c r="D81" s="630"/>
      <c r="E81" s="630"/>
      <c r="F81" s="630"/>
      <c r="G81" s="630"/>
      <c r="H81" s="630"/>
      <c r="I81" s="630"/>
      <c r="J81" s="630"/>
      <c r="K81" s="630"/>
    </row>
    <row r="82" spans="1:11" ht="11.25" x14ac:dyDescent="0.2">
      <c r="A82" s="630"/>
      <c r="B82" s="630"/>
      <c r="C82" s="630"/>
      <c r="D82" s="630"/>
      <c r="E82" s="630"/>
      <c r="F82" s="630"/>
      <c r="G82" s="630"/>
      <c r="H82" s="630"/>
      <c r="I82" s="630"/>
      <c r="J82" s="630"/>
      <c r="K82" s="630"/>
    </row>
    <row r="83" spans="1:11" ht="11.25" x14ac:dyDescent="0.2">
      <c r="A83" s="630"/>
      <c r="B83" s="630"/>
      <c r="C83" s="630"/>
      <c r="D83" s="630"/>
      <c r="E83" s="630"/>
      <c r="F83" s="630"/>
      <c r="G83" s="630"/>
      <c r="H83" s="630"/>
      <c r="I83" s="630"/>
      <c r="J83" s="630"/>
      <c r="K83" s="630"/>
    </row>
    <row r="84" spans="1:11" ht="11.25" x14ac:dyDescent="0.2">
      <c r="A84" s="630"/>
      <c r="B84" s="630"/>
      <c r="C84" s="630"/>
      <c r="D84" s="630"/>
      <c r="E84" s="630"/>
      <c r="F84" s="630"/>
      <c r="G84" s="630"/>
      <c r="H84" s="630"/>
      <c r="I84" s="630"/>
      <c r="J84" s="630"/>
      <c r="K84" s="630"/>
    </row>
    <row r="85" spans="1:11" ht="11.25" x14ac:dyDescent="0.2">
      <c r="A85" s="630"/>
      <c r="B85" s="630"/>
      <c r="C85" s="630"/>
      <c r="D85" s="630"/>
      <c r="E85" s="630"/>
      <c r="F85" s="630"/>
      <c r="G85" s="630"/>
      <c r="H85" s="630"/>
      <c r="I85" s="630"/>
      <c r="J85" s="630"/>
      <c r="K85" s="630"/>
    </row>
    <row r="86" spans="1:11" ht="11.25" x14ac:dyDescent="0.2">
      <c r="A86" s="630"/>
      <c r="B86" s="630"/>
      <c r="C86" s="630"/>
      <c r="D86" s="630"/>
      <c r="E86" s="630"/>
      <c r="F86" s="630"/>
      <c r="G86" s="630"/>
      <c r="H86" s="630"/>
      <c r="I86" s="630"/>
      <c r="J86" s="630"/>
      <c r="K86" s="630"/>
    </row>
    <row r="87" spans="1:11" ht="11.25" x14ac:dyDescent="0.2">
      <c r="A87" s="630"/>
      <c r="B87" s="630"/>
      <c r="C87" s="630"/>
      <c r="D87" s="630"/>
      <c r="E87" s="630"/>
      <c r="F87" s="630"/>
      <c r="G87" s="630"/>
      <c r="H87" s="630"/>
      <c r="I87" s="630"/>
      <c r="J87" s="630"/>
      <c r="K87" s="630"/>
    </row>
    <row r="88" spans="1:11" ht="11.25" x14ac:dyDescent="0.2">
      <c r="A88" s="630"/>
      <c r="B88" s="630"/>
      <c r="C88" s="630"/>
      <c r="D88" s="630"/>
      <c r="E88" s="630"/>
      <c r="F88" s="630"/>
      <c r="G88" s="630"/>
      <c r="H88" s="630"/>
      <c r="I88" s="630"/>
      <c r="J88" s="630"/>
      <c r="K88" s="630"/>
    </row>
    <row r="89" spans="1:11" ht="11.25" x14ac:dyDescent="0.2">
      <c r="A89" s="630"/>
      <c r="B89" s="630"/>
      <c r="C89" s="630"/>
      <c r="D89" s="630"/>
      <c r="E89" s="630"/>
      <c r="F89" s="630"/>
      <c r="G89" s="630"/>
      <c r="H89" s="630"/>
      <c r="I89" s="630"/>
      <c r="J89" s="630"/>
      <c r="K89" s="630"/>
    </row>
    <row r="90" spans="1:11" ht="11.25" x14ac:dyDescent="0.2">
      <c r="A90" s="630"/>
      <c r="B90" s="630"/>
      <c r="C90" s="630"/>
      <c r="D90" s="630"/>
      <c r="E90" s="630"/>
      <c r="F90" s="630"/>
      <c r="G90" s="630"/>
      <c r="H90" s="630"/>
      <c r="I90" s="630"/>
      <c r="J90" s="630"/>
      <c r="K90" s="630"/>
    </row>
    <row r="91" spans="1:11" ht="11.25" x14ac:dyDescent="0.2">
      <c r="A91" s="630"/>
      <c r="B91" s="630"/>
      <c r="C91" s="630"/>
      <c r="D91" s="630"/>
      <c r="E91" s="630"/>
      <c r="F91" s="630"/>
      <c r="G91" s="630"/>
      <c r="H91" s="630"/>
      <c r="I91" s="630"/>
      <c r="J91" s="630"/>
      <c r="K91" s="630"/>
    </row>
    <row r="92" spans="1:11" ht="11.25" x14ac:dyDescent="0.2">
      <c r="A92" s="630"/>
      <c r="B92" s="630"/>
      <c r="C92" s="630"/>
      <c r="D92" s="630"/>
      <c r="E92" s="630"/>
      <c r="F92" s="630"/>
      <c r="G92" s="630"/>
      <c r="H92" s="630"/>
      <c r="I92" s="630"/>
      <c r="J92" s="630"/>
      <c r="K92" s="630"/>
    </row>
    <row r="93" spans="1:11" ht="11.25" x14ac:dyDescent="0.2">
      <c r="A93" s="630"/>
      <c r="B93" s="630"/>
      <c r="C93" s="630"/>
      <c r="D93" s="630"/>
      <c r="E93" s="630"/>
      <c r="F93" s="630"/>
      <c r="G93" s="630"/>
      <c r="H93" s="630"/>
      <c r="I93" s="630"/>
      <c r="J93" s="630"/>
      <c r="K93" s="630"/>
    </row>
    <row r="94" spans="1:11" ht="11.25" x14ac:dyDescent="0.2">
      <c r="A94" s="630"/>
      <c r="B94" s="630"/>
      <c r="C94" s="630"/>
      <c r="D94" s="630"/>
      <c r="E94" s="630"/>
      <c r="F94" s="630"/>
      <c r="G94" s="630"/>
      <c r="H94" s="630"/>
      <c r="I94" s="630"/>
      <c r="J94" s="630"/>
      <c r="K94" s="630"/>
    </row>
    <row r="95" spans="1:11" ht="11.25" x14ac:dyDescent="0.2">
      <c r="A95" s="630"/>
      <c r="B95" s="630"/>
      <c r="C95" s="630"/>
      <c r="D95" s="630"/>
      <c r="E95" s="630"/>
      <c r="F95" s="630"/>
      <c r="G95" s="630"/>
      <c r="H95" s="630"/>
      <c r="I95" s="630"/>
      <c r="J95" s="630"/>
      <c r="K95" s="630"/>
    </row>
    <row r="96" spans="1:11" ht="11.25" x14ac:dyDescent="0.2">
      <c r="A96" s="630"/>
      <c r="B96" s="630"/>
      <c r="C96" s="630"/>
      <c r="D96" s="630"/>
      <c r="E96" s="630"/>
      <c r="F96" s="630"/>
      <c r="G96" s="630"/>
      <c r="H96" s="630"/>
      <c r="I96" s="630"/>
      <c r="J96" s="630"/>
      <c r="K96" s="630"/>
    </row>
    <row r="97" spans="1:11" ht="11.25" x14ac:dyDescent="0.2">
      <c r="A97" s="630"/>
      <c r="B97" s="630"/>
      <c r="C97" s="630"/>
      <c r="D97" s="630"/>
      <c r="E97" s="630"/>
      <c r="F97" s="630"/>
      <c r="G97" s="630"/>
      <c r="H97" s="630"/>
      <c r="I97" s="630"/>
      <c r="J97" s="630"/>
      <c r="K97" s="630"/>
    </row>
    <row r="98" spans="1:11" ht="11.25" x14ac:dyDescent="0.2">
      <c r="A98" s="630"/>
      <c r="B98" s="630"/>
      <c r="C98" s="630"/>
      <c r="D98" s="630"/>
      <c r="E98" s="630"/>
      <c r="F98" s="630"/>
      <c r="G98" s="630"/>
      <c r="H98" s="630"/>
      <c r="I98" s="630"/>
      <c r="J98" s="630"/>
      <c r="K98" s="630"/>
    </row>
    <row r="99" spans="1:11" ht="11.25" x14ac:dyDescent="0.2">
      <c r="A99" s="630"/>
      <c r="B99" s="630"/>
      <c r="C99" s="630"/>
      <c r="D99" s="630"/>
      <c r="E99" s="630"/>
      <c r="F99" s="630"/>
      <c r="G99" s="630"/>
      <c r="H99" s="630"/>
      <c r="I99" s="630"/>
      <c r="J99" s="630"/>
      <c r="K99" s="630"/>
    </row>
    <row r="100" spans="1:11" ht="11.25" x14ac:dyDescent="0.2">
      <c r="A100" s="630"/>
      <c r="B100" s="630"/>
      <c r="C100" s="630"/>
      <c r="D100" s="630"/>
      <c r="E100" s="630"/>
      <c r="F100" s="630"/>
      <c r="G100" s="630"/>
      <c r="H100" s="630"/>
      <c r="I100" s="630"/>
      <c r="J100" s="630"/>
      <c r="K100" s="630"/>
    </row>
    <row r="101" spans="1:11" ht="11.25" x14ac:dyDescent="0.2">
      <c r="A101" s="630"/>
      <c r="B101" s="630"/>
      <c r="C101" s="630"/>
      <c r="D101" s="630"/>
      <c r="E101" s="630"/>
      <c r="F101" s="630"/>
      <c r="G101" s="630"/>
      <c r="H101" s="630"/>
      <c r="I101" s="630"/>
      <c r="J101" s="630"/>
      <c r="K101" s="630"/>
    </row>
    <row r="102" spans="1:11" ht="11.25" x14ac:dyDescent="0.2">
      <c r="A102" s="630"/>
      <c r="B102" s="630"/>
      <c r="C102" s="630"/>
      <c r="D102" s="630"/>
      <c r="E102" s="630"/>
      <c r="F102" s="630"/>
      <c r="G102" s="630"/>
      <c r="H102" s="630"/>
      <c r="I102" s="630"/>
      <c r="J102" s="630"/>
      <c r="K102" s="630"/>
    </row>
    <row r="103" spans="1:11" ht="11.25" x14ac:dyDescent="0.2">
      <c r="A103" s="630"/>
      <c r="B103" s="630"/>
      <c r="C103" s="630"/>
      <c r="D103" s="630"/>
      <c r="E103" s="630"/>
      <c r="F103" s="630"/>
      <c r="G103" s="630"/>
      <c r="H103" s="630"/>
      <c r="I103" s="630"/>
      <c r="J103" s="630"/>
      <c r="K103" s="630"/>
    </row>
    <row r="104" spans="1:11" ht="11.25" x14ac:dyDescent="0.2">
      <c r="A104" s="630"/>
      <c r="B104" s="630"/>
      <c r="C104" s="630"/>
      <c r="D104" s="630"/>
      <c r="E104" s="630"/>
      <c r="F104" s="630"/>
      <c r="G104" s="630"/>
      <c r="H104" s="630"/>
      <c r="I104" s="630"/>
      <c r="J104" s="630"/>
      <c r="K104" s="630"/>
    </row>
    <row r="105" spans="1:11" ht="11.25" x14ac:dyDescent="0.2">
      <c r="A105" s="630"/>
      <c r="B105" s="630"/>
      <c r="C105" s="630"/>
      <c r="D105" s="630"/>
      <c r="E105" s="630"/>
      <c r="F105" s="630"/>
      <c r="G105" s="630"/>
      <c r="H105" s="630"/>
      <c r="I105" s="630"/>
      <c r="J105" s="630"/>
      <c r="K105" s="630"/>
    </row>
    <row r="106" spans="1:11" ht="11.25" x14ac:dyDescent="0.2">
      <c r="A106" s="630"/>
      <c r="B106" s="630"/>
      <c r="C106" s="630"/>
      <c r="D106" s="630"/>
      <c r="E106" s="630"/>
      <c r="F106" s="630"/>
      <c r="G106" s="630"/>
      <c r="H106" s="630"/>
      <c r="I106" s="630"/>
      <c r="J106" s="630"/>
      <c r="K106" s="630"/>
    </row>
    <row r="107" spans="1:11" ht="11.25" x14ac:dyDescent="0.2">
      <c r="A107" s="630"/>
      <c r="B107" s="630"/>
      <c r="C107" s="630"/>
      <c r="D107" s="630"/>
      <c r="E107" s="630"/>
      <c r="F107" s="630"/>
      <c r="G107" s="630"/>
      <c r="H107" s="630"/>
      <c r="I107" s="630"/>
      <c r="J107" s="630"/>
      <c r="K107" s="630"/>
    </row>
    <row r="108" spans="1:11" ht="11.25" x14ac:dyDescent="0.2">
      <c r="A108" s="630"/>
      <c r="B108" s="630"/>
      <c r="C108" s="630"/>
      <c r="D108" s="630"/>
      <c r="E108" s="630"/>
      <c r="F108" s="630"/>
      <c r="G108" s="630"/>
      <c r="H108" s="630"/>
      <c r="I108" s="630"/>
      <c r="J108" s="630"/>
      <c r="K108" s="630"/>
    </row>
    <row r="109" spans="1:11" ht="11.25" x14ac:dyDescent="0.2">
      <c r="A109" s="630"/>
      <c r="B109" s="630"/>
      <c r="C109" s="630"/>
      <c r="D109" s="630"/>
      <c r="E109" s="630"/>
      <c r="F109" s="630"/>
      <c r="G109" s="630"/>
      <c r="H109" s="630"/>
      <c r="I109" s="630"/>
      <c r="J109" s="630"/>
      <c r="K109" s="630"/>
    </row>
    <row r="110" spans="1:11" ht="11.25" x14ac:dyDescent="0.2">
      <c r="A110" s="630"/>
      <c r="B110" s="630"/>
      <c r="C110" s="630"/>
      <c r="D110" s="630"/>
      <c r="E110" s="630"/>
      <c r="F110" s="630"/>
      <c r="G110" s="630"/>
      <c r="H110" s="630"/>
      <c r="I110" s="630"/>
      <c r="J110" s="630"/>
      <c r="K110" s="630"/>
    </row>
  </sheetData>
  <mergeCells count="4">
    <mergeCell ref="A4:K4"/>
    <mergeCell ref="A3:K3"/>
    <mergeCell ref="A2:K2"/>
    <mergeCell ref="A1:K1"/>
  </mergeCells>
  <phoneticPr fontId="0" type="noConversion"/>
  <printOptions horizontalCentered="1"/>
  <pageMargins left="0.25" right="0.25" top="1" bottom="0.75" header="0.5" footer="0.5"/>
  <pageSetup scale="92" orientation="portrait" horizontalDpi="300" verticalDpi="30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"/>
  <sheetViews>
    <sheetView zoomScale="125" zoomScaleNormal="100" workbookViewId="0">
      <selection activeCell="A9" sqref="A9"/>
    </sheetView>
  </sheetViews>
  <sheetFormatPr defaultColWidth="11.83203125" defaultRowHeight="9" x14ac:dyDescent="0.15"/>
  <cols>
    <col min="1" max="1" width="4.83203125" style="64" customWidth="1"/>
    <col min="2" max="2" width="2.5" style="64" customWidth="1"/>
    <col min="3" max="3" width="19.33203125" style="64" bestFit="1" customWidth="1"/>
    <col min="4" max="4" width="2.33203125" style="64" customWidth="1"/>
    <col min="5" max="5" width="9.5" style="64" bestFit="1" customWidth="1"/>
    <col min="6" max="6" width="2.33203125" style="64" customWidth="1"/>
    <col min="7" max="7" width="17.83203125" style="64" bestFit="1" customWidth="1"/>
    <col min="8" max="8" width="2.5" style="64" customWidth="1"/>
    <col min="9" max="9" width="10.5" style="64" customWidth="1"/>
    <col min="10" max="10" width="2.5" style="64" customWidth="1"/>
    <col min="11" max="11" width="11.6640625" style="64" bestFit="1" customWidth="1"/>
    <col min="12" max="12" width="2.33203125" style="64" customWidth="1"/>
    <col min="13" max="13" width="20.1640625" style="64" bestFit="1" customWidth="1"/>
    <col min="14" max="14" width="2.33203125" style="64" customWidth="1"/>
    <col min="15" max="15" width="14.33203125" style="64" bestFit="1" customWidth="1"/>
    <col min="16" max="16" width="2.5" style="64" customWidth="1"/>
    <col min="17" max="17" width="11.33203125" style="64" bestFit="1" customWidth="1"/>
    <col min="18" max="18" width="2.33203125" style="64" customWidth="1"/>
    <col min="19" max="19" width="14.5" style="64" customWidth="1"/>
    <col min="20" max="26" width="11.83203125" style="64"/>
    <col min="27" max="27" width="14.83203125" style="64" customWidth="1"/>
    <col min="28" max="16384" width="11.83203125" style="64"/>
  </cols>
  <sheetData>
    <row r="1" spans="1:21" ht="12.75" customHeight="1" x14ac:dyDescent="0.2">
      <c r="A1" s="1462" t="s">
        <v>477</v>
      </c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  <c r="N1" s="1462"/>
      <c r="O1" s="1462"/>
      <c r="P1" s="1462"/>
      <c r="Q1" s="1462"/>
      <c r="R1" s="1462"/>
      <c r="S1" s="1462"/>
      <c r="T1" s="661"/>
      <c r="U1" s="661"/>
    </row>
    <row r="2" spans="1:21" ht="12.75" customHeight="1" x14ac:dyDescent="0.2">
      <c r="A2" s="1462" t="str">
        <f>+Input!C4</f>
        <v>CASE NO. 2017-xxxxx</v>
      </c>
      <c r="B2" s="1462"/>
      <c r="C2" s="1462"/>
      <c r="D2" s="1462"/>
      <c r="E2" s="1462"/>
      <c r="F2" s="1462"/>
      <c r="G2" s="1462"/>
      <c r="H2" s="1462"/>
      <c r="I2" s="1462"/>
      <c r="J2" s="1462"/>
      <c r="K2" s="1462"/>
      <c r="L2" s="1462"/>
      <c r="M2" s="1462"/>
      <c r="N2" s="1462"/>
      <c r="O2" s="1462"/>
      <c r="P2" s="1462"/>
      <c r="Q2" s="1462"/>
      <c r="R2" s="1462"/>
      <c r="S2" s="1462"/>
      <c r="T2" s="661"/>
      <c r="U2" s="661"/>
    </row>
    <row r="3" spans="1:21" ht="12.75" customHeight="1" x14ac:dyDescent="0.2">
      <c r="A3" s="1462" t="s">
        <v>130</v>
      </c>
      <c r="B3" s="1462"/>
      <c r="C3" s="1462"/>
      <c r="D3" s="1462"/>
      <c r="E3" s="1462"/>
      <c r="F3" s="1462"/>
      <c r="G3" s="1462"/>
      <c r="H3" s="1462"/>
      <c r="I3" s="1462"/>
      <c r="J3" s="1462"/>
      <c r="K3" s="1462"/>
      <c r="L3" s="1462"/>
      <c r="M3" s="1462"/>
      <c r="N3" s="1462"/>
      <c r="O3" s="1462"/>
      <c r="P3" s="1462"/>
      <c r="Q3" s="1462"/>
      <c r="R3" s="1462"/>
      <c r="S3" s="1462"/>
      <c r="T3" s="661"/>
      <c r="U3" s="661"/>
    </row>
    <row r="4" spans="1:21" ht="12.75" customHeight="1" x14ac:dyDescent="0.2">
      <c r="A4" s="1462" t="str">
        <f>+Input!C7</f>
        <v>AS OF DECEMBER 31, 2017</v>
      </c>
      <c r="B4" s="1462"/>
      <c r="C4" s="1462"/>
      <c r="D4" s="1462"/>
      <c r="E4" s="1462"/>
      <c r="F4" s="1462"/>
      <c r="G4" s="1462"/>
      <c r="H4" s="1462"/>
      <c r="I4" s="1462"/>
      <c r="J4" s="1462"/>
      <c r="K4" s="1462"/>
      <c r="L4" s="1462"/>
      <c r="M4" s="1462"/>
      <c r="N4" s="1462"/>
      <c r="O4" s="1462"/>
      <c r="P4" s="1462"/>
      <c r="Q4" s="1462"/>
      <c r="R4" s="1462"/>
      <c r="S4" s="1462"/>
      <c r="T4" s="661"/>
      <c r="U4" s="661"/>
    </row>
    <row r="5" spans="1:21" ht="12.75" customHeight="1" x14ac:dyDescent="0.2">
      <c r="A5" s="629"/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61"/>
      <c r="U5" s="661"/>
    </row>
    <row r="6" spans="1:21" ht="12.75" customHeight="1" x14ac:dyDescent="0.2">
      <c r="A6" s="634" t="s">
        <v>839</v>
      </c>
      <c r="B6" s="629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61"/>
      <c r="R6" s="629"/>
      <c r="S6" s="635" t="s">
        <v>158</v>
      </c>
      <c r="T6" s="661"/>
      <c r="U6" s="661"/>
    </row>
    <row r="7" spans="1:21" ht="12.75" customHeight="1" x14ac:dyDescent="0.2">
      <c r="A7" s="634" t="s">
        <v>490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61"/>
      <c r="R7" s="629"/>
      <c r="S7" s="635" t="s">
        <v>491</v>
      </c>
      <c r="T7" s="661"/>
      <c r="U7" s="661"/>
    </row>
    <row r="8" spans="1:21" ht="12.75" customHeight="1" x14ac:dyDescent="0.2">
      <c r="A8" s="636" t="s">
        <v>840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62"/>
      <c r="R8" s="652"/>
      <c r="S8" s="639" t="str">
        <f>+Input!E33</f>
        <v>WITNESS:  P.  R. MOUL</v>
      </c>
      <c r="T8" s="661"/>
      <c r="U8" s="661"/>
    </row>
    <row r="9" spans="1:21" s="63" customFormat="1" ht="12.75" customHeight="1" x14ac:dyDescent="0.2">
      <c r="A9" s="631"/>
      <c r="B9" s="631"/>
      <c r="C9" s="631" t="s">
        <v>159</v>
      </c>
      <c r="D9" s="631"/>
      <c r="E9" s="631"/>
      <c r="F9" s="631"/>
      <c r="G9" s="631"/>
      <c r="H9" s="631"/>
      <c r="I9" s="631" t="s">
        <v>160</v>
      </c>
      <c r="J9" s="631"/>
      <c r="K9" s="631"/>
      <c r="L9" s="631"/>
      <c r="M9" s="631" t="s">
        <v>167</v>
      </c>
      <c r="N9" s="631"/>
      <c r="O9" s="631"/>
      <c r="P9" s="631"/>
      <c r="Q9" s="631" t="s">
        <v>1371</v>
      </c>
      <c r="R9" s="631"/>
      <c r="S9" s="631"/>
      <c r="T9" s="663"/>
      <c r="U9" s="663"/>
    </row>
    <row r="10" spans="1:21" s="63" customFormat="1" ht="12.75" customHeight="1" x14ac:dyDescent="0.2">
      <c r="A10" s="631" t="s">
        <v>493</v>
      </c>
      <c r="B10" s="631"/>
      <c r="C10" s="631" t="s">
        <v>168</v>
      </c>
      <c r="D10" s="631"/>
      <c r="E10" s="631" t="s">
        <v>1404</v>
      </c>
      <c r="F10" s="631"/>
      <c r="G10" s="631" t="s">
        <v>1248</v>
      </c>
      <c r="H10" s="631"/>
      <c r="I10" s="631" t="s">
        <v>169</v>
      </c>
      <c r="J10" s="631"/>
      <c r="K10" s="631" t="s">
        <v>152</v>
      </c>
      <c r="L10" s="631"/>
      <c r="M10" s="631" t="s">
        <v>170</v>
      </c>
      <c r="N10" s="631"/>
      <c r="O10" s="631" t="s">
        <v>1399</v>
      </c>
      <c r="P10" s="631"/>
      <c r="Q10" s="631" t="s">
        <v>1442</v>
      </c>
      <c r="R10" s="631"/>
      <c r="S10" s="631" t="s">
        <v>171</v>
      </c>
      <c r="T10" s="663"/>
      <c r="U10" s="663"/>
    </row>
    <row r="11" spans="1:21" s="63" customFormat="1" ht="12.75" customHeight="1" x14ac:dyDescent="0.2">
      <c r="A11" s="664" t="s">
        <v>496</v>
      </c>
      <c r="B11" s="664"/>
      <c r="C11" s="664" t="s">
        <v>172</v>
      </c>
      <c r="D11" s="664"/>
      <c r="E11" s="664" t="s">
        <v>173</v>
      </c>
      <c r="F11" s="664"/>
      <c r="G11" s="664" t="s">
        <v>153</v>
      </c>
      <c r="H11" s="664"/>
      <c r="I11" s="664" t="s">
        <v>174</v>
      </c>
      <c r="J11" s="664"/>
      <c r="K11" s="664" t="s">
        <v>1449</v>
      </c>
      <c r="L11" s="664"/>
      <c r="M11" s="664" t="s">
        <v>175</v>
      </c>
      <c r="N11" s="664"/>
      <c r="O11" s="664" t="s">
        <v>176</v>
      </c>
      <c r="P11" s="664"/>
      <c r="Q11" s="664" t="s">
        <v>177</v>
      </c>
      <c r="R11" s="664"/>
      <c r="S11" s="664" t="s">
        <v>178</v>
      </c>
      <c r="T11" s="663"/>
      <c r="U11" s="663"/>
    </row>
    <row r="12" spans="1:21" s="65" customFormat="1" ht="12.75" customHeight="1" x14ac:dyDescent="0.2">
      <c r="A12" s="641"/>
      <c r="B12" s="641"/>
      <c r="C12" s="641"/>
      <c r="D12" s="641"/>
      <c r="E12" s="641" t="s">
        <v>1746</v>
      </c>
      <c r="F12" s="641"/>
      <c r="G12" s="641" t="s">
        <v>1747</v>
      </c>
      <c r="H12" s="641"/>
      <c r="I12" s="641" t="s">
        <v>1748</v>
      </c>
      <c r="J12" s="641"/>
      <c r="K12" s="641" t="s">
        <v>1749</v>
      </c>
      <c r="L12" s="641"/>
      <c r="M12" s="641" t="s">
        <v>136</v>
      </c>
      <c r="N12" s="641"/>
      <c r="O12" s="641" t="s">
        <v>179</v>
      </c>
      <c r="P12" s="641"/>
      <c r="Q12" s="641" t="s">
        <v>180</v>
      </c>
      <c r="R12" s="641"/>
      <c r="S12" s="641" t="s">
        <v>181</v>
      </c>
      <c r="T12" s="665"/>
      <c r="U12" s="665"/>
    </row>
    <row r="13" spans="1:21" ht="12.75" customHeight="1" x14ac:dyDescent="0.2">
      <c r="A13" s="629"/>
      <c r="B13" s="629"/>
      <c r="C13" s="629"/>
      <c r="D13" s="629"/>
      <c r="E13" s="629"/>
      <c r="F13" s="629"/>
      <c r="G13" s="629"/>
      <c r="H13" s="629"/>
      <c r="I13" s="629"/>
      <c r="J13" s="629"/>
      <c r="K13" s="629"/>
      <c r="L13" s="629"/>
      <c r="M13" s="629"/>
      <c r="N13" s="629"/>
      <c r="O13" s="629"/>
      <c r="P13" s="629"/>
      <c r="Q13" s="629"/>
      <c r="R13" s="629"/>
      <c r="S13" s="629"/>
      <c r="T13" s="661"/>
      <c r="U13" s="661"/>
    </row>
    <row r="14" spans="1:21" ht="12.75" customHeight="1" x14ac:dyDescent="0.2">
      <c r="A14" s="629"/>
      <c r="B14" s="629"/>
      <c r="C14" s="629"/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61"/>
      <c r="U14" s="661"/>
    </row>
    <row r="15" spans="1:21" ht="12.75" customHeight="1" x14ac:dyDescent="0.2">
      <c r="A15" s="1462" t="s">
        <v>335</v>
      </c>
      <c r="B15" s="1462"/>
      <c r="C15" s="1462"/>
      <c r="D15" s="1462"/>
      <c r="E15" s="1462"/>
      <c r="F15" s="1462"/>
      <c r="G15" s="1462"/>
      <c r="H15" s="1462"/>
      <c r="I15" s="1462"/>
      <c r="J15" s="1462"/>
      <c r="K15" s="1462"/>
      <c r="L15" s="1462"/>
      <c r="M15" s="1462"/>
      <c r="N15" s="1462"/>
      <c r="O15" s="1462"/>
      <c r="P15" s="1462"/>
      <c r="Q15" s="1462"/>
      <c r="R15" s="1462"/>
      <c r="S15" s="1462"/>
      <c r="T15" s="661"/>
      <c r="U15" s="661"/>
    </row>
    <row r="16" spans="1:21" ht="12.75" customHeight="1" x14ac:dyDescent="0.2">
      <c r="A16" s="629"/>
      <c r="B16" s="629"/>
      <c r="C16" s="629"/>
      <c r="D16" s="629"/>
      <c r="E16" s="629"/>
      <c r="F16" s="629"/>
      <c r="G16" s="629"/>
      <c r="H16" s="629"/>
      <c r="I16" s="629"/>
      <c r="J16" s="629"/>
      <c r="K16" s="629"/>
      <c r="L16" s="629"/>
      <c r="M16" s="629"/>
      <c r="N16" s="629"/>
      <c r="O16" s="629"/>
      <c r="P16" s="629"/>
      <c r="Q16" s="629"/>
      <c r="R16" s="629"/>
      <c r="S16" s="629"/>
      <c r="T16" s="661"/>
      <c r="U16" s="661"/>
    </row>
    <row r="17" spans="1:21" ht="12.75" customHeight="1" x14ac:dyDescent="0.15">
      <c r="A17" s="661"/>
      <c r="B17" s="661"/>
      <c r="C17" s="661"/>
      <c r="D17" s="661"/>
      <c r="E17" s="661"/>
      <c r="F17" s="661"/>
      <c r="G17" s="661"/>
      <c r="H17" s="661"/>
      <c r="I17" s="661"/>
      <c r="J17" s="661"/>
      <c r="K17" s="661"/>
      <c r="L17" s="661"/>
      <c r="M17" s="661"/>
      <c r="N17" s="661"/>
      <c r="O17" s="661"/>
      <c r="P17" s="661"/>
      <c r="Q17" s="661"/>
      <c r="R17" s="661"/>
      <c r="S17" s="661"/>
      <c r="T17" s="661"/>
      <c r="U17" s="661"/>
    </row>
    <row r="18" spans="1:21" ht="12.75" customHeight="1" x14ac:dyDescent="0.15">
      <c r="A18" s="661"/>
      <c r="B18" s="661"/>
      <c r="C18" s="661"/>
      <c r="D18" s="661"/>
      <c r="E18" s="661"/>
      <c r="F18" s="661"/>
      <c r="G18" s="661"/>
      <c r="H18" s="661"/>
      <c r="I18" s="661"/>
      <c r="J18" s="661"/>
      <c r="K18" s="661"/>
      <c r="L18" s="661"/>
      <c r="M18" s="661"/>
      <c r="N18" s="661"/>
      <c r="O18" s="661"/>
      <c r="P18" s="661"/>
      <c r="Q18" s="661"/>
      <c r="R18" s="661"/>
      <c r="S18" s="661"/>
      <c r="T18" s="661"/>
      <c r="U18" s="661"/>
    </row>
    <row r="19" spans="1:21" ht="12.75" customHeight="1" x14ac:dyDescent="0.15">
      <c r="A19" s="661"/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</row>
    <row r="20" spans="1:21" ht="12.75" customHeight="1" x14ac:dyDescent="0.15">
      <c r="A20" s="661"/>
      <c r="B20" s="661"/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</row>
    <row r="21" spans="1:21" ht="12.75" customHeight="1" x14ac:dyDescent="0.15">
      <c r="A21" s="661"/>
      <c r="B21" s="661"/>
      <c r="C21" s="661"/>
      <c r="D21" s="661"/>
      <c r="E21" s="661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</row>
    <row r="22" spans="1:21" ht="12.75" customHeight="1" x14ac:dyDescent="0.15">
      <c r="A22" s="661"/>
      <c r="B22" s="661"/>
      <c r="C22" s="661"/>
      <c r="D22" s="661"/>
      <c r="E22" s="661"/>
      <c r="F22" s="6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661"/>
      <c r="T22" s="661"/>
      <c r="U22" s="661"/>
    </row>
    <row r="23" spans="1:21" ht="12.75" customHeight="1" x14ac:dyDescent="0.15">
      <c r="A23" s="661"/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</row>
    <row r="24" spans="1:21" ht="12.75" customHeight="1" x14ac:dyDescent="0.15">
      <c r="A24" s="661"/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</row>
    <row r="25" spans="1:21" ht="12.75" customHeight="1" x14ac:dyDescent="0.15">
      <c r="A25" s="661"/>
      <c r="B25" s="661"/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661"/>
      <c r="R25" s="661"/>
      <c r="S25" s="661"/>
      <c r="T25" s="661"/>
      <c r="U25" s="661"/>
    </row>
    <row r="26" spans="1:21" ht="12.75" customHeight="1" x14ac:dyDescent="0.15"/>
    <row r="27" spans="1:21" ht="12.75" customHeight="1" x14ac:dyDescent="0.15"/>
    <row r="28" spans="1:21" ht="12.75" customHeight="1" x14ac:dyDescent="0.15"/>
    <row r="29" spans="1:21" ht="12.75" customHeight="1" x14ac:dyDescent="0.15"/>
    <row r="30" spans="1:21" ht="12.75" customHeight="1" x14ac:dyDescent="0.15"/>
    <row r="31" spans="1:21" ht="12.75" customHeight="1" x14ac:dyDescent="0.15"/>
    <row r="32" spans="1:21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spans="1:3" ht="12.75" customHeight="1" x14ac:dyDescent="0.15">
      <c r="A81" s="64" t="s">
        <v>183</v>
      </c>
      <c r="C81" s="64" t="s">
        <v>184</v>
      </c>
    </row>
    <row r="82" spans="1:3" ht="12.75" customHeight="1" x14ac:dyDescent="0.15">
      <c r="C82" s="64" t="s">
        <v>185</v>
      </c>
    </row>
    <row r="83" spans="1:3" ht="12.75" customHeight="1" x14ac:dyDescent="0.15">
      <c r="C83" s="64" t="s">
        <v>186</v>
      </c>
    </row>
    <row r="84" spans="1:3" ht="12.75" customHeight="1" x14ac:dyDescent="0.15">
      <c r="C84" s="64" t="s">
        <v>187</v>
      </c>
    </row>
    <row r="85" spans="1:3" ht="12.75" customHeight="1" x14ac:dyDescent="0.15"/>
    <row r="86" spans="1:3" ht="12.75" customHeight="1" x14ac:dyDescent="0.15"/>
    <row r="87" spans="1:3" ht="12.75" customHeight="1" x14ac:dyDescent="0.15"/>
    <row r="88" spans="1:3" ht="12.75" customHeight="1" x14ac:dyDescent="0.15"/>
    <row r="89" spans="1:3" ht="12.75" customHeight="1" x14ac:dyDescent="0.15"/>
    <row r="90" spans="1:3" ht="12.75" customHeight="1" x14ac:dyDescent="0.15"/>
    <row r="91" spans="1:3" ht="12.75" customHeight="1" x14ac:dyDescent="0.15"/>
    <row r="92" spans="1:3" ht="12.75" customHeight="1" x14ac:dyDescent="0.15"/>
    <row r="93" spans="1:3" ht="12.75" customHeight="1" x14ac:dyDescent="0.15"/>
    <row r="94" spans="1:3" ht="12.75" customHeight="1" x14ac:dyDescent="0.15"/>
    <row r="95" spans="1:3" ht="12.75" customHeight="1" x14ac:dyDescent="0.15"/>
    <row r="96" spans="1:3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</sheetData>
  <mergeCells count="5">
    <mergeCell ref="A1:S1"/>
    <mergeCell ref="A15:S15"/>
    <mergeCell ref="A4:S4"/>
    <mergeCell ref="A3:S3"/>
    <mergeCell ref="A2:S2"/>
  </mergeCells>
  <phoneticPr fontId="0" type="noConversion"/>
  <printOptions horizontalCentered="1"/>
  <pageMargins left="0.25" right="0.25" top="1" bottom="1" header="0.5" footer="0.5"/>
  <pageSetup orientation="landscape" horizontalDpi="300" verticalDpi="300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168"/>
  <sheetViews>
    <sheetView zoomScaleNormal="100" workbookViewId="0">
      <selection activeCell="C14" sqref="C14"/>
    </sheetView>
  </sheetViews>
  <sheetFormatPr defaultColWidth="9.83203125" defaultRowHeight="10.5" x14ac:dyDescent="0.15"/>
  <cols>
    <col min="1" max="1" width="30.5" customWidth="1"/>
    <col min="2" max="2" width="4.83203125" customWidth="1"/>
    <col min="3" max="3" width="54" bestFit="1" customWidth="1"/>
    <col min="8" max="8" width="9.83203125" customWidth="1"/>
    <col min="10" max="10" width="1.83203125" customWidth="1"/>
    <col min="11" max="11" width="7.83203125" customWidth="1"/>
    <col min="12" max="12" width="6.83203125" customWidth="1"/>
  </cols>
  <sheetData>
    <row r="1" spans="1:8" ht="12.75" x14ac:dyDescent="0.2">
      <c r="A1" s="112" t="s">
        <v>549</v>
      </c>
      <c r="B1" s="90"/>
      <c r="C1" s="90"/>
      <c r="D1" s="90"/>
      <c r="E1" s="91"/>
      <c r="F1" s="91"/>
      <c r="G1" s="91"/>
      <c r="H1" s="91"/>
    </row>
    <row r="2" spans="1:8" ht="12.75" x14ac:dyDescent="0.2">
      <c r="A2" s="90"/>
      <c r="B2" s="90"/>
      <c r="C2" s="90"/>
      <c r="D2" s="90"/>
      <c r="E2" s="91"/>
      <c r="F2" s="91"/>
      <c r="G2" s="91"/>
      <c r="H2" s="91"/>
    </row>
    <row r="3" spans="1:8" ht="12.75" x14ac:dyDescent="0.2">
      <c r="A3" s="90"/>
      <c r="B3" s="90"/>
      <c r="C3" s="113" t="s">
        <v>188</v>
      </c>
      <c r="D3" s="90"/>
      <c r="E3" s="91"/>
      <c r="F3" s="91"/>
      <c r="G3" s="91"/>
      <c r="H3" s="91"/>
    </row>
    <row r="4" spans="1:8" ht="12.75" x14ac:dyDescent="0.2">
      <c r="A4" s="90"/>
      <c r="B4" s="90"/>
      <c r="C4" s="90"/>
      <c r="D4" s="90"/>
      <c r="E4" s="91"/>
      <c r="F4" s="91"/>
      <c r="G4" s="91"/>
      <c r="H4" s="91"/>
    </row>
    <row r="5" spans="1:8" ht="12.75" x14ac:dyDescent="0.2">
      <c r="A5" s="90"/>
      <c r="B5" s="90"/>
      <c r="C5" s="113" t="s">
        <v>189</v>
      </c>
      <c r="D5" s="90"/>
      <c r="E5" s="91"/>
      <c r="F5" s="91"/>
      <c r="G5" s="91"/>
      <c r="H5" s="91"/>
    </row>
    <row r="6" spans="1:8" ht="12.75" x14ac:dyDescent="0.2">
      <c r="A6" s="90"/>
      <c r="B6" s="90"/>
      <c r="C6" s="90"/>
      <c r="D6" s="90"/>
      <c r="E6" s="91"/>
      <c r="F6" s="91"/>
      <c r="G6" s="91"/>
      <c r="H6" s="91"/>
    </row>
    <row r="7" spans="1:8" ht="12.75" x14ac:dyDescent="0.2">
      <c r="A7" s="112" t="s">
        <v>476</v>
      </c>
      <c r="B7" s="90"/>
      <c r="C7" s="113" t="s">
        <v>477</v>
      </c>
      <c r="D7" s="90"/>
      <c r="E7" s="91"/>
      <c r="F7" s="91"/>
      <c r="G7" s="91"/>
      <c r="H7" s="91"/>
    </row>
    <row r="8" spans="1:8" ht="12.75" x14ac:dyDescent="0.2">
      <c r="A8" s="90"/>
      <c r="B8" s="90"/>
      <c r="C8" s="90"/>
      <c r="D8" s="90"/>
      <c r="E8" s="91"/>
      <c r="F8" s="91"/>
      <c r="G8" s="91"/>
      <c r="H8" s="91"/>
    </row>
    <row r="9" spans="1:8" ht="12.75" x14ac:dyDescent="0.2">
      <c r="A9" s="112" t="s">
        <v>937</v>
      </c>
      <c r="B9" s="90"/>
      <c r="C9" s="113" t="str">
        <f>+Input!C4</f>
        <v>CASE NO. 2017-xxxxx</v>
      </c>
      <c r="D9" s="90"/>
      <c r="E9" s="91"/>
      <c r="F9" s="91"/>
      <c r="G9" s="91"/>
      <c r="H9" s="91"/>
    </row>
    <row r="10" spans="1:8" ht="12.75" x14ac:dyDescent="0.2">
      <c r="A10" s="90"/>
      <c r="B10" s="90"/>
      <c r="C10" s="90"/>
      <c r="D10" s="90"/>
      <c r="E10" s="91"/>
      <c r="F10" s="91"/>
      <c r="G10" s="91"/>
      <c r="H10" s="91"/>
    </row>
    <row r="11" spans="1:8" ht="12.75" x14ac:dyDescent="0.2">
      <c r="A11" s="112" t="s">
        <v>85</v>
      </c>
      <c r="B11" s="90"/>
      <c r="C11" s="113" t="str">
        <f>+Input!C6</f>
        <v>TWELVE MONTHS ENDED DECEMBER 31, 2017</v>
      </c>
      <c r="D11" s="90"/>
      <c r="E11" s="91"/>
      <c r="F11" s="91"/>
      <c r="G11" s="91"/>
      <c r="H11" s="91"/>
    </row>
    <row r="12" spans="1:8" ht="12.75" x14ac:dyDescent="0.2">
      <c r="A12" s="90"/>
      <c r="B12" s="90"/>
      <c r="C12" s="90"/>
      <c r="D12" s="90"/>
      <c r="E12" s="91"/>
      <c r="F12" s="91"/>
      <c r="G12" s="91"/>
      <c r="H12" s="91"/>
    </row>
    <row r="13" spans="1:8" ht="12.75" x14ac:dyDescent="0.2">
      <c r="A13" s="112" t="s">
        <v>478</v>
      </c>
      <c r="B13" s="90"/>
      <c r="C13" s="113" t="str">
        <f>+Input!C6</f>
        <v>TWELVE MONTHS ENDED DECEMBER 31, 2017</v>
      </c>
      <c r="D13" s="90"/>
      <c r="E13" s="91"/>
      <c r="F13" s="91"/>
      <c r="G13" s="91"/>
      <c r="H13" s="91"/>
    </row>
    <row r="14" spans="1:8" ht="12.75" x14ac:dyDescent="0.2">
      <c r="A14" s="90"/>
      <c r="B14" s="90"/>
      <c r="C14" s="90"/>
      <c r="D14" s="90"/>
      <c r="E14" s="91"/>
      <c r="F14" s="91"/>
      <c r="G14" s="91"/>
      <c r="H14" s="91"/>
    </row>
    <row r="15" spans="1:8" ht="12.75" x14ac:dyDescent="0.2">
      <c r="A15" s="90"/>
      <c r="B15" s="90"/>
      <c r="C15" s="90"/>
      <c r="D15" s="90"/>
      <c r="E15" s="91"/>
      <c r="F15" s="91"/>
      <c r="G15" s="91"/>
      <c r="H15" s="91"/>
    </row>
    <row r="16" spans="1:8" ht="12.75" x14ac:dyDescent="0.2">
      <c r="A16" s="666" t="s">
        <v>190</v>
      </c>
      <c r="B16" s="116"/>
      <c r="C16" s="666" t="s">
        <v>480</v>
      </c>
      <c r="D16" s="116"/>
      <c r="E16" s="118"/>
      <c r="F16" s="118"/>
      <c r="G16" s="91"/>
      <c r="H16" s="91"/>
    </row>
    <row r="17" spans="1:8" ht="12.75" x14ac:dyDescent="0.2">
      <c r="A17" s="667"/>
      <c r="B17" s="90"/>
      <c r="C17" s="668"/>
      <c r="D17" s="359"/>
      <c r="E17" s="91"/>
      <c r="F17" s="91"/>
      <c r="G17" s="91"/>
      <c r="H17" s="91"/>
    </row>
    <row r="18" spans="1:8" ht="12.75" x14ac:dyDescent="0.2">
      <c r="A18" s="667"/>
      <c r="B18" s="90"/>
      <c r="C18" s="668"/>
      <c r="D18" s="359"/>
      <c r="E18" s="91"/>
      <c r="F18" s="91"/>
      <c r="G18" s="91"/>
      <c r="H18" s="91"/>
    </row>
    <row r="19" spans="1:8" ht="12.75" x14ac:dyDescent="0.2">
      <c r="A19" s="92"/>
      <c r="B19" s="90"/>
      <c r="C19" s="90"/>
      <c r="D19" s="90"/>
      <c r="E19" s="91"/>
      <c r="F19" s="91"/>
      <c r="G19" s="91"/>
      <c r="H19" s="91"/>
    </row>
    <row r="20" spans="1:8" ht="12.75" x14ac:dyDescent="0.2">
      <c r="A20" s="92"/>
      <c r="B20" s="90"/>
      <c r="C20" s="90"/>
      <c r="D20" s="90"/>
      <c r="E20" s="91"/>
      <c r="F20" s="91"/>
      <c r="G20" s="91"/>
      <c r="H20" s="91"/>
    </row>
    <row r="21" spans="1:8" ht="12.75" x14ac:dyDescent="0.2">
      <c r="A21" s="1428" t="s">
        <v>191</v>
      </c>
      <c r="B21" s="1428"/>
      <c r="C21" s="1428"/>
      <c r="D21" s="1428"/>
      <c r="E21" s="91"/>
      <c r="F21" s="91"/>
      <c r="G21" s="91"/>
      <c r="H21" s="91"/>
    </row>
    <row r="22" spans="1:8" ht="12.75" x14ac:dyDescent="0.2">
      <c r="A22" s="90"/>
      <c r="B22" s="90"/>
      <c r="C22" s="90"/>
      <c r="D22" s="90"/>
      <c r="E22" s="91"/>
      <c r="F22" s="91"/>
      <c r="G22" s="91"/>
      <c r="H22" s="91"/>
    </row>
    <row r="23" spans="1:8" ht="11.25" x14ac:dyDescent="0.2">
      <c r="A23" s="91"/>
      <c r="B23" s="91"/>
      <c r="C23" s="91"/>
      <c r="D23" s="91"/>
      <c r="E23" s="91"/>
      <c r="F23" s="91"/>
      <c r="G23" s="91"/>
      <c r="H23" s="91"/>
    </row>
    <row r="24" spans="1:8" ht="11.25" x14ac:dyDescent="0.2">
      <c r="A24" s="91"/>
      <c r="B24" s="91"/>
      <c r="C24" s="91"/>
      <c r="D24" s="91"/>
      <c r="E24" s="91"/>
      <c r="F24" s="91"/>
      <c r="G24" s="91"/>
      <c r="H24" s="91"/>
    </row>
    <row r="25" spans="1:8" ht="11.25" x14ac:dyDescent="0.2">
      <c r="A25" s="91"/>
      <c r="B25" s="91"/>
      <c r="C25" s="91"/>
      <c r="D25" s="91"/>
      <c r="E25" s="91"/>
      <c r="F25" s="91"/>
      <c r="G25" s="91"/>
      <c r="H25" s="91"/>
    </row>
    <row r="26" spans="1:8" ht="11.25" x14ac:dyDescent="0.2">
      <c r="A26" s="91"/>
      <c r="B26" s="91"/>
      <c r="C26" s="91"/>
      <c r="D26" s="91"/>
      <c r="E26" s="91"/>
      <c r="F26" s="91"/>
      <c r="G26" s="91"/>
      <c r="H26" s="91"/>
    </row>
    <row r="27" spans="1:8" ht="11.25" x14ac:dyDescent="0.2">
      <c r="A27" s="91"/>
      <c r="B27" s="91"/>
      <c r="C27" s="91"/>
      <c r="D27" s="91"/>
      <c r="E27" s="91"/>
      <c r="F27" s="91"/>
      <c r="G27" s="91"/>
      <c r="H27" s="91"/>
    </row>
    <row r="28" spans="1:8" ht="11.25" x14ac:dyDescent="0.2">
      <c r="A28" s="91"/>
      <c r="B28" s="91"/>
      <c r="C28" s="91"/>
      <c r="D28" s="91"/>
      <c r="E28" s="91"/>
      <c r="F28" s="91"/>
      <c r="G28" s="91"/>
      <c r="H28" s="91"/>
    </row>
    <row r="29" spans="1:8" ht="11.25" x14ac:dyDescent="0.2">
      <c r="A29" s="91"/>
      <c r="B29" s="91"/>
      <c r="C29" s="91"/>
      <c r="D29" s="91"/>
      <c r="E29" s="91"/>
      <c r="F29" s="91"/>
      <c r="G29" s="91"/>
      <c r="H29" s="91"/>
    </row>
    <row r="30" spans="1:8" ht="11.25" x14ac:dyDescent="0.2">
      <c r="A30" s="91"/>
      <c r="B30" s="91"/>
      <c r="C30" s="91"/>
      <c r="D30" s="91"/>
      <c r="E30" s="91"/>
      <c r="F30" s="91"/>
      <c r="G30" s="91"/>
      <c r="H30" s="91"/>
    </row>
    <row r="31" spans="1:8" ht="11.25" x14ac:dyDescent="0.2">
      <c r="A31" s="91"/>
      <c r="B31" s="91"/>
      <c r="C31" s="91"/>
      <c r="D31" s="91"/>
      <c r="E31" s="91"/>
      <c r="F31" s="91"/>
      <c r="G31" s="91"/>
      <c r="H31" s="91"/>
    </row>
    <row r="32" spans="1:8" ht="11.25" x14ac:dyDescent="0.2">
      <c r="A32" s="91"/>
      <c r="B32" s="91"/>
      <c r="C32" s="91"/>
      <c r="D32" s="91"/>
      <c r="E32" s="91"/>
      <c r="F32" s="91"/>
      <c r="G32" s="91"/>
      <c r="H32" s="91"/>
    </row>
    <row r="33" spans="1:8" ht="11.25" x14ac:dyDescent="0.2">
      <c r="A33" s="91"/>
      <c r="B33" s="91"/>
      <c r="C33" s="91"/>
      <c r="D33" s="91"/>
      <c r="E33" s="91"/>
      <c r="F33" s="91"/>
      <c r="G33" s="91"/>
      <c r="H33" s="91"/>
    </row>
    <row r="34" spans="1:8" ht="11.25" x14ac:dyDescent="0.2">
      <c r="A34" s="91"/>
      <c r="B34" s="91"/>
      <c r="C34" s="91"/>
      <c r="D34" s="91"/>
      <c r="E34" s="91"/>
      <c r="F34" s="91"/>
      <c r="G34" s="91"/>
      <c r="H34" s="91"/>
    </row>
    <row r="35" spans="1:8" ht="11.25" x14ac:dyDescent="0.2">
      <c r="A35" s="91"/>
      <c r="B35" s="91"/>
      <c r="C35" s="91"/>
      <c r="D35" s="91"/>
      <c r="E35" s="91"/>
      <c r="F35" s="91"/>
      <c r="G35" s="91"/>
      <c r="H35" s="91"/>
    </row>
    <row r="36" spans="1:8" ht="11.25" x14ac:dyDescent="0.2">
      <c r="A36" s="91"/>
      <c r="B36" s="91"/>
      <c r="C36" s="91"/>
      <c r="D36" s="91"/>
      <c r="E36" s="91"/>
      <c r="F36" s="91"/>
      <c r="G36" s="91"/>
      <c r="H36" s="91"/>
    </row>
    <row r="37" spans="1:8" ht="11.25" x14ac:dyDescent="0.2">
      <c r="A37" s="91"/>
      <c r="B37" s="91"/>
      <c r="C37" s="91"/>
      <c r="D37" s="91"/>
      <c r="E37" s="91"/>
      <c r="F37" s="91"/>
      <c r="G37" s="91"/>
      <c r="H37" s="91"/>
    </row>
    <row r="38" spans="1:8" ht="11.25" x14ac:dyDescent="0.2">
      <c r="A38" s="91"/>
      <c r="B38" s="91"/>
      <c r="C38" s="91"/>
      <c r="D38" s="91"/>
      <c r="E38" s="91"/>
      <c r="F38" s="91"/>
      <c r="G38" s="91"/>
      <c r="H38" s="91"/>
    </row>
    <row r="39" spans="1:8" ht="11.25" x14ac:dyDescent="0.2">
      <c r="A39" s="91"/>
      <c r="B39" s="91"/>
      <c r="C39" s="91"/>
      <c r="D39" s="91"/>
      <c r="E39" s="91"/>
      <c r="F39" s="91"/>
      <c r="G39" s="91"/>
      <c r="H39" s="91"/>
    </row>
    <row r="40" spans="1:8" ht="11.25" x14ac:dyDescent="0.2">
      <c r="A40" s="91"/>
      <c r="B40" s="91"/>
      <c r="C40" s="91"/>
      <c r="D40" s="91"/>
      <c r="E40" s="91"/>
      <c r="F40" s="91"/>
      <c r="G40" s="91"/>
      <c r="H40" s="91"/>
    </row>
    <row r="41" spans="1:8" ht="11.25" x14ac:dyDescent="0.2">
      <c r="A41" s="91"/>
      <c r="B41" s="91"/>
      <c r="C41" s="91"/>
      <c r="D41" s="91"/>
      <c r="E41" s="91"/>
      <c r="F41" s="91"/>
      <c r="G41" s="91"/>
      <c r="H41" s="91"/>
    </row>
    <row r="42" spans="1:8" ht="11.25" x14ac:dyDescent="0.2">
      <c r="A42" s="91"/>
      <c r="B42" s="91"/>
      <c r="C42" s="91"/>
      <c r="D42" s="91"/>
      <c r="E42" s="91"/>
      <c r="F42" s="91"/>
      <c r="G42" s="91"/>
      <c r="H42" s="91"/>
    </row>
    <row r="43" spans="1:8" ht="11.25" x14ac:dyDescent="0.2">
      <c r="A43" s="91"/>
      <c r="B43" s="91"/>
      <c r="C43" s="91"/>
      <c r="D43" s="91"/>
      <c r="E43" s="91"/>
      <c r="F43" s="91"/>
      <c r="G43" s="91"/>
      <c r="H43" s="91"/>
    </row>
    <row r="44" spans="1:8" ht="11.25" x14ac:dyDescent="0.2">
      <c r="A44" s="91"/>
      <c r="B44" s="91"/>
      <c r="C44" s="91"/>
      <c r="D44" s="91"/>
      <c r="E44" s="91"/>
      <c r="F44" s="91"/>
      <c r="G44" s="91"/>
      <c r="H44" s="91"/>
    </row>
    <row r="45" spans="1:8" ht="11.25" x14ac:dyDescent="0.2">
      <c r="A45" s="91"/>
      <c r="B45" s="91"/>
      <c r="C45" s="91"/>
      <c r="D45" s="91"/>
      <c r="E45" s="91"/>
      <c r="F45" s="91"/>
      <c r="G45" s="91"/>
      <c r="H45" s="91"/>
    </row>
    <row r="46" spans="1:8" ht="11.25" x14ac:dyDescent="0.2">
      <c r="A46" s="91"/>
      <c r="B46" s="91"/>
      <c r="C46" s="91"/>
      <c r="D46" s="91"/>
      <c r="E46" s="91"/>
      <c r="F46" s="91"/>
      <c r="G46" s="91"/>
      <c r="H46" s="91"/>
    </row>
    <row r="47" spans="1:8" ht="11.25" x14ac:dyDescent="0.2">
      <c r="A47" s="91"/>
      <c r="B47" s="91"/>
      <c r="C47" s="91"/>
      <c r="D47" s="91"/>
      <c r="E47" s="91"/>
      <c r="F47" s="91"/>
      <c r="G47" s="91"/>
      <c r="H47" s="91"/>
    </row>
    <row r="48" spans="1:8" ht="11.25" x14ac:dyDescent="0.2">
      <c r="A48" s="91"/>
      <c r="B48" s="91"/>
      <c r="C48" s="91"/>
      <c r="D48" s="91"/>
      <c r="E48" s="91"/>
      <c r="F48" s="91"/>
      <c r="G48" s="91"/>
      <c r="H48" s="91"/>
    </row>
    <row r="49" spans="1:8" ht="11.25" x14ac:dyDescent="0.2">
      <c r="A49" s="91"/>
      <c r="B49" s="91"/>
      <c r="C49" s="91"/>
      <c r="D49" s="91"/>
      <c r="E49" s="91"/>
      <c r="F49" s="91"/>
      <c r="G49" s="91"/>
      <c r="H49" s="91"/>
    </row>
    <row r="50" spans="1:8" ht="11.25" x14ac:dyDescent="0.2">
      <c r="A50" s="91"/>
      <c r="B50" s="91"/>
      <c r="C50" s="91"/>
      <c r="D50" s="91"/>
      <c r="E50" s="91"/>
      <c r="F50" s="91"/>
      <c r="G50" s="91"/>
      <c r="H50" s="91"/>
    </row>
    <row r="51" spans="1:8" ht="11.25" x14ac:dyDescent="0.2">
      <c r="A51" s="91"/>
      <c r="B51" s="91"/>
      <c r="C51" s="91"/>
      <c r="D51" s="91"/>
      <c r="E51" s="91"/>
      <c r="F51" s="91"/>
      <c r="G51" s="91"/>
      <c r="H51" s="91"/>
    </row>
    <row r="52" spans="1:8" ht="11.25" x14ac:dyDescent="0.2">
      <c r="A52" s="91"/>
      <c r="B52" s="91"/>
      <c r="C52" s="91"/>
      <c r="D52" s="91"/>
      <c r="E52" s="91"/>
      <c r="F52" s="91"/>
      <c r="G52" s="91"/>
      <c r="H52" s="91"/>
    </row>
    <row r="53" spans="1:8" ht="11.25" x14ac:dyDescent="0.2">
      <c r="A53" s="91"/>
      <c r="B53" s="91"/>
      <c r="C53" s="91"/>
      <c r="D53" s="91"/>
      <c r="E53" s="91"/>
      <c r="F53" s="91"/>
      <c r="G53" s="91"/>
      <c r="H53" s="91"/>
    </row>
    <row r="54" spans="1:8" ht="11.25" x14ac:dyDescent="0.2">
      <c r="A54" s="91"/>
      <c r="B54" s="91"/>
      <c r="C54" s="91"/>
      <c r="D54" s="91"/>
      <c r="E54" s="91"/>
      <c r="F54" s="91"/>
      <c r="G54" s="91"/>
      <c r="H54" s="91"/>
    </row>
    <row r="55" spans="1:8" ht="11.25" x14ac:dyDescent="0.2">
      <c r="A55" s="91"/>
      <c r="B55" s="91"/>
      <c r="C55" s="91"/>
      <c r="D55" s="91"/>
      <c r="E55" s="91"/>
      <c r="F55" s="91"/>
      <c r="G55" s="91"/>
      <c r="H55" s="91"/>
    </row>
    <row r="56" spans="1:8" ht="11.25" x14ac:dyDescent="0.2">
      <c r="A56" s="91"/>
      <c r="B56" s="91"/>
      <c r="C56" s="91"/>
      <c r="D56" s="91"/>
      <c r="E56" s="91"/>
      <c r="F56" s="91"/>
      <c r="G56" s="91"/>
      <c r="H56" s="91"/>
    </row>
    <row r="57" spans="1:8" ht="11.25" x14ac:dyDescent="0.2">
      <c r="A57" s="91"/>
      <c r="B57" s="91"/>
      <c r="C57" s="91"/>
      <c r="D57" s="91"/>
      <c r="E57" s="91"/>
      <c r="F57" s="91"/>
      <c r="G57" s="91"/>
      <c r="H57" s="91"/>
    </row>
    <row r="58" spans="1:8" ht="11.25" x14ac:dyDescent="0.2">
      <c r="A58" s="91"/>
      <c r="B58" s="91"/>
      <c r="C58" s="91"/>
      <c r="D58" s="91"/>
      <c r="E58" s="91"/>
      <c r="F58" s="91"/>
      <c r="G58" s="91"/>
      <c r="H58" s="91"/>
    </row>
    <row r="59" spans="1:8" ht="11.25" x14ac:dyDescent="0.2">
      <c r="A59" s="91"/>
      <c r="B59" s="91"/>
      <c r="C59" s="91"/>
      <c r="D59" s="91"/>
      <c r="E59" s="91"/>
      <c r="F59" s="91"/>
      <c r="G59" s="91"/>
      <c r="H59" s="91"/>
    </row>
    <row r="60" spans="1:8" ht="11.25" x14ac:dyDescent="0.2">
      <c r="A60" s="91"/>
      <c r="B60" s="91"/>
      <c r="C60" s="91"/>
      <c r="D60" s="91"/>
      <c r="E60" s="91"/>
      <c r="F60" s="91"/>
      <c r="G60" s="91"/>
      <c r="H60" s="91"/>
    </row>
    <row r="61" spans="1:8" ht="11.25" x14ac:dyDescent="0.2">
      <c r="A61" s="91"/>
      <c r="B61" s="91"/>
      <c r="C61" s="91"/>
      <c r="D61" s="91"/>
      <c r="E61" s="91"/>
      <c r="F61" s="91"/>
      <c r="G61" s="91"/>
      <c r="H61" s="91"/>
    </row>
    <row r="62" spans="1:8" ht="11.25" x14ac:dyDescent="0.2">
      <c r="A62" s="91"/>
      <c r="B62" s="91"/>
      <c r="C62" s="91"/>
      <c r="D62" s="91"/>
      <c r="E62" s="91"/>
      <c r="F62" s="91"/>
      <c r="G62" s="91"/>
      <c r="H62" s="91"/>
    </row>
    <row r="63" spans="1:8" ht="11.25" x14ac:dyDescent="0.2">
      <c r="A63" s="91"/>
      <c r="B63" s="91"/>
      <c r="C63" s="91"/>
      <c r="D63" s="91"/>
      <c r="E63" s="91"/>
      <c r="F63" s="91"/>
      <c r="G63" s="91"/>
      <c r="H63" s="91"/>
    </row>
    <row r="64" spans="1:8" ht="11.25" x14ac:dyDescent="0.2">
      <c r="A64" s="91"/>
      <c r="B64" s="91"/>
      <c r="C64" s="91"/>
      <c r="D64" s="91"/>
      <c r="E64" s="91"/>
      <c r="F64" s="91"/>
      <c r="G64" s="91"/>
      <c r="H64" s="91"/>
    </row>
    <row r="65" spans="1:8" ht="11.25" x14ac:dyDescent="0.2">
      <c r="A65" s="91"/>
      <c r="B65" s="91"/>
      <c r="C65" s="91"/>
      <c r="D65" s="91"/>
      <c r="E65" s="91"/>
      <c r="F65" s="91"/>
      <c r="G65" s="91"/>
      <c r="H65" s="91"/>
    </row>
    <row r="66" spans="1:8" ht="11.25" x14ac:dyDescent="0.2">
      <c r="A66" s="91"/>
      <c r="B66" s="91"/>
      <c r="C66" s="91"/>
      <c r="D66" s="91"/>
      <c r="E66" s="91"/>
      <c r="F66" s="91"/>
      <c r="G66" s="91"/>
      <c r="H66" s="91"/>
    </row>
    <row r="67" spans="1:8" ht="11.25" x14ac:dyDescent="0.2">
      <c r="A67" s="91"/>
      <c r="B67" s="91"/>
      <c r="C67" s="91"/>
      <c r="D67" s="91"/>
      <c r="E67" s="91"/>
      <c r="F67" s="91"/>
      <c r="G67" s="91"/>
      <c r="H67" s="91"/>
    </row>
    <row r="68" spans="1:8" ht="11.25" x14ac:dyDescent="0.2">
      <c r="A68" s="91"/>
      <c r="B68" s="91"/>
      <c r="C68" s="91"/>
      <c r="D68" s="91"/>
      <c r="E68" s="91"/>
      <c r="F68" s="91"/>
      <c r="G68" s="91"/>
      <c r="H68" s="91"/>
    </row>
    <row r="69" spans="1:8" ht="11.25" x14ac:dyDescent="0.2">
      <c r="A69" s="91"/>
      <c r="B69" s="91"/>
      <c r="C69" s="91"/>
      <c r="D69" s="91"/>
      <c r="E69" s="91"/>
      <c r="F69" s="91"/>
      <c r="G69" s="91"/>
      <c r="H69" s="91"/>
    </row>
    <row r="70" spans="1:8" ht="11.25" x14ac:dyDescent="0.2">
      <c r="A70" s="91"/>
      <c r="B70" s="91"/>
      <c r="C70" s="91"/>
      <c r="D70" s="91"/>
      <c r="E70" s="91"/>
      <c r="F70" s="91"/>
      <c r="G70" s="91"/>
      <c r="H70" s="91"/>
    </row>
    <row r="71" spans="1:8" ht="11.25" x14ac:dyDescent="0.2">
      <c r="A71" s="91"/>
      <c r="B71" s="91"/>
      <c r="C71" s="91"/>
      <c r="D71" s="91"/>
      <c r="E71" s="91"/>
      <c r="F71" s="91"/>
      <c r="G71" s="91"/>
      <c r="H71" s="91"/>
    </row>
    <row r="72" spans="1:8" ht="11.25" x14ac:dyDescent="0.2">
      <c r="A72" s="91"/>
      <c r="B72" s="91"/>
      <c r="C72" s="91"/>
      <c r="D72" s="91"/>
      <c r="E72" s="91"/>
      <c r="F72" s="91"/>
      <c r="G72" s="91"/>
      <c r="H72" s="91"/>
    </row>
    <row r="73" spans="1:8" ht="11.25" x14ac:dyDescent="0.2">
      <c r="A73" s="91"/>
      <c r="B73" s="91"/>
      <c r="C73" s="91"/>
      <c r="D73" s="91"/>
      <c r="E73" s="91"/>
      <c r="F73" s="91"/>
      <c r="G73" s="91"/>
      <c r="H73" s="91"/>
    </row>
    <row r="74" spans="1:8" ht="11.25" x14ac:dyDescent="0.2">
      <c r="A74" s="91"/>
      <c r="B74" s="91"/>
      <c r="C74" s="91"/>
      <c r="D74" s="91"/>
      <c r="E74" s="91"/>
      <c r="F74" s="91"/>
      <c r="G74" s="91"/>
      <c r="H74" s="91"/>
    </row>
    <row r="75" spans="1:8" ht="11.25" x14ac:dyDescent="0.2">
      <c r="A75" s="91"/>
      <c r="B75" s="91"/>
      <c r="C75" s="91"/>
      <c r="D75" s="91"/>
      <c r="E75" s="91"/>
      <c r="F75" s="91"/>
      <c r="G75" s="91"/>
      <c r="H75" s="91"/>
    </row>
    <row r="76" spans="1:8" ht="11.25" x14ac:dyDescent="0.2">
      <c r="A76" s="91"/>
      <c r="B76" s="91"/>
      <c r="C76" s="91"/>
      <c r="D76" s="91"/>
      <c r="E76" s="91"/>
      <c r="F76" s="91"/>
      <c r="G76" s="91"/>
      <c r="H76" s="91"/>
    </row>
    <row r="77" spans="1:8" ht="11.25" x14ac:dyDescent="0.2">
      <c r="A77" s="91"/>
      <c r="B77" s="91"/>
      <c r="C77" s="91"/>
      <c r="D77" s="91"/>
      <c r="E77" s="91"/>
      <c r="F77" s="91"/>
      <c r="G77" s="91"/>
      <c r="H77" s="91"/>
    </row>
    <row r="78" spans="1:8" ht="11.25" x14ac:dyDescent="0.2">
      <c r="A78" s="91"/>
      <c r="B78" s="91"/>
      <c r="C78" s="91"/>
      <c r="D78" s="91"/>
      <c r="E78" s="91"/>
      <c r="F78" s="91"/>
      <c r="G78" s="91"/>
      <c r="H78" s="91"/>
    </row>
    <row r="79" spans="1:8" ht="11.25" x14ac:dyDescent="0.2">
      <c r="A79" s="91"/>
      <c r="B79" s="91"/>
      <c r="C79" s="91"/>
      <c r="D79" s="91"/>
      <c r="E79" s="91"/>
      <c r="F79" s="91"/>
      <c r="G79" s="91"/>
      <c r="H79" s="91"/>
    </row>
    <row r="80" spans="1:8" ht="11.25" x14ac:dyDescent="0.2">
      <c r="A80" s="91"/>
      <c r="B80" s="91"/>
      <c r="C80" s="91"/>
      <c r="D80" s="91"/>
      <c r="E80" s="91"/>
      <c r="F80" s="91"/>
      <c r="G80" s="91"/>
      <c r="H80" s="91"/>
    </row>
    <row r="81" spans="1:8" ht="11.25" x14ac:dyDescent="0.2">
      <c r="A81" s="91"/>
      <c r="B81" s="91"/>
      <c r="C81" s="91"/>
      <c r="D81" s="91"/>
      <c r="E81" s="91"/>
      <c r="F81" s="91"/>
      <c r="G81" s="91"/>
      <c r="H81" s="91"/>
    </row>
    <row r="82" spans="1:8" ht="11.25" x14ac:dyDescent="0.2">
      <c r="A82" s="91"/>
      <c r="B82" s="91"/>
      <c r="C82" s="91"/>
      <c r="D82" s="91"/>
      <c r="E82" s="91"/>
      <c r="F82" s="91"/>
      <c r="G82" s="91"/>
      <c r="H82" s="91"/>
    </row>
    <row r="83" spans="1:8" ht="11.25" x14ac:dyDescent="0.2">
      <c r="A83" s="91"/>
      <c r="B83" s="91"/>
      <c r="C83" s="91"/>
      <c r="D83" s="91"/>
      <c r="E83" s="91"/>
      <c r="F83" s="91"/>
      <c r="G83" s="91"/>
      <c r="H83" s="91"/>
    </row>
    <row r="84" spans="1:8" ht="11.25" x14ac:dyDescent="0.2">
      <c r="A84" s="91"/>
      <c r="B84" s="91"/>
      <c r="C84" s="91"/>
      <c r="D84" s="91"/>
      <c r="E84" s="91"/>
      <c r="F84" s="91"/>
      <c r="G84" s="91"/>
      <c r="H84" s="91"/>
    </row>
    <row r="85" spans="1:8" ht="11.25" x14ac:dyDescent="0.2">
      <c r="A85" s="91"/>
      <c r="B85" s="91"/>
      <c r="C85" s="91"/>
      <c r="D85" s="91"/>
      <c r="E85" s="91"/>
      <c r="F85" s="91"/>
      <c r="G85" s="91"/>
      <c r="H85" s="91"/>
    </row>
    <row r="86" spans="1:8" ht="11.25" x14ac:dyDescent="0.2">
      <c r="A86" s="91"/>
      <c r="B86" s="91"/>
      <c r="C86" s="91"/>
      <c r="D86" s="91"/>
      <c r="E86" s="91"/>
      <c r="F86" s="91"/>
      <c r="G86" s="91"/>
      <c r="H86" s="91"/>
    </row>
    <row r="87" spans="1:8" ht="11.25" x14ac:dyDescent="0.2">
      <c r="A87" s="91"/>
      <c r="B87" s="91"/>
      <c r="C87" s="91"/>
      <c r="D87" s="91"/>
      <c r="E87" s="91"/>
      <c r="F87" s="91"/>
      <c r="G87" s="91"/>
      <c r="H87" s="91"/>
    </row>
    <row r="88" spans="1:8" ht="11.25" x14ac:dyDescent="0.2">
      <c r="A88" s="91"/>
      <c r="B88" s="91"/>
      <c r="C88" s="91"/>
      <c r="D88" s="91"/>
      <c r="E88" s="91"/>
      <c r="F88" s="91"/>
      <c r="G88" s="91"/>
      <c r="H88" s="91"/>
    </row>
    <row r="89" spans="1:8" ht="11.25" x14ac:dyDescent="0.2">
      <c r="A89" s="91"/>
      <c r="B89" s="91"/>
      <c r="C89" s="91"/>
      <c r="D89" s="91"/>
      <c r="E89" s="91"/>
      <c r="F89" s="91"/>
      <c r="G89" s="91"/>
      <c r="H89" s="91"/>
    </row>
    <row r="90" spans="1:8" ht="11.25" x14ac:dyDescent="0.2">
      <c r="A90" s="91"/>
      <c r="B90" s="91"/>
      <c r="C90" s="91"/>
      <c r="D90" s="91"/>
      <c r="E90" s="91"/>
      <c r="F90" s="91"/>
      <c r="G90" s="91"/>
      <c r="H90" s="91"/>
    </row>
    <row r="91" spans="1:8" ht="11.25" x14ac:dyDescent="0.2">
      <c r="A91" s="91"/>
      <c r="B91" s="91"/>
      <c r="C91" s="91"/>
      <c r="D91" s="91"/>
      <c r="E91" s="91"/>
      <c r="F91" s="91"/>
      <c r="G91" s="91"/>
      <c r="H91" s="91"/>
    </row>
    <row r="92" spans="1:8" ht="11.25" x14ac:dyDescent="0.2">
      <c r="A92" s="91"/>
      <c r="B92" s="91"/>
      <c r="C92" s="91"/>
      <c r="D92" s="91"/>
      <c r="E92" s="91"/>
      <c r="F92" s="91"/>
      <c r="G92" s="91"/>
      <c r="H92" s="91"/>
    </row>
    <row r="93" spans="1:8" ht="11.25" x14ac:dyDescent="0.2">
      <c r="A93" s="91"/>
      <c r="B93" s="91"/>
      <c r="C93" s="91"/>
      <c r="D93" s="91"/>
      <c r="E93" s="91"/>
      <c r="F93" s="91"/>
      <c r="G93" s="91"/>
      <c r="H93" s="91"/>
    </row>
    <row r="94" spans="1:8" ht="11.25" x14ac:dyDescent="0.2">
      <c r="A94" s="91"/>
      <c r="B94" s="91"/>
      <c r="C94" s="91"/>
      <c r="D94" s="91"/>
      <c r="E94" s="91"/>
      <c r="F94" s="91"/>
      <c r="G94" s="91"/>
      <c r="H94" s="91"/>
    </row>
    <row r="95" spans="1:8" ht="11.25" x14ac:dyDescent="0.2">
      <c r="A95" s="91"/>
      <c r="B95" s="91"/>
      <c r="C95" s="91"/>
      <c r="D95" s="91"/>
      <c r="E95" s="91"/>
      <c r="F95" s="91"/>
      <c r="G95" s="91"/>
      <c r="H95" s="91"/>
    </row>
    <row r="96" spans="1:8" ht="11.25" x14ac:dyDescent="0.2">
      <c r="A96" s="91"/>
      <c r="B96" s="91"/>
      <c r="C96" s="91"/>
      <c r="D96" s="91"/>
      <c r="E96" s="91"/>
      <c r="F96" s="91"/>
      <c r="G96" s="91"/>
      <c r="H96" s="91"/>
    </row>
    <row r="97" spans="1:8" ht="11.25" x14ac:dyDescent="0.2">
      <c r="A97" s="91"/>
      <c r="B97" s="91"/>
      <c r="C97" s="91"/>
      <c r="D97" s="91"/>
      <c r="E97" s="91"/>
      <c r="F97" s="91"/>
      <c r="G97" s="91"/>
      <c r="H97" s="91"/>
    </row>
    <row r="98" spans="1:8" ht="11.25" x14ac:dyDescent="0.2">
      <c r="A98" s="91"/>
      <c r="B98" s="91"/>
      <c r="C98" s="91"/>
      <c r="D98" s="91"/>
      <c r="E98" s="91"/>
      <c r="F98" s="91"/>
      <c r="G98" s="91"/>
      <c r="H98" s="91"/>
    </row>
    <row r="99" spans="1:8" ht="11.25" x14ac:dyDescent="0.2">
      <c r="A99" s="91"/>
      <c r="B99" s="91"/>
      <c r="C99" s="91"/>
      <c r="D99" s="91"/>
      <c r="E99" s="91"/>
      <c r="F99" s="91"/>
      <c r="G99" s="91"/>
      <c r="H99" s="91"/>
    </row>
    <row r="100" spans="1:8" ht="11.25" x14ac:dyDescent="0.2">
      <c r="A100" s="91"/>
      <c r="B100" s="91"/>
      <c r="C100" s="91"/>
      <c r="D100" s="91"/>
      <c r="E100" s="91"/>
      <c r="F100" s="91"/>
      <c r="G100" s="91"/>
      <c r="H100" s="91"/>
    </row>
    <row r="101" spans="1:8" ht="11.25" x14ac:dyDescent="0.2">
      <c r="A101" s="91"/>
      <c r="B101" s="91"/>
      <c r="C101" s="91"/>
      <c r="D101" s="91"/>
      <c r="E101" s="91"/>
      <c r="F101" s="91"/>
      <c r="G101" s="91"/>
      <c r="H101" s="91"/>
    </row>
    <row r="102" spans="1:8" ht="11.25" x14ac:dyDescent="0.2">
      <c r="A102" s="91"/>
      <c r="B102" s="91"/>
      <c r="C102" s="91"/>
      <c r="D102" s="91"/>
      <c r="E102" s="91"/>
      <c r="F102" s="91"/>
      <c r="G102" s="91"/>
      <c r="H102" s="91"/>
    </row>
    <row r="103" spans="1:8" ht="11.25" x14ac:dyDescent="0.2">
      <c r="A103" s="91"/>
      <c r="B103" s="91"/>
      <c r="C103" s="91"/>
      <c r="D103" s="91"/>
      <c r="E103" s="91"/>
      <c r="F103" s="91"/>
      <c r="G103" s="91"/>
      <c r="H103" s="91"/>
    </row>
    <row r="104" spans="1:8" ht="11.25" x14ac:dyDescent="0.2">
      <c r="A104" s="91"/>
      <c r="B104" s="91"/>
      <c r="C104" s="91"/>
      <c r="D104" s="91"/>
      <c r="E104" s="91"/>
      <c r="F104" s="91"/>
      <c r="G104" s="91"/>
      <c r="H104" s="91"/>
    </row>
    <row r="105" spans="1:8" ht="11.25" x14ac:dyDescent="0.2">
      <c r="A105" s="91"/>
      <c r="B105" s="91"/>
      <c r="C105" s="91"/>
      <c r="D105" s="91"/>
      <c r="E105" s="91"/>
      <c r="F105" s="91"/>
      <c r="G105" s="91"/>
      <c r="H105" s="91"/>
    </row>
    <row r="106" spans="1:8" ht="11.25" x14ac:dyDescent="0.2">
      <c r="A106" s="91"/>
      <c r="B106" s="91"/>
      <c r="C106" s="91"/>
      <c r="D106" s="91"/>
      <c r="E106" s="91"/>
      <c r="F106" s="91"/>
      <c r="G106" s="91"/>
      <c r="H106" s="91"/>
    </row>
    <row r="107" spans="1:8" ht="11.25" x14ac:dyDescent="0.2">
      <c r="A107" s="91"/>
      <c r="B107" s="91"/>
      <c r="C107" s="91"/>
      <c r="D107" s="91"/>
      <c r="E107" s="91"/>
      <c r="F107" s="91"/>
      <c r="G107" s="91"/>
      <c r="H107" s="91"/>
    </row>
    <row r="108" spans="1:8" ht="11.25" x14ac:dyDescent="0.2">
      <c r="A108" s="91"/>
      <c r="B108" s="91"/>
      <c r="C108" s="91"/>
      <c r="D108" s="91"/>
      <c r="E108" s="91"/>
      <c r="F108" s="91"/>
      <c r="G108" s="91"/>
      <c r="H108" s="91"/>
    </row>
    <row r="109" spans="1:8" ht="11.25" x14ac:dyDescent="0.2">
      <c r="A109" s="91"/>
      <c r="B109" s="91"/>
      <c r="C109" s="91"/>
      <c r="D109" s="91"/>
      <c r="E109" s="91"/>
      <c r="F109" s="91"/>
      <c r="G109" s="91"/>
      <c r="H109" s="91"/>
    </row>
    <row r="110" spans="1:8" ht="11.25" x14ac:dyDescent="0.2">
      <c r="A110" s="91"/>
      <c r="B110" s="91"/>
      <c r="C110" s="91"/>
      <c r="D110" s="91"/>
      <c r="E110" s="91"/>
      <c r="F110" s="91"/>
      <c r="G110" s="91"/>
      <c r="H110" s="91"/>
    </row>
    <row r="111" spans="1:8" ht="11.25" x14ac:dyDescent="0.2">
      <c r="A111" s="91"/>
      <c r="B111" s="91"/>
      <c r="C111" s="91"/>
      <c r="D111" s="91"/>
      <c r="E111" s="91"/>
      <c r="F111" s="91"/>
      <c r="G111" s="91"/>
      <c r="H111" s="91"/>
    </row>
    <row r="112" spans="1:8" ht="11.25" x14ac:dyDescent="0.2">
      <c r="A112" s="91"/>
      <c r="B112" s="91"/>
      <c r="C112" s="91"/>
      <c r="D112" s="91"/>
      <c r="E112" s="91"/>
      <c r="F112" s="91"/>
      <c r="G112" s="91"/>
      <c r="H112" s="91"/>
    </row>
    <row r="113" spans="1:8" ht="11.25" x14ac:dyDescent="0.2">
      <c r="A113" s="91"/>
      <c r="B113" s="91"/>
      <c r="C113" s="91"/>
      <c r="D113" s="91"/>
      <c r="E113" s="91"/>
      <c r="F113" s="91"/>
      <c r="G113" s="91"/>
      <c r="H113" s="91"/>
    </row>
    <row r="114" spans="1:8" ht="11.25" x14ac:dyDescent="0.2">
      <c r="A114" s="91"/>
      <c r="B114" s="91"/>
      <c r="C114" s="91"/>
      <c r="D114" s="91"/>
      <c r="E114" s="91"/>
      <c r="F114" s="91"/>
      <c r="G114" s="91"/>
      <c r="H114" s="91"/>
    </row>
    <row r="115" spans="1:8" ht="11.25" x14ac:dyDescent="0.2">
      <c r="A115" s="91"/>
      <c r="B115" s="91"/>
      <c r="C115" s="91"/>
      <c r="D115" s="91"/>
      <c r="E115" s="91"/>
      <c r="F115" s="91"/>
      <c r="G115" s="91"/>
      <c r="H115" s="91"/>
    </row>
    <row r="116" spans="1:8" ht="11.25" x14ac:dyDescent="0.2">
      <c r="A116" s="91"/>
      <c r="B116" s="91"/>
      <c r="C116" s="91"/>
      <c r="D116" s="91"/>
      <c r="E116" s="91"/>
      <c r="F116" s="91"/>
      <c r="G116" s="91"/>
      <c r="H116" s="91"/>
    </row>
    <row r="117" spans="1:8" ht="11.25" x14ac:dyDescent="0.2">
      <c r="A117" s="91"/>
      <c r="B117" s="91"/>
      <c r="C117" s="91"/>
      <c r="D117" s="91"/>
      <c r="E117" s="91"/>
      <c r="F117" s="91"/>
      <c r="G117" s="91"/>
      <c r="H117" s="91"/>
    </row>
    <row r="118" spans="1:8" ht="11.25" x14ac:dyDescent="0.2">
      <c r="A118" s="91"/>
      <c r="B118" s="91"/>
      <c r="C118" s="91"/>
      <c r="D118" s="91"/>
      <c r="E118" s="91"/>
      <c r="F118" s="91"/>
      <c r="G118" s="91"/>
      <c r="H118" s="91"/>
    </row>
    <row r="119" spans="1:8" ht="11.25" x14ac:dyDescent="0.2">
      <c r="A119" s="91"/>
      <c r="B119" s="91"/>
      <c r="C119" s="91"/>
      <c r="D119" s="91"/>
      <c r="E119" s="91"/>
      <c r="F119" s="91"/>
      <c r="G119" s="91"/>
      <c r="H119" s="91"/>
    </row>
    <row r="120" spans="1:8" ht="11.25" x14ac:dyDescent="0.2">
      <c r="A120" s="91"/>
      <c r="B120" s="91"/>
      <c r="C120" s="91"/>
      <c r="D120" s="91"/>
      <c r="E120" s="91"/>
      <c r="F120" s="91"/>
      <c r="G120" s="91"/>
      <c r="H120" s="91"/>
    </row>
    <row r="121" spans="1:8" ht="11.25" x14ac:dyDescent="0.2">
      <c r="A121" s="91"/>
      <c r="B121" s="91"/>
      <c r="C121" s="91"/>
      <c r="D121" s="91"/>
      <c r="E121" s="91"/>
      <c r="F121" s="91"/>
      <c r="G121" s="91"/>
      <c r="H121" s="91"/>
    </row>
    <row r="122" spans="1:8" ht="11.25" x14ac:dyDescent="0.2">
      <c r="A122" s="91"/>
      <c r="B122" s="91"/>
      <c r="C122" s="91"/>
      <c r="D122" s="91"/>
      <c r="E122" s="91"/>
      <c r="F122" s="91"/>
      <c r="G122" s="91"/>
      <c r="H122" s="91"/>
    </row>
    <row r="123" spans="1:8" ht="11.25" x14ac:dyDescent="0.2">
      <c r="A123" s="91"/>
      <c r="B123" s="91"/>
      <c r="C123" s="91"/>
      <c r="D123" s="91"/>
      <c r="E123" s="91"/>
      <c r="F123" s="91"/>
      <c r="G123" s="91"/>
      <c r="H123" s="91"/>
    </row>
    <row r="124" spans="1:8" ht="11.25" x14ac:dyDescent="0.2">
      <c r="A124" s="91"/>
      <c r="B124" s="91"/>
      <c r="C124" s="91"/>
      <c r="D124" s="91"/>
      <c r="E124" s="91"/>
      <c r="F124" s="91"/>
      <c r="G124" s="91"/>
      <c r="H124" s="91"/>
    </row>
    <row r="125" spans="1:8" ht="11.25" x14ac:dyDescent="0.2">
      <c r="A125" s="91"/>
      <c r="B125" s="91"/>
      <c r="C125" s="91"/>
      <c r="D125" s="91"/>
      <c r="E125" s="91"/>
      <c r="F125" s="91"/>
      <c r="G125" s="91"/>
      <c r="H125" s="91"/>
    </row>
    <row r="126" spans="1:8" ht="11.25" x14ac:dyDescent="0.2">
      <c r="A126" s="91"/>
      <c r="B126" s="91"/>
      <c r="C126" s="91"/>
      <c r="D126" s="91"/>
      <c r="E126" s="91"/>
      <c r="F126" s="91"/>
      <c r="G126" s="91"/>
      <c r="H126" s="91"/>
    </row>
    <row r="127" spans="1:8" ht="11.25" x14ac:dyDescent="0.2">
      <c r="A127" s="91"/>
      <c r="B127" s="91"/>
      <c r="C127" s="91"/>
      <c r="D127" s="91"/>
      <c r="E127" s="91"/>
      <c r="F127" s="91"/>
      <c r="G127" s="91"/>
      <c r="H127" s="91"/>
    </row>
    <row r="128" spans="1:8" ht="11.25" x14ac:dyDescent="0.2">
      <c r="A128" s="91"/>
      <c r="B128" s="91"/>
      <c r="C128" s="91"/>
      <c r="D128" s="91"/>
      <c r="E128" s="91"/>
      <c r="F128" s="91"/>
      <c r="G128" s="91"/>
      <c r="H128" s="91"/>
    </row>
    <row r="129" spans="1:8" ht="11.25" x14ac:dyDescent="0.2">
      <c r="A129" s="91"/>
      <c r="B129" s="91"/>
      <c r="C129" s="91"/>
      <c r="D129" s="91"/>
      <c r="E129" s="91"/>
      <c r="F129" s="91"/>
      <c r="G129" s="91"/>
      <c r="H129" s="91"/>
    </row>
    <row r="130" spans="1:8" ht="11.25" x14ac:dyDescent="0.2">
      <c r="A130" s="91"/>
      <c r="B130" s="91"/>
      <c r="C130" s="91"/>
      <c r="D130" s="91"/>
      <c r="E130" s="91"/>
      <c r="F130" s="91"/>
      <c r="G130" s="91"/>
      <c r="H130" s="91"/>
    </row>
    <row r="131" spans="1:8" ht="11.25" x14ac:dyDescent="0.2">
      <c r="A131" s="91"/>
      <c r="B131" s="91"/>
      <c r="C131" s="91"/>
      <c r="D131" s="91"/>
      <c r="E131" s="91"/>
      <c r="F131" s="91"/>
      <c r="G131" s="91"/>
      <c r="H131" s="91"/>
    </row>
    <row r="132" spans="1:8" ht="11.25" x14ac:dyDescent="0.2">
      <c r="A132" s="91"/>
      <c r="B132" s="91"/>
      <c r="C132" s="91"/>
      <c r="D132" s="91"/>
      <c r="E132" s="91"/>
      <c r="F132" s="91"/>
      <c r="G132" s="91"/>
      <c r="H132" s="91"/>
    </row>
    <row r="133" spans="1:8" ht="11.25" x14ac:dyDescent="0.2">
      <c r="A133" s="91"/>
      <c r="B133" s="91"/>
      <c r="C133" s="91"/>
      <c r="D133" s="91"/>
      <c r="E133" s="91"/>
      <c r="F133" s="91"/>
      <c r="G133" s="91"/>
      <c r="H133" s="91"/>
    </row>
    <row r="134" spans="1:8" ht="11.25" x14ac:dyDescent="0.2">
      <c r="A134" s="91"/>
      <c r="B134" s="91"/>
      <c r="C134" s="91"/>
      <c r="D134" s="91"/>
      <c r="E134" s="91"/>
      <c r="F134" s="91"/>
      <c r="G134" s="91"/>
      <c r="H134" s="91"/>
    </row>
    <row r="135" spans="1:8" ht="11.25" x14ac:dyDescent="0.2">
      <c r="A135" s="91"/>
      <c r="B135" s="91"/>
      <c r="C135" s="91"/>
      <c r="D135" s="91"/>
      <c r="E135" s="91"/>
      <c r="F135" s="91"/>
      <c r="G135" s="91"/>
      <c r="H135" s="91"/>
    </row>
    <row r="136" spans="1:8" ht="11.25" x14ac:dyDescent="0.2">
      <c r="A136" s="91"/>
      <c r="B136" s="91"/>
      <c r="C136" s="91"/>
      <c r="D136" s="91"/>
      <c r="E136" s="91"/>
      <c r="F136" s="91"/>
      <c r="G136" s="91"/>
      <c r="H136" s="91"/>
    </row>
    <row r="137" spans="1:8" ht="11.25" x14ac:dyDescent="0.2">
      <c r="A137" s="91"/>
      <c r="B137" s="91"/>
      <c r="C137" s="91"/>
      <c r="D137" s="91"/>
      <c r="E137" s="91"/>
      <c r="F137" s="91"/>
      <c r="G137" s="91"/>
      <c r="H137" s="91"/>
    </row>
    <row r="138" spans="1:8" ht="11.25" x14ac:dyDescent="0.2">
      <c r="A138" s="91"/>
      <c r="B138" s="91"/>
      <c r="C138" s="91"/>
      <c r="D138" s="91"/>
      <c r="E138" s="91"/>
      <c r="F138" s="91"/>
      <c r="G138" s="91"/>
      <c r="H138" s="91"/>
    </row>
    <row r="139" spans="1:8" ht="11.25" x14ac:dyDescent="0.2">
      <c r="A139" s="91"/>
      <c r="B139" s="91"/>
      <c r="C139" s="91"/>
      <c r="D139" s="91"/>
      <c r="E139" s="91"/>
      <c r="F139" s="91"/>
      <c r="G139" s="91"/>
      <c r="H139" s="91"/>
    </row>
    <row r="140" spans="1:8" ht="11.25" x14ac:dyDescent="0.2">
      <c r="A140" s="91"/>
      <c r="B140" s="91"/>
      <c r="C140" s="91"/>
      <c r="D140" s="91"/>
      <c r="E140" s="91"/>
      <c r="F140" s="91"/>
      <c r="G140" s="91"/>
      <c r="H140" s="91"/>
    </row>
    <row r="141" spans="1:8" ht="11.25" x14ac:dyDescent="0.2">
      <c r="A141" s="91"/>
      <c r="B141" s="91"/>
      <c r="C141" s="91"/>
      <c r="D141" s="91"/>
      <c r="E141" s="91"/>
      <c r="F141" s="91"/>
      <c r="G141" s="91"/>
      <c r="H141" s="91"/>
    </row>
    <row r="142" spans="1:8" ht="11.25" x14ac:dyDescent="0.2">
      <c r="A142" s="91"/>
      <c r="B142" s="91"/>
      <c r="C142" s="91"/>
      <c r="D142" s="91"/>
      <c r="E142" s="91"/>
      <c r="F142" s="91"/>
      <c r="G142" s="91"/>
      <c r="H142" s="91"/>
    </row>
    <row r="143" spans="1:8" ht="11.25" x14ac:dyDescent="0.2">
      <c r="A143" s="91"/>
      <c r="B143" s="91"/>
      <c r="C143" s="91"/>
      <c r="D143" s="91"/>
      <c r="E143" s="91"/>
      <c r="F143" s="91"/>
      <c r="G143" s="91"/>
      <c r="H143" s="91"/>
    </row>
    <row r="144" spans="1:8" ht="11.25" x14ac:dyDescent="0.2">
      <c r="A144" s="91"/>
      <c r="B144" s="91"/>
      <c r="C144" s="91"/>
      <c r="D144" s="91"/>
      <c r="E144" s="91"/>
      <c r="F144" s="91"/>
      <c r="G144" s="91"/>
      <c r="H144" s="91"/>
    </row>
    <row r="145" spans="1:8" ht="11.25" x14ac:dyDescent="0.2">
      <c r="A145" s="91"/>
      <c r="B145" s="91"/>
      <c r="C145" s="91"/>
      <c r="D145" s="91"/>
      <c r="E145" s="91"/>
      <c r="F145" s="91"/>
      <c r="G145" s="91"/>
      <c r="H145" s="91"/>
    </row>
    <row r="146" spans="1:8" ht="11.25" x14ac:dyDescent="0.2">
      <c r="A146" s="91"/>
      <c r="B146" s="91"/>
      <c r="C146" s="91"/>
      <c r="D146" s="91"/>
      <c r="E146" s="91"/>
      <c r="F146" s="91"/>
      <c r="G146" s="91"/>
      <c r="H146" s="91"/>
    </row>
    <row r="147" spans="1:8" ht="11.25" x14ac:dyDescent="0.2">
      <c r="A147" s="91"/>
      <c r="B147" s="91"/>
      <c r="C147" s="91"/>
      <c r="D147" s="91"/>
      <c r="E147" s="91"/>
      <c r="F147" s="91"/>
      <c r="G147" s="91"/>
      <c r="H147" s="91"/>
    </row>
    <row r="148" spans="1:8" ht="11.25" x14ac:dyDescent="0.2">
      <c r="A148" s="91"/>
      <c r="B148" s="91"/>
      <c r="C148" s="91"/>
      <c r="D148" s="91"/>
      <c r="E148" s="91"/>
      <c r="F148" s="91"/>
      <c r="G148" s="91"/>
      <c r="H148" s="91"/>
    </row>
    <row r="149" spans="1:8" ht="11.25" x14ac:dyDescent="0.2">
      <c r="A149" s="91"/>
      <c r="B149" s="91"/>
      <c r="C149" s="91"/>
      <c r="D149" s="91"/>
      <c r="E149" s="91"/>
      <c r="F149" s="91"/>
      <c r="G149" s="91"/>
      <c r="H149" s="91"/>
    </row>
    <row r="150" spans="1:8" ht="11.25" x14ac:dyDescent="0.2">
      <c r="A150" s="91"/>
      <c r="B150" s="91"/>
      <c r="C150" s="91"/>
      <c r="D150" s="91"/>
      <c r="E150" s="91"/>
      <c r="F150" s="91"/>
      <c r="G150" s="91"/>
      <c r="H150" s="91"/>
    </row>
    <row r="151" spans="1:8" ht="11.25" x14ac:dyDescent="0.2">
      <c r="A151" s="91"/>
      <c r="B151" s="91"/>
      <c r="C151" s="91"/>
      <c r="D151" s="91"/>
      <c r="E151" s="91"/>
      <c r="F151" s="91"/>
      <c r="G151" s="91"/>
      <c r="H151" s="91"/>
    </row>
    <row r="152" spans="1:8" ht="11.25" x14ac:dyDescent="0.2">
      <c r="A152" s="91"/>
      <c r="B152" s="91"/>
      <c r="C152" s="91"/>
      <c r="D152" s="91"/>
      <c r="E152" s="91"/>
      <c r="F152" s="91"/>
      <c r="G152" s="91"/>
      <c r="H152" s="91"/>
    </row>
    <row r="153" spans="1:8" ht="11.25" x14ac:dyDescent="0.2">
      <c r="A153" s="91"/>
      <c r="B153" s="91"/>
      <c r="C153" s="91"/>
      <c r="D153" s="91"/>
      <c r="E153" s="91"/>
      <c r="F153" s="91"/>
      <c r="G153" s="91"/>
      <c r="H153" s="91"/>
    </row>
    <row r="154" spans="1:8" ht="11.25" x14ac:dyDescent="0.2">
      <c r="A154" s="91"/>
      <c r="B154" s="91"/>
      <c r="C154" s="91"/>
      <c r="D154" s="91"/>
      <c r="E154" s="91"/>
      <c r="F154" s="91"/>
      <c r="G154" s="91"/>
      <c r="H154" s="91"/>
    </row>
    <row r="155" spans="1:8" ht="11.25" x14ac:dyDescent="0.2">
      <c r="A155" s="91"/>
      <c r="B155" s="91"/>
      <c r="C155" s="91"/>
      <c r="D155" s="91"/>
      <c r="E155" s="91"/>
      <c r="F155" s="91"/>
      <c r="G155" s="91"/>
      <c r="H155" s="91"/>
    </row>
    <row r="156" spans="1:8" ht="11.25" x14ac:dyDescent="0.2">
      <c r="A156" s="91"/>
      <c r="B156" s="91"/>
      <c r="C156" s="91"/>
      <c r="D156" s="91"/>
      <c r="E156" s="91"/>
      <c r="F156" s="91"/>
      <c r="G156" s="91"/>
      <c r="H156" s="91"/>
    </row>
    <row r="157" spans="1:8" ht="11.25" x14ac:dyDescent="0.2">
      <c r="A157" s="91"/>
      <c r="B157" s="91"/>
      <c r="C157" s="91"/>
      <c r="D157" s="91"/>
      <c r="E157" s="91"/>
      <c r="F157" s="91"/>
      <c r="G157" s="91"/>
      <c r="H157" s="91"/>
    </row>
    <row r="158" spans="1:8" ht="11.25" x14ac:dyDescent="0.2">
      <c r="A158" s="91"/>
      <c r="B158" s="91"/>
      <c r="C158" s="91"/>
      <c r="D158" s="91"/>
      <c r="E158" s="91"/>
      <c r="F158" s="91"/>
      <c r="G158" s="91"/>
      <c r="H158" s="91"/>
    </row>
    <row r="159" spans="1:8" ht="11.25" x14ac:dyDescent="0.2">
      <c r="A159" s="91"/>
      <c r="B159" s="91"/>
      <c r="C159" s="91"/>
      <c r="D159" s="91"/>
      <c r="E159" s="91"/>
      <c r="F159" s="91"/>
      <c r="G159" s="91"/>
      <c r="H159" s="91"/>
    </row>
    <row r="160" spans="1:8" ht="11.25" x14ac:dyDescent="0.2">
      <c r="A160" s="91"/>
      <c r="B160" s="91"/>
      <c r="C160" s="91"/>
      <c r="D160" s="91"/>
      <c r="E160" s="91"/>
      <c r="F160" s="91"/>
      <c r="G160" s="91"/>
      <c r="H160" s="91"/>
    </row>
    <row r="161" spans="1:8" ht="11.25" x14ac:dyDescent="0.2">
      <c r="A161" s="91"/>
      <c r="B161" s="91"/>
      <c r="C161" s="91"/>
      <c r="D161" s="91"/>
      <c r="E161" s="91"/>
      <c r="F161" s="91"/>
      <c r="G161" s="91"/>
      <c r="H161" s="91"/>
    </row>
    <row r="162" spans="1:8" ht="11.25" x14ac:dyDescent="0.2">
      <c r="A162" s="91"/>
      <c r="B162" s="91"/>
      <c r="C162" s="91"/>
      <c r="D162" s="91"/>
      <c r="E162" s="91"/>
      <c r="F162" s="91"/>
      <c r="G162" s="91"/>
      <c r="H162" s="91"/>
    </row>
    <row r="163" spans="1:8" ht="11.25" x14ac:dyDescent="0.2">
      <c r="A163" s="91"/>
      <c r="B163" s="91"/>
      <c r="C163" s="91"/>
      <c r="D163" s="91"/>
      <c r="E163" s="91"/>
      <c r="F163" s="91"/>
      <c r="G163" s="91"/>
      <c r="H163" s="91"/>
    </row>
    <row r="164" spans="1:8" ht="11.25" x14ac:dyDescent="0.2">
      <c r="A164" s="91"/>
      <c r="B164" s="91"/>
      <c r="C164" s="91"/>
      <c r="D164" s="91"/>
      <c r="E164" s="91"/>
      <c r="F164" s="91"/>
      <c r="G164" s="91"/>
      <c r="H164" s="91"/>
    </row>
    <row r="165" spans="1:8" ht="11.25" x14ac:dyDescent="0.2">
      <c r="A165" s="91"/>
      <c r="B165" s="91"/>
      <c r="C165" s="91"/>
      <c r="D165" s="91"/>
      <c r="E165" s="91"/>
      <c r="F165" s="91"/>
      <c r="G165" s="91"/>
      <c r="H165" s="91"/>
    </row>
    <row r="166" spans="1:8" ht="11.25" x14ac:dyDescent="0.2">
      <c r="A166" s="91"/>
      <c r="B166" s="91"/>
      <c r="C166" s="91"/>
      <c r="D166" s="91"/>
      <c r="E166" s="91"/>
      <c r="F166" s="91"/>
      <c r="G166" s="91"/>
      <c r="H166" s="91"/>
    </row>
    <row r="167" spans="1:8" ht="11.25" x14ac:dyDescent="0.2">
      <c r="A167" s="91"/>
      <c r="B167" s="91"/>
      <c r="C167" s="91"/>
      <c r="D167" s="91"/>
      <c r="E167" s="91"/>
      <c r="F167" s="91"/>
      <c r="G167" s="91"/>
      <c r="H167" s="91"/>
    </row>
    <row r="168" spans="1:8" ht="11.25" x14ac:dyDescent="0.2">
      <c r="A168" s="91"/>
      <c r="B168" s="91"/>
      <c r="C168" s="91"/>
      <c r="D168" s="91"/>
      <c r="E168" s="91"/>
      <c r="F168" s="91"/>
      <c r="G168" s="91"/>
      <c r="H168" s="91"/>
    </row>
  </sheetData>
  <mergeCells count="1">
    <mergeCell ref="A21:D21"/>
  </mergeCells>
  <phoneticPr fontId="0" type="noConversion"/>
  <printOptions horizontalCentered="1"/>
  <pageMargins left="0.5" right="0.5" top="1" bottom="1" header="0.5" footer="0.5"/>
  <pageSetup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125"/>
  <sheetViews>
    <sheetView zoomScaleNormal="100" workbookViewId="0">
      <selection activeCell="C16" sqref="C16"/>
    </sheetView>
  </sheetViews>
  <sheetFormatPr defaultColWidth="9.83203125" defaultRowHeight="10.5" x14ac:dyDescent="0.15"/>
  <cols>
    <col min="1" max="1" width="28.33203125" bestFit="1" customWidth="1"/>
    <col min="2" max="2" width="2.83203125" customWidth="1"/>
    <col min="3" max="3" width="54" bestFit="1" customWidth="1"/>
    <col min="8" max="8" width="9.83203125" customWidth="1"/>
    <col min="10" max="10" width="1.83203125" customWidth="1"/>
    <col min="11" max="11" width="7.83203125" customWidth="1"/>
    <col min="12" max="12" width="6.83203125" customWidth="1"/>
  </cols>
  <sheetData>
    <row r="1" spans="1:8" ht="12.75" x14ac:dyDescent="0.2">
      <c r="A1" s="112"/>
      <c r="B1" s="90"/>
      <c r="C1" s="90"/>
      <c r="D1" s="90"/>
      <c r="E1" s="91"/>
      <c r="F1" s="91"/>
      <c r="G1" s="91"/>
      <c r="H1" s="91"/>
    </row>
    <row r="2" spans="1:8" ht="12.75" x14ac:dyDescent="0.2">
      <c r="A2" s="90"/>
      <c r="B2" s="90"/>
      <c r="C2" s="90"/>
      <c r="D2" s="90"/>
      <c r="E2" s="91"/>
      <c r="F2" s="91"/>
      <c r="G2" s="91"/>
      <c r="H2" s="91"/>
    </row>
    <row r="3" spans="1:8" ht="12.75" x14ac:dyDescent="0.2">
      <c r="A3" s="90"/>
      <c r="B3" s="90"/>
      <c r="C3" s="113" t="s">
        <v>192</v>
      </c>
      <c r="D3" s="90"/>
      <c r="E3" s="91"/>
      <c r="F3" s="91"/>
      <c r="G3" s="91"/>
      <c r="H3" s="91"/>
    </row>
    <row r="4" spans="1:8" ht="12.75" x14ac:dyDescent="0.2">
      <c r="A4" s="90"/>
      <c r="B4" s="90"/>
      <c r="C4" s="90"/>
      <c r="D4" s="90"/>
      <c r="E4" s="91"/>
      <c r="F4" s="91"/>
      <c r="G4" s="91"/>
      <c r="H4" s="91"/>
    </row>
    <row r="5" spans="1:8" ht="12.75" x14ac:dyDescent="0.2">
      <c r="A5" s="90"/>
      <c r="B5" s="90"/>
      <c r="C5" s="113" t="s">
        <v>219</v>
      </c>
      <c r="D5" s="90"/>
      <c r="E5" s="91"/>
      <c r="F5" s="91"/>
      <c r="G5" s="91"/>
      <c r="H5" s="91"/>
    </row>
    <row r="6" spans="1:8" ht="12.75" x14ac:dyDescent="0.2">
      <c r="A6" s="90"/>
      <c r="B6" s="90"/>
      <c r="C6" s="90"/>
      <c r="D6" s="90"/>
      <c r="E6" s="91"/>
      <c r="F6" s="91"/>
      <c r="G6" s="91"/>
      <c r="H6" s="91"/>
    </row>
    <row r="7" spans="1:8" ht="12.75" x14ac:dyDescent="0.2">
      <c r="A7" s="112" t="s">
        <v>476</v>
      </c>
      <c r="B7" s="90"/>
      <c r="C7" s="113" t="s">
        <v>477</v>
      </c>
      <c r="D7" s="90"/>
      <c r="E7" s="91"/>
      <c r="F7" s="91"/>
      <c r="G7" s="91"/>
      <c r="H7" s="91"/>
    </row>
    <row r="8" spans="1:8" ht="12.75" x14ac:dyDescent="0.2">
      <c r="A8" s="90"/>
      <c r="B8" s="90"/>
      <c r="C8" s="90"/>
      <c r="D8" s="90"/>
      <c r="E8" s="91"/>
      <c r="F8" s="91"/>
      <c r="G8" s="91"/>
      <c r="H8" s="91"/>
    </row>
    <row r="9" spans="1:8" ht="12.75" x14ac:dyDescent="0.2">
      <c r="A9" s="112" t="s">
        <v>937</v>
      </c>
      <c r="B9" s="90"/>
      <c r="C9" s="113" t="str">
        <f>+Input!C4</f>
        <v>CASE NO. 2017-xxxxx</v>
      </c>
      <c r="D9" s="90"/>
      <c r="E9" s="91"/>
      <c r="F9" s="91"/>
      <c r="G9" s="91"/>
      <c r="H9" s="91"/>
    </row>
    <row r="10" spans="1:8" ht="12.75" x14ac:dyDescent="0.2">
      <c r="A10" s="112"/>
      <c r="B10" s="90"/>
      <c r="C10" s="113"/>
      <c r="D10" s="90"/>
      <c r="E10" s="91"/>
      <c r="F10" s="91"/>
      <c r="G10" s="91"/>
      <c r="H10" s="91"/>
    </row>
    <row r="11" spans="1:8" ht="12.75" x14ac:dyDescent="0.2">
      <c r="A11" s="112" t="s">
        <v>843</v>
      </c>
      <c r="B11" s="90"/>
      <c r="C11" s="113" t="str">
        <f>+Input!C6</f>
        <v>TWELVE MONTHS ENDED DECEMBER 31, 2017</v>
      </c>
      <c r="D11" s="90"/>
      <c r="E11" s="91"/>
      <c r="F11" s="91"/>
      <c r="G11" s="91"/>
      <c r="H11" s="91"/>
    </row>
    <row r="12" spans="1:8" ht="12.75" x14ac:dyDescent="0.2">
      <c r="A12" s="90"/>
      <c r="B12" s="90"/>
      <c r="C12" s="90"/>
      <c r="D12" s="90"/>
      <c r="E12" s="91"/>
      <c r="F12" s="91"/>
      <c r="G12" s="91"/>
      <c r="H12" s="91"/>
    </row>
    <row r="13" spans="1:8" ht="12.75" x14ac:dyDescent="0.2">
      <c r="A13" s="112" t="s">
        <v>478</v>
      </c>
      <c r="B13" s="90"/>
      <c r="C13" s="113" t="str">
        <f>+Input!C6</f>
        <v>TWELVE MONTHS ENDED DECEMBER 31, 2017</v>
      </c>
      <c r="D13" s="90"/>
      <c r="E13" s="91"/>
      <c r="F13" s="91"/>
      <c r="G13" s="91"/>
      <c r="H13" s="91"/>
    </row>
    <row r="14" spans="1:8" ht="12.75" x14ac:dyDescent="0.2">
      <c r="A14" s="90"/>
      <c r="B14" s="90"/>
      <c r="C14" s="90"/>
      <c r="D14" s="90"/>
      <c r="E14" s="91"/>
      <c r="F14" s="91"/>
      <c r="G14" s="91"/>
      <c r="H14" s="91"/>
    </row>
    <row r="15" spans="1:8" ht="12.75" x14ac:dyDescent="0.2">
      <c r="A15" s="90"/>
      <c r="B15" s="90"/>
      <c r="C15" s="90"/>
      <c r="D15" s="90"/>
      <c r="E15" s="91"/>
      <c r="F15" s="91"/>
      <c r="G15" s="91"/>
      <c r="H15" s="91"/>
    </row>
    <row r="16" spans="1:8" ht="12.75" x14ac:dyDescent="0.2">
      <c r="A16" s="115" t="s">
        <v>479</v>
      </c>
      <c r="B16" s="116"/>
      <c r="C16" s="117" t="s">
        <v>480</v>
      </c>
      <c r="D16" s="116"/>
      <c r="E16" s="118"/>
      <c r="F16" s="118"/>
      <c r="G16" s="118"/>
      <c r="H16" s="118"/>
    </row>
    <row r="17" spans="1:8" ht="12.75" x14ac:dyDescent="0.2">
      <c r="A17" s="90"/>
      <c r="B17" s="90"/>
      <c r="C17" s="90"/>
      <c r="D17" s="90"/>
      <c r="E17" s="91"/>
      <c r="F17" s="91"/>
      <c r="G17" s="91"/>
      <c r="H17" s="91"/>
    </row>
    <row r="18" spans="1:8" ht="12.75" x14ac:dyDescent="0.2">
      <c r="A18" s="114" t="s">
        <v>220</v>
      </c>
      <c r="B18" s="90"/>
      <c r="C18" s="90" t="s">
        <v>223</v>
      </c>
      <c r="D18" s="90"/>
      <c r="E18" s="91"/>
      <c r="F18" s="91"/>
      <c r="G18" s="91"/>
      <c r="H18" s="91"/>
    </row>
    <row r="19" spans="1:8" ht="12.75" x14ac:dyDescent="0.2">
      <c r="A19" s="112" t="s">
        <v>224</v>
      </c>
      <c r="B19" s="90"/>
      <c r="C19" s="112" t="s">
        <v>225</v>
      </c>
      <c r="D19" s="90"/>
      <c r="E19" s="91"/>
      <c r="F19" s="91"/>
      <c r="G19" s="91"/>
      <c r="H19" s="91"/>
    </row>
    <row r="20" spans="1:8" ht="12.75" x14ac:dyDescent="0.2">
      <c r="A20" s="112" t="s">
        <v>226</v>
      </c>
      <c r="B20" s="90"/>
      <c r="C20" s="112" t="s">
        <v>227</v>
      </c>
      <c r="D20" s="90"/>
      <c r="E20" s="91"/>
      <c r="F20" s="91"/>
      <c r="G20" s="91"/>
      <c r="H20" s="91"/>
    </row>
    <row r="21" spans="1:8" ht="12.75" x14ac:dyDescent="0.2">
      <c r="A21" s="112"/>
      <c r="B21" s="90"/>
      <c r="C21" s="90"/>
      <c r="D21" s="90"/>
      <c r="E21" s="91"/>
      <c r="F21" s="91"/>
      <c r="G21" s="91"/>
      <c r="H21" s="91"/>
    </row>
    <row r="22" spans="1:8" ht="12.75" x14ac:dyDescent="0.2">
      <c r="A22" s="112"/>
      <c r="B22" s="90"/>
      <c r="C22" s="90"/>
      <c r="D22" s="90"/>
      <c r="E22" s="91"/>
      <c r="F22" s="91"/>
      <c r="G22" s="91"/>
      <c r="H22" s="91"/>
    </row>
    <row r="23" spans="1:8" ht="11.25" x14ac:dyDescent="0.2">
      <c r="A23" s="133"/>
      <c r="B23" s="91"/>
      <c r="C23" s="91"/>
      <c r="D23" s="91"/>
      <c r="E23" s="91"/>
      <c r="F23" s="91"/>
      <c r="G23" s="91"/>
      <c r="H23" s="91"/>
    </row>
    <row r="24" spans="1:8" ht="11.25" x14ac:dyDescent="0.2">
      <c r="A24" s="133"/>
      <c r="B24" s="91"/>
      <c r="C24" s="91"/>
      <c r="D24" s="91"/>
      <c r="E24" s="91"/>
      <c r="F24" s="91"/>
      <c r="G24" s="91"/>
      <c r="H24" s="91"/>
    </row>
    <row r="25" spans="1:8" ht="11.25" x14ac:dyDescent="0.2">
      <c r="A25" s="133"/>
      <c r="B25" s="91"/>
      <c r="C25" s="91"/>
      <c r="D25" s="91"/>
      <c r="E25" s="91"/>
      <c r="F25" s="91"/>
      <c r="G25" s="91"/>
      <c r="H25" s="91"/>
    </row>
    <row r="26" spans="1:8" ht="11.25" x14ac:dyDescent="0.2">
      <c r="A26" s="133"/>
      <c r="B26" s="91"/>
      <c r="C26" s="91"/>
      <c r="D26" s="91"/>
      <c r="E26" s="91"/>
      <c r="F26" s="91"/>
      <c r="G26" s="91"/>
      <c r="H26" s="91"/>
    </row>
    <row r="27" spans="1:8" ht="11.25" x14ac:dyDescent="0.2">
      <c r="A27" s="133"/>
      <c r="B27" s="91"/>
      <c r="C27" s="91"/>
      <c r="D27" s="91"/>
      <c r="E27" s="91"/>
      <c r="F27" s="91"/>
      <c r="G27" s="91"/>
      <c r="H27" s="91"/>
    </row>
    <row r="28" spans="1:8" ht="11.25" x14ac:dyDescent="0.2">
      <c r="A28" s="133"/>
      <c r="B28" s="91"/>
      <c r="C28" s="91"/>
      <c r="D28" s="91"/>
      <c r="E28" s="91"/>
      <c r="F28" s="91"/>
      <c r="G28" s="91"/>
      <c r="H28" s="91"/>
    </row>
    <row r="29" spans="1:8" ht="11.25" x14ac:dyDescent="0.2">
      <c r="A29" s="133"/>
      <c r="B29" s="91"/>
      <c r="C29" s="91"/>
      <c r="D29" s="91"/>
      <c r="E29" s="91"/>
      <c r="F29" s="91"/>
      <c r="G29" s="91"/>
      <c r="H29" s="91"/>
    </row>
    <row r="30" spans="1:8" ht="11.25" x14ac:dyDescent="0.2">
      <c r="A30" s="133"/>
      <c r="B30" s="91"/>
      <c r="C30" s="91"/>
      <c r="D30" s="91"/>
      <c r="E30" s="91"/>
      <c r="F30" s="91"/>
      <c r="G30" s="91"/>
      <c r="H30" s="91"/>
    </row>
    <row r="31" spans="1:8" ht="11.25" x14ac:dyDescent="0.2">
      <c r="A31" s="133"/>
      <c r="B31" s="91"/>
      <c r="C31" s="91"/>
      <c r="D31" s="91"/>
      <c r="E31" s="91"/>
      <c r="F31" s="91"/>
      <c r="G31" s="91"/>
      <c r="H31" s="91"/>
    </row>
    <row r="32" spans="1:8" ht="11.25" x14ac:dyDescent="0.2">
      <c r="A32" s="133"/>
      <c r="B32" s="91"/>
      <c r="C32" s="91"/>
      <c r="D32" s="91"/>
      <c r="E32" s="91"/>
      <c r="F32" s="91"/>
      <c r="G32" s="91"/>
      <c r="H32" s="91"/>
    </row>
    <row r="33" spans="1:8" ht="11.25" x14ac:dyDescent="0.2">
      <c r="A33" s="133"/>
      <c r="B33" s="91"/>
      <c r="C33" s="91"/>
      <c r="D33" s="91"/>
      <c r="E33" s="91"/>
      <c r="F33" s="91"/>
      <c r="G33" s="91"/>
      <c r="H33" s="91"/>
    </row>
    <row r="34" spans="1:8" ht="11.25" x14ac:dyDescent="0.2">
      <c r="A34" s="133"/>
      <c r="B34" s="91"/>
      <c r="C34" s="91"/>
      <c r="D34" s="91"/>
      <c r="E34" s="91"/>
      <c r="F34" s="91"/>
      <c r="G34" s="91"/>
      <c r="H34" s="91"/>
    </row>
    <row r="35" spans="1:8" ht="11.25" x14ac:dyDescent="0.2">
      <c r="A35" s="133"/>
      <c r="B35" s="91"/>
      <c r="C35" s="91"/>
      <c r="D35" s="91"/>
      <c r="E35" s="91"/>
      <c r="F35" s="91"/>
      <c r="G35" s="91"/>
      <c r="H35" s="91"/>
    </row>
    <row r="36" spans="1:8" ht="11.25" x14ac:dyDescent="0.2">
      <c r="A36" s="133"/>
      <c r="B36" s="91"/>
      <c r="C36" s="91"/>
      <c r="D36" s="91"/>
      <c r="E36" s="91"/>
      <c r="F36" s="91"/>
      <c r="G36" s="91"/>
      <c r="H36" s="91"/>
    </row>
    <row r="37" spans="1:8" ht="11.25" x14ac:dyDescent="0.2">
      <c r="A37" s="133"/>
      <c r="B37" s="91"/>
      <c r="C37" s="91"/>
      <c r="D37" s="91"/>
      <c r="E37" s="91"/>
      <c r="F37" s="91"/>
      <c r="G37" s="91"/>
      <c r="H37" s="91"/>
    </row>
    <row r="38" spans="1:8" ht="11.25" x14ac:dyDescent="0.2">
      <c r="A38" s="133"/>
      <c r="B38" s="91"/>
      <c r="C38" s="91"/>
      <c r="D38" s="91"/>
      <c r="E38" s="91"/>
      <c r="F38" s="91"/>
      <c r="G38" s="91"/>
      <c r="H38" s="91"/>
    </row>
    <row r="39" spans="1:8" ht="11.25" x14ac:dyDescent="0.2">
      <c r="A39" s="133"/>
      <c r="B39" s="91"/>
      <c r="C39" s="91"/>
      <c r="D39" s="91"/>
      <c r="E39" s="91"/>
      <c r="F39" s="91"/>
      <c r="G39" s="91"/>
      <c r="H39" s="91"/>
    </row>
    <row r="40" spans="1:8" ht="11.25" x14ac:dyDescent="0.2">
      <c r="A40" s="133"/>
      <c r="B40" s="91"/>
      <c r="C40" s="91"/>
      <c r="D40" s="91"/>
      <c r="E40" s="91"/>
      <c r="F40" s="91"/>
      <c r="G40" s="91"/>
      <c r="H40" s="91"/>
    </row>
    <row r="41" spans="1:8" ht="11.25" x14ac:dyDescent="0.2">
      <c r="A41" s="91"/>
      <c r="B41" s="91"/>
      <c r="C41" s="91"/>
      <c r="D41" s="91"/>
      <c r="E41" s="91"/>
      <c r="F41" s="91"/>
      <c r="G41" s="91"/>
      <c r="H41" s="91"/>
    </row>
    <row r="42" spans="1:8" ht="11.25" x14ac:dyDescent="0.2">
      <c r="A42" s="91"/>
      <c r="B42" s="91"/>
      <c r="C42" s="91"/>
      <c r="D42" s="91"/>
      <c r="E42" s="91"/>
      <c r="F42" s="91"/>
      <c r="G42" s="91"/>
      <c r="H42" s="91"/>
    </row>
    <row r="43" spans="1:8" ht="11.25" x14ac:dyDescent="0.2">
      <c r="A43" s="91"/>
      <c r="B43" s="91"/>
      <c r="C43" s="91"/>
      <c r="D43" s="91"/>
      <c r="E43" s="91"/>
      <c r="F43" s="91"/>
      <c r="G43" s="91"/>
      <c r="H43" s="91"/>
    </row>
    <row r="44" spans="1:8" ht="11.25" x14ac:dyDescent="0.2">
      <c r="A44" s="91"/>
      <c r="B44" s="91"/>
      <c r="C44" s="91"/>
      <c r="D44" s="91"/>
      <c r="E44" s="91"/>
      <c r="F44" s="91"/>
      <c r="G44" s="91"/>
      <c r="H44" s="91"/>
    </row>
    <row r="45" spans="1:8" ht="11.25" x14ac:dyDescent="0.2">
      <c r="A45" s="91"/>
      <c r="B45" s="91"/>
      <c r="C45" s="91"/>
      <c r="D45" s="91"/>
      <c r="E45" s="91"/>
      <c r="F45" s="91"/>
      <c r="G45" s="91"/>
      <c r="H45" s="91"/>
    </row>
    <row r="46" spans="1:8" ht="11.25" x14ac:dyDescent="0.2">
      <c r="A46" s="91"/>
      <c r="B46" s="91"/>
      <c r="C46" s="91"/>
      <c r="D46" s="91"/>
      <c r="E46" s="91"/>
      <c r="F46" s="91"/>
      <c r="G46" s="91"/>
      <c r="H46" s="91"/>
    </row>
    <row r="47" spans="1:8" ht="11.25" x14ac:dyDescent="0.2">
      <c r="A47" s="91"/>
      <c r="B47" s="91"/>
      <c r="C47" s="91"/>
      <c r="D47" s="91"/>
      <c r="E47" s="91"/>
      <c r="F47" s="91"/>
      <c r="G47" s="91"/>
      <c r="H47" s="91"/>
    </row>
    <row r="48" spans="1:8" ht="11.25" x14ac:dyDescent="0.2">
      <c r="A48" s="91"/>
      <c r="B48" s="91"/>
      <c r="C48" s="91"/>
      <c r="D48" s="91"/>
      <c r="E48" s="91"/>
      <c r="F48" s="91"/>
      <c r="G48" s="91"/>
      <c r="H48" s="91"/>
    </row>
    <row r="49" spans="1:8" ht="11.25" x14ac:dyDescent="0.2">
      <c r="A49" s="91"/>
      <c r="B49" s="91"/>
      <c r="C49" s="91"/>
      <c r="D49" s="91"/>
      <c r="E49" s="91"/>
      <c r="F49" s="91"/>
      <c r="G49" s="91"/>
      <c r="H49" s="91"/>
    </row>
    <row r="50" spans="1:8" ht="11.25" x14ac:dyDescent="0.2">
      <c r="A50" s="91"/>
      <c r="B50" s="91"/>
      <c r="C50" s="91"/>
      <c r="D50" s="91"/>
      <c r="E50" s="91"/>
      <c r="F50" s="91"/>
      <c r="G50" s="91"/>
      <c r="H50" s="91"/>
    </row>
    <row r="51" spans="1:8" ht="11.25" x14ac:dyDescent="0.2">
      <c r="A51" s="91"/>
      <c r="B51" s="91"/>
      <c r="C51" s="91"/>
      <c r="D51" s="91"/>
      <c r="E51" s="91"/>
      <c r="F51" s="91"/>
      <c r="G51" s="91"/>
      <c r="H51" s="91"/>
    </row>
    <row r="52" spans="1:8" ht="11.25" x14ac:dyDescent="0.2">
      <c r="A52" s="91"/>
      <c r="B52" s="91"/>
      <c r="C52" s="91"/>
      <c r="D52" s="91"/>
      <c r="E52" s="91"/>
      <c r="F52" s="91"/>
      <c r="G52" s="91"/>
      <c r="H52" s="91"/>
    </row>
    <row r="53" spans="1:8" ht="11.25" x14ac:dyDescent="0.2">
      <c r="A53" s="91"/>
      <c r="B53" s="91"/>
      <c r="C53" s="91"/>
      <c r="D53" s="91"/>
      <c r="E53" s="91"/>
      <c r="F53" s="91"/>
      <c r="G53" s="91"/>
      <c r="H53" s="91"/>
    </row>
    <row r="54" spans="1:8" ht="11.25" x14ac:dyDescent="0.2">
      <c r="A54" s="91"/>
      <c r="B54" s="91"/>
      <c r="C54" s="91"/>
      <c r="D54" s="91"/>
      <c r="E54" s="91"/>
      <c r="F54" s="91"/>
      <c r="G54" s="91"/>
      <c r="H54" s="91"/>
    </row>
    <row r="55" spans="1:8" ht="11.25" x14ac:dyDescent="0.2">
      <c r="A55" s="91"/>
      <c r="B55" s="91"/>
      <c r="C55" s="91"/>
      <c r="D55" s="91"/>
      <c r="E55" s="91"/>
      <c r="F55" s="91"/>
      <c r="G55" s="91"/>
      <c r="H55" s="91"/>
    </row>
    <row r="56" spans="1:8" ht="11.25" x14ac:dyDescent="0.2">
      <c r="A56" s="91"/>
      <c r="B56" s="91"/>
      <c r="C56" s="91"/>
      <c r="D56" s="91"/>
      <c r="E56" s="91"/>
      <c r="F56" s="91"/>
      <c r="G56" s="91"/>
      <c r="H56" s="91"/>
    </row>
    <row r="57" spans="1:8" ht="11.25" x14ac:dyDescent="0.2">
      <c r="A57" s="91"/>
      <c r="B57" s="91"/>
      <c r="C57" s="91"/>
      <c r="D57" s="91"/>
      <c r="E57" s="91"/>
      <c r="F57" s="91"/>
      <c r="G57" s="91"/>
      <c r="H57" s="91"/>
    </row>
    <row r="58" spans="1:8" ht="11.25" x14ac:dyDescent="0.2">
      <c r="A58" s="91"/>
      <c r="B58" s="91"/>
      <c r="C58" s="91"/>
      <c r="D58" s="91"/>
      <c r="E58" s="91"/>
      <c r="F58" s="91"/>
      <c r="G58" s="91"/>
      <c r="H58" s="91"/>
    </row>
    <row r="59" spans="1:8" ht="11.25" x14ac:dyDescent="0.2">
      <c r="A59" s="91"/>
      <c r="B59" s="91"/>
      <c r="C59" s="91"/>
      <c r="D59" s="91"/>
      <c r="E59" s="91"/>
      <c r="F59" s="91"/>
      <c r="G59" s="91"/>
      <c r="H59" s="91"/>
    </row>
    <row r="60" spans="1:8" ht="11.25" x14ac:dyDescent="0.2">
      <c r="A60" s="91"/>
      <c r="B60" s="91"/>
      <c r="C60" s="91"/>
      <c r="D60" s="91"/>
      <c r="E60" s="91"/>
      <c r="F60" s="91"/>
      <c r="G60" s="91"/>
      <c r="H60" s="91"/>
    </row>
    <row r="61" spans="1:8" ht="11.25" x14ac:dyDescent="0.2">
      <c r="A61" s="91"/>
      <c r="B61" s="91"/>
      <c r="C61" s="91"/>
      <c r="D61" s="91"/>
      <c r="E61" s="91"/>
      <c r="F61" s="91"/>
      <c r="G61" s="91"/>
      <c r="H61" s="91"/>
    </row>
    <row r="62" spans="1:8" ht="11.25" x14ac:dyDescent="0.2">
      <c r="A62" s="91"/>
      <c r="B62" s="91"/>
      <c r="C62" s="91"/>
      <c r="D62" s="91"/>
      <c r="E62" s="91"/>
      <c r="F62" s="91"/>
      <c r="G62" s="91"/>
      <c r="H62" s="91"/>
    </row>
    <row r="63" spans="1:8" ht="11.25" x14ac:dyDescent="0.2">
      <c r="A63" s="91"/>
      <c r="B63" s="91"/>
      <c r="C63" s="91"/>
      <c r="D63" s="91"/>
      <c r="E63" s="91"/>
      <c r="F63" s="91"/>
      <c r="G63" s="91"/>
      <c r="H63" s="91"/>
    </row>
    <row r="64" spans="1:8" ht="11.25" x14ac:dyDescent="0.2">
      <c r="A64" s="91"/>
      <c r="B64" s="91"/>
      <c r="C64" s="91"/>
      <c r="D64" s="91"/>
      <c r="E64" s="91"/>
      <c r="F64" s="91"/>
      <c r="G64" s="91"/>
      <c r="H64" s="91"/>
    </row>
    <row r="65" spans="1:8" ht="11.25" x14ac:dyDescent="0.2">
      <c r="A65" s="91"/>
      <c r="B65" s="91"/>
      <c r="C65" s="91"/>
      <c r="D65" s="91"/>
      <c r="E65" s="91"/>
      <c r="F65" s="91"/>
      <c r="G65" s="91"/>
      <c r="H65" s="91"/>
    </row>
    <row r="66" spans="1:8" ht="11.25" x14ac:dyDescent="0.2">
      <c r="A66" s="91"/>
      <c r="B66" s="91"/>
      <c r="C66" s="91"/>
      <c r="D66" s="91"/>
      <c r="E66" s="91"/>
      <c r="F66" s="91"/>
      <c r="G66" s="91"/>
      <c r="H66" s="91"/>
    </row>
    <row r="67" spans="1:8" ht="11.25" x14ac:dyDescent="0.2">
      <c r="A67" s="91"/>
      <c r="B67" s="91"/>
      <c r="C67" s="91"/>
      <c r="D67" s="91"/>
      <c r="E67" s="91"/>
      <c r="F67" s="91"/>
      <c r="G67" s="91"/>
      <c r="H67" s="91"/>
    </row>
    <row r="68" spans="1:8" ht="11.25" x14ac:dyDescent="0.2">
      <c r="A68" s="91"/>
      <c r="B68" s="91"/>
      <c r="C68" s="91"/>
      <c r="D68" s="91"/>
      <c r="E68" s="91"/>
      <c r="F68" s="91"/>
      <c r="G68" s="91"/>
      <c r="H68" s="91"/>
    </row>
    <row r="69" spans="1:8" ht="11.25" x14ac:dyDescent="0.2">
      <c r="A69" s="91"/>
      <c r="B69" s="91"/>
      <c r="C69" s="91"/>
      <c r="D69" s="91"/>
      <c r="E69" s="91"/>
      <c r="F69" s="91"/>
      <c r="G69" s="91"/>
      <c r="H69" s="91"/>
    </row>
    <row r="70" spans="1:8" ht="11.25" x14ac:dyDescent="0.2">
      <c r="A70" s="91"/>
      <c r="B70" s="91"/>
      <c r="C70" s="91"/>
      <c r="D70" s="91"/>
      <c r="E70" s="91"/>
      <c r="F70" s="91"/>
      <c r="G70" s="91"/>
      <c r="H70" s="91"/>
    </row>
    <row r="71" spans="1:8" ht="11.25" x14ac:dyDescent="0.2">
      <c r="A71" s="91"/>
      <c r="B71" s="91"/>
      <c r="C71" s="91"/>
      <c r="D71" s="91"/>
      <c r="E71" s="91"/>
      <c r="F71" s="91"/>
      <c r="G71" s="91"/>
      <c r="H71" s="91"/>
    </row>
    <row r="72" spans="1:8" ht="11.25" x14ac:dyDescent="0.2">
      <c r="A72" s="91"/>
      <c r="B72" s="91"/>
      <c r="C72" s="91"/>
      <c r="D72" s="91"/>
      <c r="E72" s="91"/>
      <c r="F72" s="91"/>
      <c r="G72" s="91"/>
      <c r="H72" s="91"/>
    </row>
    <row r="73" spans="1:8" ht="11.25" x14ac:dyDescent="0.2">
      <c r="A73" s="91"/>
      <c r="B73" s="91"/>
      <c r="C73" s="91"/>
      <c r="D73" s="91"/>
      <c r="E73" s="91"/>
      <c r="F73" s="91"/>
      <c r="G73" s="91"/>
      <c r="H73" s="91"/>
    </row>
    <row r="74" spans="1:8" ht="11.25" x14ac:dyDescent="0.2">
      <c r="A74" s="91"/>
      <c r="B74" s="91"/>
      <c r="C74" s="91"/>
      <c r="D74" s="91"/>
      <c r="E74" s="91"/>
      <c r="F74" s="91"/>
      <c r="G74" s="91"/>
      <c r="H74" s="91"/>
    </row>
    <row r="75" spans="1:8" ht="11.25" x14ac:dyDescent="0.2">
      <c r="A75" s="91"/>
      <c r="B75" s="91"/>
      <c r="C75" s="91"/>
      <c r="D75" s="91"/>
      <c r="E75" s="91"/>
      <c r="F75" s="91"/>
      <c r="G75" s="91"/>
      <c r="H75" s="91"/>
    </row>
    <row r="76" spans="1:8" ht="11.25" x14ac:dyDescent="0.2">
      <c r="A76" s="91"/>
      <c r="B76" s="91"/>
      <c r="C76" s="91"/>
      <c r="D76" s="91"/>
      <c r="E76" s="91"/>
      <c r="F76" s="91"/>
      <c r="G76" s="91"/>
      <c r="H76" s="91"/>
    </row>
    <row r="77" spans="1:8" ht="11.25" x14ac:dyDescent="0.2">
      <c r="A77" s="91"/>
      <c r="B77" s="91"/>
      <c r="C77" s="91"/>
      <c r="D77" s="91"/>
      <c r="E77" s="91"/>
      <c r="F77" s="91"/>
      <c r="G77" s="91"/>
      <c r="H77" s="91"/>
    </row>
    <row r="78" spans="1:8" ht="11.25" x14ac:dyDescent="0.2">
      <c r="A78" s="91"/>
      <c r="B78" s="91"/>
      <c r="C78" s="91"/>
      <c r="D78" s="91"/>
      <c r="E78" s="91"/>
      <c r="F78" s="91"/>
      <c r="G78" s="91"/>
      <c r="H78" s="91"/>
    </row>
    <row r="79" spans="1:8" ht="11.25" x14ac:dyDescent="0.2">
      <c r="A79" s="91"/>
      <c r="B79" s="91"/>
      <c r="C79" s="91"/>
      <c r="D79" s="91"/>
      <c r="E79" s="91"/>
      <c r="F79" s="91"/>
      <c r="G79" s="91"/>
      <c r="H79" s="91"/>
    </row>
    <row r="80" spans="1:8" ht="11.25" x14ac:dyDescent="0.2">
      <c r="A80" s="91"/>
      <c r="B80" s="91"/>
      <c r="C80" s="91"/>
      <c r="D80" s="91"/>
      <c r="E80" s="91"/>
      <c r="F80" s="91"/>
      <c r="G80" s="91"/>
      <c r="H80" s="91"/>
    </row>
    <row r="81" spans="1:8" ht="11.25" x14ac:dyDescent="0.2">
      <c r="A81" s="91"/>
      <c r="B81" s="91"/>
      <c r="C81" s="91"/>
      <c r="D81" s="91"/>
      <c r="E81" s="91"/>
      <c r="F81" s="91"/>
      <c r="G81" s="91"/>
      <c r="H81" s="91"/>
    </row>
    <row r="82" spans="1:8" ht="11.25" x14ac:dyDescent="0.2">
      <c r="A82" s="91"/>
      <c r="B82" s="91"/>
      <c r="C82" s="91"/>
      <c r="D82" s="91"/>
      <c r="E82" s="91"/>
      <c r="F82" s="91"/>
      <c r="G82" s="91"/>
      <c r="H82" s="91"/>
    </row>
    <row r="83" spans="1:8" ht="11.25" x14ac:dyDescent="0.2">
      <c r="A83" s="91"/>
      <c r="B83" s="91"/>
      <c r="C83" s="91"/>
      <c r="D83" s="91"/>
      <c r="E83" s="91"/>
      <c r="F83" s="91"/>
      <c r="G83" s="91"/>
      <c r="H83" s="91"/>
    </row>
    <row r="84" spans="1:8" ht="11.25" x14ac:dyDescent="0.2">
      <c r="A84" s="91"/>
      <c r="B84" s="91"/>
      <c r="C84" s="91"/>
      <c r="D84" s="91"/>
      <c r="E84" s="91"/>
      <c r="F84" s="91"/>
      <c r="G84" s="91"/>
      <c r="H84" s="91"/>
    </row>
    <row r="85" spans="1:8" ht="11.25" x14ac:dyDescent="0.2">
      <c r="A85" s="91"/>
      <c r="B85" s="91"/>
      <c r="C85" s="91"/>
      <c r="D85" s="91"/>
      <c r="E85" s="91"/>
      <c r="F85" s="91"/>
      <c r="G85" s="91"/>
      <c r="H85" s="91"/>
    </row>
    <row r="86" spans="1:8" ht="11.25" x14ac:dyDescent="0.2">
      <c r="A86" s="91"/>
      <c r="B86" s="91"/>
      <c r="C86" s="91"/>
      <c r="D86" s="91"/>
      <c r="E86" s="91"/>
      <c r="F86" s="91"/>
      <c r="G86" s="91"/>
      <c r="H86" s="91"/>
    </row>
    <row r="87" spans="1:8" ht="11.25" x14ac:dyDescent="0.2">
      <c r="A87" s="91"/>
      <c r="B87" s="91"/>
      <c r="C87" s="91"/>
      <c r="D87" s="91"/>
      <c r="E87" s="91"/>
      <c r="F87" s="91"/>
      <c r="G87" s="91"/>
      <c r="H87" s="91"/>
    </row>
    <row r="88" spans="1:8" ht="11.25" x14ac:dyDescent="0.2">
      <c r="A88" s="91"/>
      <c r="B88" s="91"/>
      <c r="C88" s="91"/>
      <c r="D88" s="91"/>
      <c r="E88" s="91"/>
      <c r="F88" s="91"/>
      <c r="G88" s="91"/>
      <c r="H88" s="91"/>
    </row>
    <row r="89" spans="1:8" ht="11.25" x14ac:dyDescent="0.2">
      <c r="A89" s="91"/>
      <c r="B89" s="91"/>
      <c r="C89" s="91"/>
      <c r="D89" s="91"/>
      <c r="E89" s="91"/>
      <c r="F89" s="91"/>
      <c r="G89" s="91"/>
      <c r="H89" s="91"/>
    </row>
    <row r="90" spans="1:8" ht="11.25" x14ac:dyDescent="0.2">
      <c r="A90" s="91"/>
      <c r="B90" s="91"/>
      <c r="C90" s="91"/>
      <c r="D90" s="91"/>
      <c r="E90" s="91"/>
      <c r="F90" s="91"/>
      <c r="G90" s="91"/>
      <c r="H90" s="91"/>
    </row>
    <row r="91" spans="1:8" ht="11.25" x14ac:dyDescent="0.2">
      <c r="A91" s="91"/>
      <c r="B91" s="91"/>
      <c r="C91" s="91"/>
      <c r="D91" s="91"/>
      <c r="E91" s="91"/>
      <c r="F91" s="91"/>
      <c r="G91" s="91"/>
      <c r="H91" s="91"/>
    </row>
    <row r="92" spans="1:8" ht="11.25" x14ac:dyDescent="0.2">
      <c r="A92" s="91"/>
      <c r="B92" s="91"/>
      <c r="C92" s="91"/>
      <c r="D92" s="91"/>
      <c r="E92" s="91"/>
      <c r="F92" s="91"/>
      <c r="G92" s="91"/>
      <c r="H92" s="91"/>
    </row>
    <row r="93" spans="1:8" ht="11.25" x14ac:dyDescent="0.2">
      <c r="A93" s="91"/>
      <c r="B93" s="91"/>
      <c r="C93" s="91"/>
      <c r="D93" s="91"/>
      <c r="E93" s="91"/>
      <c r="F93" s="91"/>
      <c r="G93" s="91"/>
      <c r="H93" s="91"/>
    </row>
    <row r="94" spans="1:8" ht="11.25" x14ac:dyDescent="0.2">
      <c r="A94" s="91"/>
      <c r="B94" s="91"/>
      <c r="C94" s="91"/>
      <c r="D94" s="91"/>
      <c r="E94" s="91"/>
      <c r="F94" s="91"/>
      <c r="G94" s="91"/>
      <c r="H94" s="91"/>
    </row>
    <row r="95" spans="1:8" ht="11.25" x14ac:dyDescent="0.2">
      <c r="A95" s="91"/>
      <c r="B95" s="91"/>
      <c r="C95" s="91"/>
      <c r="D95" s="91"/>
      <c r="E95" s="91"/>
      <c r="F95" s="91"/>
      <c r="G95" s="91"/>
      <c r="H95" s="91"/>
    </row>
    <row r="96" spans="1:8" ht="11.25" x14ac:dyDescent="0.2">
      <c r="A96" s="91"/>
      <c r="B96" s="91"/>
      <c r="C96" s="91"/>
      <c r="D96" s="91"/>
      <c r="E96" s="91"/>
      <c r="F96" s="91"/>
      <c r="G96" s="91"/>
      <c r="H96" s="91"/>
    </row>
    <row r="97" spans="1:8" ht="11.25" x14ac:dyDescent="0.2">
      <c r="A97" s="91"/>
      <c r="B97" s="91"/>
      <c r="C97" s="91"/>
      <c r="D97" s="91"/>
      <c r="E97" s="91"/>
      <c r="F97" s="91"/>
      <c r="G97" s="91"/>
      <c r="H97" s="91"/>
    </row>
    <row r="98" spans="1:8" ht="11.25" x14ac:dyDescent="0.2">
      <c r="A98" s="91"/>
      <c r="B98" s="91"/>
      <c r="C98" s="91"/>
      <c r="D98" s="91"/>
      <c r="E98" s="91"/>
      <c r="F98" s="91"/>
      <c r="G98" s="91"/>
      <c r="H98" s="91"/>
    </row>
    <row r="99" spans="1:8" ht="11.25" x14ac:dyDescent="0.2">
      <c r="A99" s="91"/>
      <c r="B99" s="91"/>
      <c r="C99" s="91"/>
      <c r="D99" s="91"/>
      <c r="E99" s="91"/>
      <c r="F99" s="91"/>
      <c r="G99" s="91"/>
      <c r="H99" s="91"/>
    </row>
    <row r="100" spans="1:8" ht="11.25" x14ac:dyDescent="0.2">
      <c r="A100" s="91"/>
      <c r="B100" s="91"/>
      <c r="C100" s="91"/>
      <c r="D100" s="91"/>
      <c r="E100" s="91"/>
      <c r="F100" s="91"/>
      <c r="G100" s="91"/>
      <c r="H100" s="91"/>
    </row>
    <row r="101" spans="1:8" ht="11.25" x14ac:dyDescent="0.2">
      <c r="A101" s="91"/>
      <c r="B101" s="91"/>
      <c r="C101" s="91"/>
      <c r="D101" s="91"/>
      <c r="E101" s="91"/>
      <c r="F101" s="91"/>
      <c r="G101" s="91"/>
      <c r="H101" s="91"/>
    </row>
    <row r="102" spans="1:8" ht="11.25" x14ac:dyDescent="0.2">
      <c r="A102" s="91"/>
      <c r="B102" s="91"/>
      <c r="C102" s="91"/>
      <c r="D102" s="91"/>
      <c r="E102" s="91"/>
      <c r="F102" s="91"/>
      <c r="G102" s="91"/>
      <c r="H102" s="91"/>
    </row>
    <row r="103" spans="1:8" ht="11.25" x14ac:dyDescent="0.2">
      <c r="A103" s="91"/>
      <c r="B103" s="91"/>
      <c r="C103" s="91"/>
      <c r="D103" s="91"/>
      <c r="E103" s="91"/>
      <c r="F103" s="91"/>
      <c r="G103" s="91"/>
      <c r="H103" s="91"/>
    </row>
    <row r="104" spans="1:8" ht="11.25" x14ac:dyDescent="0.2">
      <c r="A104" s="91"/>
      <c r="B104" s="91"/>
      <c r="C104" s="91"/>
      <c r="D104" s="91"/>
      <c r="E104" s="91"/>
      <c r="F104" s="91"/>
      <c r="G104" s="91"/>
      <c r="H104" s="91"/>
    </row>
    <row r="105" spans="1:8" ht="11.25" x14ac:dyDescent="0.2">
      <c r="A105" s="91"/>
      <c r="B105" s="91"/>
      <c r="C105" s="91"/>
      <c r="D105" s="91"/>
      <c r="E105" s="91"/>
      <c r="F105" s="91"/>
      <c r="G105" s="91"/>
      <c r="H105" s="91"/>
    </row>
    <row r="106" spans="1:8" ht="11.25" x14ac:dyDescent="0.2">
      <c r="A106" s="91"/>
      <c r="B106" s="91"/>
      <c r="C106" s="91"/>
      <c r="D106" s="91"/>
      <c r="E106" s="91"/>
      <c r="F106" s="91"/>
      <c r="G106" s="91"/>
      <c r="H106" s="91"/>
    </row>
    <row r="107" spans="1:8" ht="11.25" x14ac:dyDescent="0.2">
      <c r="A107" s="91"/>
      <c r="B107" s="91"/>
      <c r="C107" s="91"/>
      <c r="D107" s="91"/>
      <c r="E107" s="91"/>
      <c r="F107" s="91"/>
      <c r="G107" s="91"/>
      <c r="H107" s="91"/>
    </row>
    <row r="108" spans="1:8" ht="11.25" x14ac:dyDescent="0.2">
      <c r="A108" s="91"/>
      <c r="B108" s="91"/>
      <c r="C108" s="91"/>
      <c r="D108" s="91"/>
      <c r="E108" s="91"/>
      <c r="F108" s="91"/>
      <c r="G108" s="91"/>
      <c r="H108" s="91"/>
    </row>
    <row r="109" spans="1:8" ht="11.25" x14ac:dyDescent="0.2">
      <c r="A109" s="91"/>
      <c r="B109" s="91"/>
      <c r="C109" s="91"/>
      <c r="D109" s="91"/>
      <c r="E109" s="91"/>
      <c r="F109" s="91"/>
      <c r="G109" s="91"/>
      <c r="H109" s="91"/>
    </row>
    <row r="110" spans="1:8" ht="11.25" x14ac:dyDescent="0.2">
      <c r="A110" s="91"/>
      <c r="B110" s="91"/>
      <c r="C110" s="91"/>
      <c r="D110" s="91"/>
      <c r="E110" s="91"/>
      <c r="F110" s="91"/>
      <c r="G110" s="91"/>
      <c r="H110" s="91"/>
    </row>
    <row r="111" spans="1:8" ht="11.25" x14ac:dyDescent="0.2">
      <c r="A111" s="91"/>
      <c r="B111" s="91"/>
      <c r="C111" s="91"/>
      <c r="D111" s="91"/>
      <c r="E111" s="91"/>
      <c r="F111" s="91"/>
      <c r="G111" s="91"/>
      <c r="H111" s="91"/>
    </row>
    <row r="112" spans="1:8" ht="11.25" x14ac:dyDescent="0.2">
      <c r="A112" s="91"/>
      <c r="B112" s="91"/>
      <c r="C112" s="91"/>
      <c r="D112" s="91"/>
      <c r="E112" s="91"/>
      <c r="F112" s="91"/>
      <c r="G112" s="91"/>
      <c r="H112" s="91"/>
    </row>
    <row r="113" spans="1:8" ht="11.25" x14ac:dyDescent="0.2">
      <c r="A113" s="91"/>
      <c r="B113" s="91"/>
      <c r="C113" s="91"/>
      <c r="D113" s="91"/>
      <c r="E113" s="91"/>
      <c r="F113" s="91"/>
      <c r="G113" s="91"/>
      <c r="H113" s="91"/>
    </row>
    <row r="114" spans="1:8" ht="11.25" x14ac:dyDescent="0.2">
      <c r="A114" s="91"/>
      <c r="B114" s="91"/>
      <c r="C114" s="91"/>
      <c r="D114" s="91"/>
      <c r="E114" s="91"/>
      <c r="F114" s="91"/>
      <c r="G114" s="91"/>
      <c r="H114" s="91"/>
    </row>
    <row r="115" spans="1:8" ht="11.25" x14ac:dyDescent="0.2">
      <c r="A115" s="91"/>
      <c r="B115" s="91"/>
      <c r="C115" s="91"/>
      <c r="D115" s="91"/>
      <c r="E115" s="91"/>
      <c r="F115" s="91"/>
      <c r="G115" s="91"/>
      <c r="H115" s="91"/>
    </row>
    <row r="116" spans="1:8" ht="11.25" x14ac:dyDescent="0.2">
      <c r="A116" s="91"/>
      <c r="B116" s="91"/>
      <c r="C116" s="91"/>
      <c r="D116" s="91"/>
      <c r="E116" s="91"/>
      <c r="F116" s="91"/>
      <c r="G116" s="91"/>
      <c r="H116" s="91"/>
    </row>
    <row r="117" spans="1:8" ht="11.25" x14ac:dyDescent="0.2">
      <c r="A117" s="91"/>
      <c r="B117" s="91"/>
      <c r="C117" s="91"/>
      <c r="D117" s="91"/>
      <c r="E117" s="91"/>
      <c r="F117" s="91"/>
      <c r="G117" s="91"/>
      <c r="H117" s="91"/>
    </row>
    <row r="118" spans="1:8" ht="11.25" x14ac:dyDescent="0.2">
      <c r="A118" s="91"/>
      <c r="B118" s="91"/>
      <c r="C118" s="91"/>
      <c r="D118" s="91"/>
      <c r="E118" s="91"/>
      <c r="F118" s="91"/>
      <c r="G118" s="91"/>
      <c r="H118" s="91"/>
    </row>
    <row r="119" spans="1:8" ht="11.25" x14ac:dyDescent="0.2">
      <c r="A119" s="91"/>
      <c r="B119" s="91"/>
      <c r="C119" s="91"/>
      <c r="D119" s="91"/>
      <c r="E119" s="91"/>
      <c r="F119" s="91"/>
      <c r="G119" s="91"/>
      <c r="H119" s="91"/>
    </row>
    <row r="120" spans="1:8" ht="11.25" x14ac:dyDescent="0.2">
      <c r="A120" s="91"/>
      <c r="B120" s="91"/>
      <c r="C120" s="91"/>
      <c r="D120" s="91"/>
      <c r="E120" s="91"/>
      <c r="F120" s="91"/>
      <c r="G120" s="91"/>
      <c r="H120" s="91"/>
    </row>
    <row r="121" spans="1:8" ht="11.25" x14ac:dyDescent="0.2">
      <c r="A121" s="91"/>
      <c r="B121" s="91"/>
      <c r="C121" s="91"/>
      <c r="D121" s="91"/>
      <c r="E121" s="91"/>
      <c r="F121" s="91"/>
      <c r="G121" s="91"/>
      <c r="H121" s="91"/>
    </row>
    <row r="122" spans="1:8" ht="11.25" x14ac:dyDescent="0.2">
      <c r="A122" s="91"/>
      <c r="B122" s="91"/>
      <c r="C122" s="91"/>
      <c r="D122" s="91"/>
      <c r="E122" s="91"/>
      <c r="F122" s="91"/>
      <c r="G122" s="91"/>
      <c r="H122" s="91"/>
    </row>
    <row r="123" spans="1:8" ht="11.25" x14ac:dyDescent="0.2">
      <c r="A123" s="91"/>
      <c r="B123" s="91"/>
      <c r="C123" s="91"/>
      <c r="D123" s="91"/>
      <c r="E123" s="91"/>
      <c r="F123" s="91"/>
      <c r="G123" s="91"/>
      <c r="H123" s="91"/>
    </row>
    <row r="124" spans="1:8" ht="11.25" x14ac:dyDescent="0.2">
      <c r="A124" s="91"/>
      <c r="B124" s="91"/>
      <c r="C124" s="91"/>
      <c r="D124" s="91"/>
      <c r="E124" s="91"/>
      <c r="F124" s="91"/>
      <c r="G124" s="91"/>
      <c r="H124" s="91"/>
    </row>
    <row r="125" spans="1:8" ht="11.25" x14ac:dyDescent="0.2">
      <c r="A125" s="91"/>
      <c r="B125" s="91"/>
      <c r="C125" s="91"/>
      <c r="D125" s="91"/>
      <c r="E125" s="91"/>
      <c r="F125" s="91"/>
      <c r="G125" s="91"/>
      <c r="H125" s="91"/>
    </row>
  </sheetData>
  <phoneticPr fontId="0" type="noConversion"/>
  <printOptions horizontalCentered="1"/>
  <pageMargins left="0.5" right="0.5" top="1" bottom="1" header="0.5" footer="0.5"/>
  <pageSetup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0" sqref="A10"/>
    </sheetView>
  </sheetViews>
  <sheetFormatPr defaultRowHeight="10.5" x14ac:dyDescent="0.15"/>
  <cols>
    <col min="1" max="8" width="12.83203125" customWidth="1"/>
  </cols>
  <sheetData>
    <row r="1" spans="1:9" ht="12.75" x14ac:dyDescent="0.2">
      <c r="A1" s="1391" t="s">
        <v>488</v>
      </c>
      <c r="B1" s="1391"/>
      <c r="C1" s="1391"/>
      <c r="D1" s="1391"/>
      <c r="E1" s="1391"/>
      <c r="F1" s="1391"/>
      <c r="G1" s="1391"/>
      <c r="H1" s="1391"/>
      <c r="I1" s="91"/>
    </row>
    <row r="2" spans="1:9" ht="12.75" x14ac:dyDescent="0.2">
      <c r="A2" s="1391" t="str">
        <f>+Input!C4</f>
        <v>CASE NO. 2017-xxxxx</v>
      </c>
      <c r="B2" s="1391"/>
      <c r="C2" s="1391"/>
      <c r="D2" s="1391"/>
      <c r="E2" s="1391"/>
      <c r="F2" s="1391"/>
      <c r="G2" s="1391"/>
      <c r="H2" s="1391"/>
      <c r="I2" s="91"/>
    </row>
    <row r="3" spans="1:9" ht="12.75" x14ac:dyDescent="0.2">
      <c r="A3" s="1391" t="s">
        <v>223</v>
      </c>
      <c r="B3" s="1391"/>
      <c r="C3" s="1391"/>
      <c r="D3" s="1391"/>
      <c r="E3" s="1391"/>
      <c r="F3" s="1391"/>
      <c r="G3" s="1391"/>
      <c r="H3" s="1391"/>
      <c r="I3" s="91"/>
    </row>
    <row r="4" spans="1:9" ht="12.75" x14ac:dyDescent="0.2">
      <c r="A4" s="1391" t="str">
        <f>+Input!C8</f>
        <v>FOR THE TWELVE MONTHS ENDED DECEMBER 31, 2017</v>
      </c>
      <c r="B4" s="1391"/>
      <c r="C4" s="1391"/>
      <c r="D4" s="1391"/>
      <c r="E4" s="1391"/>
      <c r="F4" s="1391"/>
      <c r="G4" s="1391"/>
      <c r="H4" s="1391"/>
      <c r="I4" s="91"/>
    </row>
    <row r="5" spans="1:9" ht="12.75" x14ac:dyDescent="0.2">
      <c r="A5" s="90"/>
      <c r="B5" s="90"/>
      <c r="C5" s="90"/>
      <c r="D5" s="90"/>
      <c r="E5" s="90"/>
      <c r="F5" s="90"/>
      <c r="G5" s="90"/>
      <c r="H5" s="90"/>
      <c r="I5" s="91"/>
    </row>
    <row r="6" spans="1:9" ht="12.75" x14ac:dyDescent="0.2">
      <c r="A6" s="90"/>
      <c r="B6" s="90"/>
      <c r="C6" s="90"/>
      <c r="D6" s="90"/>
      <c r="E6" s="90"/>
      <c r="F6" s="90"/>
      <c r="G6" s="90"/>
      <c r="H6" s="90"/>
      <c r="I6" s="91"/>
    </row>
    <row r="7" spans="1:9" ht="12.75" x14ac:dyDescent="0.2">
      <c r="A7" s="112" t="s">
        <v>839</v>
      </c>
      <c r="B7" s="90"/>
      <c r="C7" s="90"/>
      <c r="D7" s="90"/>
      <c r="E7" s="90"/>
      <c r="F7" s="90"/>
      <c r="G7" s="91"/>
      <c r="H7" s="119" t="s">
        <v>228</v>
      </c>
      <c r="I7" s="91"/>
    </row>
    <row r="8" spans="1:9" ht="12.75" x14ac:dyDescent="0.2">
      <c r="A8" s="112" t="s">
        <v>490</v>
      </c>
      <c r="B8" s="90"/>
      <c r="C8" s="90"/>
      <c r="D8" s="90"/>
      <c r="E8" s="90"/>
      <c r="F8" s="90"/>
      <c r="G8" s="91"/>
      <c r="H8" s="119" t="s">
        <v>491</v>
      </c>
      <c r="I8" s="91"/>
    </row>
    <row r="9" spans="1:9" ht="12.75" x14ac:dyDescent="0.2">
      <c r="A9" s="120" t="s">
        <v>840</v>
      </c>
      <c r="B9" s="121"/>
      <c r="C9" s="121"/>
      <c r="D9" s="121"/>
      <c r="E9" s="121"/>
      <c r="F9" s="122"/>
      <c r="G9" s="346"/>
      <c r="H9" s="361" t="str">
        <f>+Input!E35</f>
        <v>WITNESS:  J.  M. COOPER</v>
      </c>
      <c r="I9" s="91"/>
    </row>
    <row r="10" spans="1:9" ht="12.75" x14ac:dyDescent="0.2">
      <c r="A10" s="90"/>
      <c r="B10" s="90"/>
      <c r="C10" s="90"/>
      <c r="D10" s="90"/>
      <c r="E10" s="90"/>
      <c r="F10" s="90"/>
      <c r="G10" s="90"/>
      <c r="H10" s="90"/>
      <c r="I10" s="91"/>
    </row>
    <row r="11" spans="1:9" ht="12.75" x14ac:dyDescent="0.2">
      <c r="A11" s="90"/>
      <c r="B11" s="90"/>
      <c r="C11" s="90"/>
      <c r="D11" s="90"/>
      <c r="E11" s="90"/>
      <c r="F11" s="90"/>
      <c r="G11" s="90"/>
      <c r="H11" s="90"/>
      <c r="I11" s="91"/>
    </row>
    <row r="12" spans="1:9" ht="12.75" x14ac:dyDescent="0.2">
      <c r="A12" s="1463" t="s">
        <v>229</v>
      </c>
      <c r="B12" s="1463"/>
      <c r="C12" s="1463"/>
      <c r="D12" s="1463"/>
      <c r="E12" s="1463"/>
      <c r="F12" s="1463"/>
      <c r="G12" s="1463"/>
      <c r="H12" s="1463"/>
      <c r="I12" s="91"/>
    </row>
    <row r="13" spans="1:9" ht="12.75" x14ac:dyDescent="0.2">
      <c r="A13" s="90"/>
      <c r="B13" s="90"/>
      <c r="C13" s="90"/>
      <c r="D13" s="90"/>
      <c r="E13" s="90"/>
      <c r="F13" s="90"/>
      <c r="G13" s="90"/>
      <c r="H13" s="90"/>
      <c r="I13" s="91"/>
    </row>
    <row r="14" spans="1:9" ht="12.75" x14ac:dyDescent="0.2">
      <c r="A14" s="90"/>
      <c r="B14" s="90"/>
      <c r="C14" s="90"/>
      <c r="D14" s="90"/>
      <c r="E14" s="90"/>
      <c r="F14" s="90"/>
      <c r="G14" s="90"/>
      <c r="H14" s="90"/>
      <c r="I14" s="91"/>
    </row>
    <row r="15" spans="1:9" ht="11.25" x14ac:dyDescent="0.2">
      <c r="A15" s="91"/>
      <c r="B15" s="91"/>
      <c r="C15" s="91"/>
      <c r="D15" s="91"/>
      <c r="E15" s="91"/>
      <c r="F15" s="91"/>
      <c r="G15" s="91"/>
      <c r="H15" s="91"/>
      <c r="I15" s="91"/>
    </row>
    <row r="16" spans="1:9" ht="11.25" x14ac:dyDescent="0.2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11.25" x14ac:dyDescent="0.2">
      <c r="A17" s="91"/>
      <c r="B17" s="91"/>
      <c r="C17" s="91"/>
      <c r="D17" s="91"/>
      <c r="E17" s="91"/>
      <c r="F17" s="91"/>
      <c r="G17" s="91"/>
      <c r="H17" s="91"/>
      <c r="I17" s="91"/>
    </row>
  </sheetData>
  <mergeCells count="5">
    <mergeCell ref="A12:H12"/>
    <mergeCell ref="A1:H1"/>
    <mergeCell ref="A2:H2"/>
    <mergeCell ref="A3:H3"/>
    <mergeCell ref="A4:H4"/>
  </mergeCells>
  <phoneticPr fontId="0" type="noConversion"/>
  <printOptions horizontalCentered="1"/>
  <pageMargins left="0.25" right="0.2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6" transitionEvaluation="1" transitionEntry="1"/>
  <dimension ref="A1:T229"/>
  <sheetViews>
    <sheetView topLeftCell="A6" zoomScaleNormal="125" zoomScaleSheetLayoutView="75" workbookViewId="0">
      <selection activeCell="E25" sqref="E25"/>
    </sheetView>
  </sheetViews>
  <sheetFormatPr defaultColWidth="12.5" defaultRowHeight="9" x14ac:dyDescent="0.15"/>
  <cols>
    <col min="1" max="1" width="5.33203125" style="23" customWidth="1"/>
    <col min="2" max="2" width="1.6640625" style="23" customWidth="1"/>
    <col min="3" max="3" width="8.83203125" style="23" customWidth="1"/>
    <col min="4" max="4" width="1.6640625" style="23" customWidth="1"/>
    <col min="5" max="5" width="51.33203125" style="23" bestFit="1" customWidth="1"/>
    <col min="6" max="6" width="3.33203125" style="23" customWidth="1"/>
    <col min="7" max="7" width="20.5" style="23" bestFit="1" customWidth="1"/>
    <col min="8" max="8" width="3.33203125" style="23" customWidth="1"/>
    <col min="9" max="9" width="12.5" style="23"/>
    <col min="10" max="10" width="3.33203125" style="23" customWidth="1"/>
    <col min="11" max="11" width="19.5" style="23" bestFit="1" customWidth="1"/>
    <col min="12" max="12" width="3.33203125" style="23" customWidth="1"/>
    <col min="13" max="13" width="12.5" style="23"/>
    <col min="14" max="14" width="3.33203125" style="23" customWidth="1"/>
    <col min="15" max="15" width="16.33203125" style="23" customWidth="1"/>
    <col min="16" max="16" width="27.1640625" style="22" customWidth="1"/>
    <col min="17" max="17" width="17" style="23" customWidth="1"/>
    <col min="18" max="16384" width="12.5" style="23"/>
  </cols>
  <sheetData>
    <row r="1" spans="1:16" ht="12.75" x14ac:dyDescent="0.2">
      <c r="A1" s="1392" t="s">
        <v>477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59"/>
    </row>
    <row r="2" spans="1:16" ht="12.75" x14ac:dyDescent="0.2">
      <c r="A2" s="1392" t="str">
        <f>Input!C4</f>
        <v>CASE NO. 2017-xxxxx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59"/>
    </row>
    <row r="3" spans="1:16" ht="12.75" x14ac:dyDescent="0.2">
      <c r="A3" s="1393" t="s">
        <v>994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59"/>
    </row>
    <row r="4" spans="1:16" ht="12.75" x14ac:dyDescent="0.2">
      <c r="A4" s="1393" t="s">
        <v>995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59"/>
    </row>
    <row r="5" spans="1:16" ht="12.75" x14ac:dyDescent="0.2">
      <c r="A5" s="1392" t="str">
        <f>Input!C7</f>
        <v>AS OF DECEMBER 31, 2017</v>
      </c>
      <c r="B5" s="1392"/>
      <c r="C5" s="1392"/>
      <c r="D5" s="1392"/>
      <c r="E5" s="1392"/>
      <c r="F5" s="1392"/>
      <c r="G5" s="1392"/>
      <c r="H5" s="1392"/>
      <c r="I5" s="1392"/>
      <c r="J5" s="1392"/>
      <c r="K5" s="1392"/>
      <c r="L5" s="1392"/>
      <c r="M5" s="1392"/>
      <c r="N5" s="1392"/>
      <c r="O5" s="1392"/>
      <c r="P5" s="159"/>
    </row>
    <row r="6" spans="1:16" ht="12.75" x14ac:dyDescent="0.2">
      <c r="A6" s="137" t="s">
        <v>839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59"/>
      <c r="N6" s="160"/>
      <c r="O6" s="139" t="s">
        <v>996</v>
      </c>
      <c r="P6" s="159"/>
    </row>
    <row r="7" spans="1:16" ht="12.75" x14ac:dyDescent="0.2">
      <c r="A7" s="137" t="s">
        <v>490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59"/>
      <c r="N7" s="160"/>
      <c r="O7" s="139" t="s">
        <v>997</v>
      </c>
      <c r="P7" s="159"/>
    </row>
    <row r="8" spans="1:16" ht="12.75" x14ac:dyDescent="0.2">
      <c r="A8" s="140" t="s">
        <v>840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163"/>
      <c r="N8" s="162"/>
      <c r="O8" s="144" t="str">
        <f>Input!E27</f>
        <v>WITNESS:  C. Y. LAI</v>
      </c>
      <c r="P8" s="159"/>
    </row>
    <row r="9" spans="1:16" ht="12.75" x14ac:dyDescent="0.2">
      <c r="A9" s="164" t="s">
        <v>493</v>
      </c>
      <c r="B9" s="160"/>
      <c r="C9" s="164" t="s">
        <v>1143</v>
      </c>
      <c r="D9" s="160"/>
      <c r="E9" s="164" t="s">
        <v>1144</v>
      </c>
      <c r="F9" s="160"/>
      <c r="G9" s="160"/>
      <c r="H9" s="160"/>
      <c r="I9" s="164" t="s">
        <v>523</v>
      </c>
      <c r="J9" s="160"/>
      <c r="K9" s="164" t="s">
        <v>523</v>
      </c>
      <c r="L9" s="160"/>
      <c r="M9" s="160"/>
      <c r="N9" s="160"/>
      <c r="O9" s="164" t="s">
        <v>834</v>
      </c>
      <c r="P9" s="159"/>
    </row>
    <row r="10" spans="1:16" ht="12.75" x14ac:dyDescent="0.2">
      <c r="A10" s="165" t="s">
        <v>496</v>
      </c>
      <c r="B10" s="161"/>
      <c r="C10" s="165" t="s">
        <v>496</v>
      </c>
      <c r="D10" s="161"/>
      <c r="E10" s="165" t="s">
        <v>1147</v>
      </c>
      <c r="F10" s="161"/>
      <c r="G10" s="166" t="s">
        <v>1148</v>
      </c>
      <c r="H10" s="161"/>
      <c r="I10" s="165" t="s">
        <v>983</v>
      </c>
      <c r="J10" s="161"/>
      <c r="K10" s="165" t="s">
        <v>525</v>
      </c>
      <c r="L10" s="161"/>
      <c r="M10" s="165" t="s">
        <v>842</v>
      </c>
      <c r="N10" s="161"/>
      <c r="O10" s="165" t="s">
        <v>531</v>
      </c>
      <c r="P10" s="159"/>
    </row>
    <row r="11" spans="1:16" ht="12.75" x14ac:dyDescent="0.2">
      <c r="A11" s="167"/>
      <c r="B11" s="160"/>
      <c r="C11" s="160"/>
      <c r="D11" s="160"/>
      <c r="E11" s="160"/>
      <c r="F11" s="160"/>
      <c r="G11" s="168" t="s">
        <v>500</v>
      </c>
      <c r="H11" s="160"/>
      <c r="I11" s="160"/>
      <c r="J11" s="160"/>
      <c r="K11" s="164" t="s">
        <v>500</v>
      </c>
      <c r="L11" s="160"/>
      <c r="M11" s="164" t="s">
        <v>500</v>
      </c>
      <c r="N11" s="160"/>
      <c r="O11" s="164" t="s">
        <v>500</v>
      </c>
      <c r="P11" s="159"/>
    </row>
    <row r="12" spans="1:16" ht="12.75" x14ac:dyDescent="0.2">
      <c r="A12" s="164">
        <v>1</v>
      </c>
      <c r="B12" s="160"/>
      <c r="C12" s="169"/>
      <c r="D12" s="160"/>
      <c r="E12" s="170" t="s">
        <v>1149</v>
      </c>
      <c r="F12" s="160"/>
      <c r="G12" s="171"/>
      <c r="H12" s="172"/>
      <c r="I12" s="160"/>
      <c r="J12" s="172"/>
      <c r="K12" s="160"/>
      <c r="L12" s="172"/>
      <c r="M12" s="172"/>
      <c r="N12" s="172"/>
      <c r="O12" s="172"/>
      <c r="P12" s="159"/>
    </row>
    <row r="13" spans="1:16" ht="12.75" x14ac:dyDescent="0.2">
      <c r="A13" s="164">
        <f t="shared" ref="A13:A18" si="0">A12+1</f>
        <v>2</v>
      </c>
      <c r="B13" s="160"/>
      <c r="C13" s="169">
        <v>301</v>
      </c>
      <c r="D13" s="160"/>
      <c r="E13" s="173" t="s">
        <v>1150</v>
      </c>
      <c r="F13" s="160"/>
      <c r="G13" s="171">
        <f>'PP&amp;E by Accts by Type B-2.1a'!O13</f>
        <v>521.20000000000005</v>
      </c>
      <c r="H13" s="172"/>
      <c r="I13" s="174">
        <v>1</v>
      </c>
      <c r="J13" s="172"/>
      <c r="K13" s="172">
        <f>G13</f>
        <v>521.20000000000005</v>
      </c>
      <c r="L13" s="172"/>
      <c r="M13" s="172"/>
      <c r="N13" s="172"/>
      <c r="O13" s="172">
        <f>(+K13+M13)</f>
        <v>521.20000000000005</v>
      </c>
      <c r="P13" s="159"/>
    </row>
    <row r="14" spans="1:16" ht="12.75" x14ac:dyDescent="0.2">
      <c r="A14" s="164">
        <f t="shared" si="0"/>
        <v>3</v>
      </c>
      <c r="B14" s="160"/>
      <c r="C14" s="169">
        <v>303</v>
      </c>
      <c r="D14" s="160"/>
      <c r="E14" s="173" t="s">
        <v>1151</v>
      </c>
      <c r="F14" s="160"/>
      <c r="G14" s="171">
        <f>'PP&amp;E by Accts by Type B-2.1a'!O14</f>
        <v>164630.54</v>
      </c>
      <c r="H14" s="172"/>
      <c r="I14" s="172"/>
      <c r="J14" s="172"/>
      <c r="K14" s="172">
        <f>G14</f>
        <v>164630.54</v>
      </c>
      <c r="L14" s="172"/>
      <c r="M14" s="172"/>
      <c r="N14" s="172"/>
      <c r="O14" s="172">
        <f>(+K14+M14)</f>
        <v>164630.54</v>
      </c>
      <c r="P14" s="159"/>
    </row>
    <row r="15" spans="1:16" ht="12.75" x14ac:dyDescent="0.2">
      <c r="A15" s="164">
        <f t="shared" si="0"/>
        <v>4</v>
      </c>
      <c r="B15" s="160"/>
      <c r="C15" s="169">
        <v>303.10000000000002</v>
      </c>
      <c r="D15" s="160"/>
      <c r="E15" s="173" t="s">
        <v>1152</v>
      </c>
      <c r="F15" s="160"/>
      <c r="G15" s="171">
        <f>'PP&amp;E by Accts by Type B-2.1a'!O15</f>
        <v>0</v>
      </c>
      <c r="H15" s="172"/>
      <c r="I15" s="172"/>
      <c r="J15" s="172"/>
      <c r="K15" s="172">
        <f>G15</f>
        <v>0</v>
      </c>
      <c r="L15" s="172"/>
      <c r="M15" s="172"/>
      <c r="N15" s="172"/>
      <c r="O15" s="172">
        <f>(+K15+M15)</f>
        <v>0</v>
      </c>
      <c r="P15" s="159"/>
    </row>
    <row r="16" spans="1:16" ht="12.75" x14ac:dyDescent="0.2">
      <c r="A16" s="164">
        <f t="shared" si="0"/>
        <v>5</v>
      </c>
      <c r="B16" s="160"/>
      <c r="C16" s="169">
        <v>303.2</v>
      </c>
      <c r="D16" s="160"/>
      <c r="E16" s="173" t="s">
        <v>1153</v>
      </c>
      <c r="F16" s="160"/>
      <c r="G16" s="171">
        <f>'PP&amp;E by Accts by Type B-2.1a'!O16</f>
        <v>0</v>
      </c>
      <c r="H16" s="172"/>
      <c r="I16" s="172"/>
      <c r="J16" s="172"/>
      <c r="K16" s="172">
        <f>G16</f>
        <v>0</v>
      </c>
      <c r="L16" s="172"/>
      <c r="M16" s="172"/>
      <c r="N16" s="172"/>
      <c r="O16" s="172">
        <f>(+K16+M16)</f>
        <v>0</v>
      </c>
      <c r="P16" s="159"/>
    </row>
    <row r="17" spans="1:16" ht="12.75" x14ac:dyDescent="0.2">
      <c r="A17" s="164">
        <f t="shared" si="0"/>
        <v>6</v>
      </c>
      <c r="B17" s="160"/>
      <c r="C17" s="169">
        <v>303.3</v>
      </c>
      <c r="D17" s="160"/>
      <c r="E17" s="173" t="s">
        <v>1154</v>
      </c>
      <c r="F17" s="160"/>
      <c r="G17" s="175">
        <f>'PP&amp;E by Accts by Type B-2.1a'!O17</f>
        <v>1285367.95</v>
      </c>
      <c r="H17" s="172"/>
      <c r="I17" s="172"/>
      <c r="J17" s="172"/>
      <c r="K17" s="176">
        <f>G17</f>
        <v>1285367.95</v>
      </c>
      <c r="L17" s="172"/>
      <c r="M17" s="176"/>
      <c r="N17" s="172"/>
      <c r="O17" s="176">
        <f>(+K17+M17)</f>
        <v>1285367.95</v>
      </c>
      <c r="P17" s="159"/>
    </row>
    <row r="18" spans="1:16" ht="12.75" x14ac:dyDescent="0.2">
      <c r="A18" s="164">
        <f t="shared" si="0"/>
        <v>7</v>
      </c>
      <c r="B18" s="160"/>
      <c r="C18" s="169"/>
      <c r="D18" s="160"/>
      <c r="E18" s="173" t="s">
        <v>1155</v>
      </c>
      <c r="F18" s="160"/>
      <c r="G18" s="171">
        <f>SUM(G13:G17)</f>
        <v>1450519.69</v>
      </c>
      <c r="H18" s="172"/>
      <c r="I18" s="172"/>
      <c r="J18" s="172"/>
      <c r="K18" s="172">
        <f>SUM(K13:K17)</f>
        <v>1450519.69</v>
      </c>
      <c r="L18" s="172"/>
      <c r="M18" s="172">
        <f>SUM(M13:M17)</f>
        <v>0</v>
      </c>
      <c r="N18" s="172"/>
      <c r="O18" s="172">
        <f>SUM(O13:O17)</f>
        <v>1450519.69</v>
      </c>
      <c r="P18" s="159"/>
    </row>
    <row r="19" spans="1:16" ht="12.75" x14ac:dyDescent="0.2">
      <c r="A19" s="164"/>
      <c r="B19" s="160"/>
      <c r="C19" s="169"/>
      <c r="D19" s="160"/>
      <c r="E19" s="169"/>
      <c r="F19" s="160"/>
      <c r="G19" s="171"/>
      <c r="H19" s="172"/>
      <c r="I19" s="172"/>
      <c r="J19" s="172"/>
      <c r="K19" s="177" t="s">
        <v>549</v>
      </c>
      <c r="L19" s="172"/>
      <c r="M19" s="172"/>
      <c r="N19" s="172"/>
      <c r="O19" s="177" t="s">
        <v>549</v>
      </c>
      <c r="P19" s="159"/>
    </row>
    <row r="20" spans="1:16" ht="12.75" x14ac:dyDescent="0.2">
      <c r="A20" s="164">
        <f>A18+1</f>
        <v>8</v>
      </c>
      <c r="B20" s="160"/>
      <c r="C20" s="169"/>
      <c r="D20" s="160"/>
      <c r="E20" s="170" t="s">
        <v>1156</v>
      </c>
      <c r="F20" s="160"/>
      <c r="G20" s="171"/>
      <c r="H20" s="172"/>
      <c r="I20" s="172"/>
      <c r="J20" s="172"/>
      <c r="K20" s="177" t="s">
        <v>549</v>
      </c>
      <c r="L20" s="172"/>
      <c r="M20" s="172"/>
      <c r="N20" s="172"/>
      <c r="O20" s="177" t="s">
        <v>549</v>
      </c>
      <c r="P20" s="159"/>
    </row>
    <row r="21" spans="1:16" ht="12.75" x14ac:dyDescent="0.2">
      <c r="A21" s="164">
        <f>A20+1</f>
        <v>9</v>
      </c>
      <c r="B21" s="160"/>
      <c r="C21" s="169">
        <v>304.10000000000002</v>
      </c>
      <c r="D21" s="160"/>
      <c r="E21" s="173" t="s">
        <v>1157</v>
      </c>
      <c r="F21" s="160"/>
      <c r="G21" s="175">
        <f>'PP&amp;E by Accts by Type B-2.1a'!O21</f>
        <v>7678.39</v>
      </c>
      <c r="H21" s="172"/>
      <c r="I21" s="172"/>
      <c r="J21" s="172"/>
      <c r="K21" s="178">
        <f>G21</f>
        <v>7678.39</v>
      </c>
      <c r="L21" s="172"/>
      <c r="M21" s="178"/>
      <c r="N21" s="172"/>
      <c r="O21" s="178">
        <f>(+K21+M21)</f>
        <v>7678.39</v>
      </c>
      <c r="P21" s="159"/>
    </row>
    <row r="22" spans="1:16" ht="12.75" x14ac:dyDescent="0.2">
      <c r="A22" s="164">
        <f>A21+1</f>
        <v>10</v>
      </c>
      <c r="B22" s="160"/>
      <c r="C22" s="169"/>
      <c r="D22" s="160"/>
      <c r="E22" s="173" t="s">
        <v>1158</v>
      </c>
      <c r="F22" s="160"/>
      <c r="G22" s="171">
        <f>SUM(G21:G21)</f>
        <v>7678.39</v>
      </c>
      <c r="H22" s="172"/>
      <c r="I22" s="172"/>
      <c r="J22" s="172"/>
      <c r="K22" s="172">
        <f>SUM(K21:K21)</f>
        <v>7678.39</v>
      </c>
      <c r="L22" s="172"/>
      <c r="M22" s="172">
        <f>SUM(M21:M21)</f>
        <v>0</v>
      </c>
      <c r="N22" s="172"/>
      <c r="O22" s="172">
        <f>SUM(O21:O21)</f>
        <v>7678.39</v>
      </c>
      <c r="P22" s="159"/>
    </row>
    <row r="23" spans="1:16" ht="12.75" x14ac:dyDescent="0.2">
      <c r="A23" s="164"/>
      <c r="B23" s="160"/>
      <c r="C23" s="169"/>
      <c r="D23" s="160"/>
      <c r="E23" s="169"/>
      <c r="F23" s="160"/>
      <c r="G23" s="171"/>
      <c r="H23" s="172"/>
      <c r="I23" s="172"/>
      <c r="J23" s="172"/>
      <c r="K23" s="177" t="s">
        <v>549</v>
      </c>
      <c r="L23" s="172"/>
      <c r="M23" s="172"/>
      <c r="N23" s="172"/>
      <c r="O23" s="177" t="s">
        <v>549</v>
      </c>
      <c r="P23" s="159"/>
    </row>
    <row r="24" spans="1:16" ht="12.75" x14ac:dyDescent="0.2">
      <c r="A24" s="164">
        <f>A22+1</f>
        <v>11</v>
      </c>
      <c r="B24" s="160"/>
      <c r="C24" s="169"/>
      <c r="D24" s="160"/>
      <c r="E24" s="170" t="s">
        <v>1159</v>
      </c>
      <c r="F24" s="160"/>
      <c r="G24" s="171"/>
      <c r="H24" s="172"/>
      <c r="I24" s="172"/>
      <c r="J24" s="172"/>
      <c r="K24" s="177" t="s">
        <v>549</v>
      </c>
      <c r="L24" s="172"/>
      <c r="M24" s="172"/>
      <c r="N24" s="172"/>
      <c r="O24" s="177" t="s">
        <v>549</v>
      </c>
      <c r="P24" s="159"/>
    </row>
    <row r="25" spans="1:16" ht="12.75" x14ac:dyDescent="0.2">
      <c r="A25" s="164">
        <f t="shared" ref="A25:A41" si="1">A24+1</f>
        <v>12</v>
      </c>
      <c r="B25" s="160"/>
      <c r="C25" s="169">
        <v>374.1</v>
      </c>
      <c r="D25" s="160"/>
      <c r="E25" s="173" t="s">
        <v>1160</v>
      </c>
      <c r="F25" s="160"/>
      <c r="G25" s="171">
        <f>'PP&amp;E by Accts by Type B-2.1a'!O25</f>
        <v>206</v>
      </c>
      <c r="H25" s="172"/>
      <c r="I25" s="172"/>
      <c r="J25" s="172"/>
      <c r="K25" s="172">
        <f t="shared" ref="K25:K41" si="2">G25</f>
        <v>206</v>
      </c>
      <c r="L25" s="172"/>
      <c r="M25" s="172"/>
      <c r="N25" s="172"/>
      <c r="O25" s="172">
        <f t="shared" ref="O25:O41" si="3">(+K25+M25)</f>
        <v>206</v>
      </c>
      <c r="P25" s="159"/>
    </row>
    <row r="26" spans="1:16" ht="12.75" x14ac:dyDescent="0.2">
      <c r="A26" s="164">
        <f t="shared" si="1"/>
        <v>13</v>
      </c>
      <c r="B26" s="160"/>
      <c r="C26" s="169">
        <v>374.2</v>
      </c>
      <c r="D26" s="160"/>
      <c r="E26" s="173" t="s">
        <v>1161</v>
      </c>
      <c r="F26" s="160"/>
      <c r="G26" s="171">
        <f>'PP&amp;E by Accts by Type B-2.1a'!O26</f>
        <v>873471.06</v>
      </c>
      <c r="H26" s="172"/>
      <c r="I26" s="172"/>
      <c r="J26" s="172"/>
      <c r="K26" s="172">
        <f t="shared" si="2"/>
        <v>873471.06</v>
      </c>
      <c r="L26" s="172"/>
      <c r="M26" s="172"/>
      <c r="N26" s="172"/>
      <c r="O26" s="172">
        <f t="shared" si="3"/>
        <v>873471.06</v>
      </c>
      <c r="P26" s="159"/>
    </row>
    <row r="27" spans="1:16" ht="12.75" x14ac:dyDescent="0.2">
      <c r="A27" s="164">
        <f t="shared" si="1"/>
        <v>14</v>
      </c>
      <c r="B27" s="160"/>
      <c r="C27" s="169">
        <v>374.4</v>
      </c>
      <c r="D27" s="160"/>
      <c r="E27" s="173" t="s">
        <v>1162</v>
      </c>
      <c r="F27" s="160"/>
      <c r="G27" s="171">
        <f>'PP&amp;E by Accts by Type B-2.1a'!O27</f>
        <v>555084.6</v>
      </c>
      <c r="H27" s="172"/>
      <c r="I27" s="172"/>
      <c r="J27" s="172"/>
      <c r="K27" s="172">
        <f t="shared" si="2"/>
        <v>555084.6</v>
      </c>
      <c r="L27" s="172"/>
      <c r="M27" s="172"/>
      <c r="N27" s="172"/>
      <c r="O27" s="172">
        <f t="shared" si="3"/>
        <v>555084.6</v>
      </c>
      <c r="P27" s="159"/>
    </row>
    <row r="28" spans="1:16" ht="12.75" x14ac:dyDescent="0.2">
      <c r="A28" s="164">
        <f t="shared" si="1"/>
        <v>15</v>
      </c>
      <c r="B28" s="160"/>
      <c r="C28" s="169">
        <v>374.5</v>
      </c>
      <c r="D28" s="160"/>
      <c r="E28" s="173" t="s">
        <v>1163</v>
      </c>
      <c r="F28" s="160"/>
      <c r="G28" s="171">
        <f>'PP&amp;E by Accts by Type B-2.1a'!O28</f>
        <v>2668348.9200000004</v>
      </c>
      <c r="H28" s="172"/>
      <c r="I28" s="172"/>
      <c r="J28" s="172"/>
      <c r="K28" s="172">
        <f t="shared" si="2"/>
        <v>2668348.9200000004</v>
      </c>
      <c r="L28" s="172"/>
      <c r="M28" s="172"/>
      <c r="N28" s="172"/>
      <c r="O28" s="172">
        <f t="shared" si="3"/>
        <v>2668348.9200000004</v>
      </c>
      <c r="P28" s="159"/>
    </row>
    <row r="29" spans="1:16" ht="12.75" x14ac:dyDescent="0.2">
      <c r="A29" s="164">
        <f t="shared" si="1"/>
        <v>16</v>
      </c>
      <c r="B29" s="160"/>
      <c r="C29" s="169">
        <v>375.2</v>
      </c>
      <c r="D29" s="160"/>
      <c r="E29" s="173" t="s">
        <v>1164</v>
      </c>
      <c r="F29" s="160"/>
      <c r="G29" s="171">
        <f>'PP&amp;E by Accts by Type B-2.1a'!O29</f>
        <v>5249.05</v>
      </c>
      <c r="H29" s="172"/>
      <c r="I29" s="172"/>
      <c r="J29" s="172"/>
      <c r="K29" s="172">
        <f t="shared" si="2"/>
        <v>5249.05</v>
      </c>
      <c r="L29" s="172"/>
      <c r="M29" s="172"/>
      <c r="N29" s="172"/>
      <c r="O29" s="172">
        <f t="shared" si="3"/>
        <v>5249.05</v>
      </c>
      <c r="P29" s="159"/>
    </row>
    <row r="30" spans="1:16" ht="12.75" x14ac:dyDescent="0.2">
      <c r="A30" s="164">
        <f t="shared" si="1"/>
        <v>17</v>
      </c>
      <c r="B30" s="160"/>
      <c r="C30" s="169">
        <v>375.3</v>
      </c>
      <c r="D30" s="160"/>
      <c r="E30" s="173" t="s">
        <v>1165</v>
      </c>
      <c r="F30" s="160"/>
      <c r="G30" s="171">
        <f>'PP&amp;E by Accts by Type B-2.1a'!O30</f>
        <v>10848.26</v>
      </c>
      <c r="H30" s="172"/>
      <c r="I30" s="172"/>
      <c r="J30" s="172"/>
      <c r="K30" s="172">
        <f t="shared" si="2"/>
        <v>10848.26</v>
      </c>
      <c r="L30" s="172"/>
      <c r="M30" s="172"/>
      <c r="N30" s="172"/>
      <c r="O30" s="172">
        <f t="shared" si="3"/>
        <v>10848.26</v>
      </c>
      <c r="P30" s="159"/>
    </row>
    <row r="31" spans="1:16" ht="12.75" x14ac:dyDescent="0.2">
      <c r="A31" s="164">
        <f t="shared" si="1"/>
        <v>18</v>
      </c>
      <c r="B31" s="160"/>
      <c r="C31" s="169">
        <v>375.4</v>
      </c>
      <c r="D31" s="160"/>
      <c r="E31" s="173" t="s">
        <v>1166</v>
      </c>
      <c r="F31" s="160"/>
      <c r="G31" s="171">
        <f>'PP&amp;E by Accts by Type B-2.1a'!O31</f>
        <v>628347.37</v>
      </c>
      <c r="H31" s="172"/>
      <c r="I31" s="172"/>
      <c r="J31" s="172"/>
      <c r="K31" s="172">
        <f t="shared" si="2"/>
        <v>628347.37</v>
      </c>
      <c r="L31" s="172"/>
      <c r="M31" s="172"/>
      <c r="N31" s="172"/>
      <c r="O31" s="172">
        <f t="shared" si="3"/>
        <v>628347.37</v>
      </c>
      <c r="P31" s="159"/>
    </row>
    <row r="32" spans="1:16" ht="12.75" x14ac:dyDescent="0.2">
      <c r="A32" s="164">
        <f t="shared" si="1"/>
        <v>19</v>
      </c>
      <c r="B32" s="160"/>
      <c r="C32" s="169">
        <v>375.6</v>
      </c>
      <c r="D32" s="160"/>
      <c r="E32" s="173" t="s">
        <v>1167</v>
      </c>
      <c r="F32" s="160"/>
      <c r="G32" s="171">
        <f>'PP&amp;E by Accts by Type B-2.1a'!O32</f>
        <v>88210.2</v>
      </c>
      <c r="H32" s="172"/>
      <c r="I32" s="172"/>
      <c r="J32" s="172"/>
      <c r="K32" s="172">
        <f t="shared" si="2"/>
        <v>88210.2</v>
      </c>
      <c r="L32" s="172"/>
      <c r="M32" s="172"/>
      <c r="N32" s="172"/>
      <c r="O32" s="172">
        <f t="shared" si="3"/>
        <v>88210.2</v>
      </c>
      <c r="P32" s="159"/>
    </row>
    <row r="33" spans="1:16" ht="12.75" x14ac:dyDescent="0.2">
      <c r="A33" s="164">
        <f t="shared" si="1"/>
        <v>20</v>
      </c>
      <c r="B33" s="160"/>
      <c r="C33" s="169">
        <v>375.7</v>
      </c>
      <c r="D33" s="160"/>
      <c r="E33" s="173" t="s">
        <v>1168</v>
      </c>
      <c r="F33" s="160"/>
      <c r="G33" s="171">
        <f>'PP&amp;E by Accts by Type B-2.1a'!O33</f>
        <v>7179383.5200000005</v>
      </c>
      <c r="H33" s="172"/>
      <c r="I33" s="172"/>
      <c r="J33" s="172"/>
      <c r="K33" s="172">
        <f t="shared" si="2"/>
        <v>7179383.5200000005</v>
      </c>
      <c r="L33" s="172"/>
      <c r="M33" s="172"/>
      <c r="N33" s="172"/>
      <c r="O33" s="172">
        <f t="shared" si="3"/>
        <v>7179383.5200000005</v>
      </c>
      <c r="P33" s="159"/>
    </row>
    <row r="34" spans="1:16" ht="12.75" x14ac:dyDescent="0.2">
      <c r="A34" s="164">
        <f t="shared" si="1"/>
        <v>21</v>
      </c>
      <c r="B34" s="160"/>
      <c r="C34" s="169">
        <v>375.71</v>
      </c>
      <c r="D34" s="160"/>
      <c r="E34" s="173" t="s">
        <v>1169</v>
      </c>
      <c r="F34" s="160"/>
      <c r="G34" s="171">
        <f>'PP&amp;E by Accts by Type B-2.1a'!O34</f>
        <v>0</v>
      </c>
      <c r="H34" s="172"/>
      <c r="I34" s="172"/>
      <c r="J34" s="172"/>
      <c r="K34" s="172">
        <f t="shared" si="2"/>
        <v>0</v>
      </c>
      <c r="L34" s="172"/>
      <c r="M34" s="172"/>
      <c r="N34" s="172"/>
      <c r="O34" s="172">
        <f t="shared" si="3"/>
        <v>0</v>
      </c>
      <c r="P34" s="159"/>
    </row>
    <row r="35" spans="1:16" ht="12.75" x14ac:dyDescent="0.2">
      <c r="A35" s="164">
        <f t="shared" si="1"/>
        <v>22</v>
      </c>
      <c r="B35" s="160"/>
      <c r="C35" s="169">
        <v>375.8</v>
      </c>
      <c r="D35" s="160"/>
      <c r="E35" s="173" t="s">
        <v>1170</v>
      </c>
      <c r="F35" s="160"/>
      <c r="G35" s="171">
        <f>'PP&amp;E by Accts by Type B-2.1a'!O35</f>
        <v>33260.58</v>
      </c>
      <c r="H35" s="172"/>
      <c r="I35" s="172"/>
      <c r="J35" s="172"/>
      <c r="K35" s="172">
        <f t="shared" si="2"/>
        <v>33260.58</v>
      </c>
      <c r="L35" s="172"/>
      <c r="M35" s="172"/>
      <c r="N35" s="172"/>
      <c r="O35" s="172">
        <f t="shared" si="3"/>
        <v>33260.58</v>
      </c>
      <c r="P35" s="159"/>
    </row>
    <row r="36" spans="1:16" ht="12.75" x14ac:dyDescent="0.2">
      <c r="A36" s="164">
        <f t="shared" si="1"/>
        <v>23</v>
      </c>
      <c r="B36" s="160"/>
      <c r="C36" s="277">
        <v>376</v>
      </c>
      <c r="D36" s="270"/>
      <c r="E36" s="280" t="s">
        <v>1171</v>
      </c>
      <c r="F36" s="160"/>
      <c r="G36" s="171">
        <f>'PP&amp;E by Accts by Type B-2.1a'!O36</f>
        <v>136589627.37</v>
      </c>
      <c r="H36" s="172"/>
      <c r="I36" s="172"/>
      <c r="J36" s="172"/>
      <c r="K36" s="172">
        <f t="shared" si="2"/>
        <v>136589627.37</v>
      </c>
      <c r="L36" s="172"/>
      <c r="M36" s="172"/>
      <c r="N36" s="172"/>
      <c r="O36" s="172">
        <f t="shared" si="3"/>
        <v>136589627.37</v>
      </c>
      <c r="P36" s="159"/>
    </row>
    <row r="37" spans="1:16" ht="12.75" x14ac:dyDescent="0.2">
      <c r="A37" s="164">
        <f t="shared" si="1"/>
        <v>24</v>
      </c>
      <c r="B37" s="160"/>
      <c r="C37" s="169">
        <v>378.1</v>
      </c>
      <c r="D37" s="160"/>
      <c r="E37" s="173" t="s">
        <v>1174</v>
      </c>
      <c r="F37" s="160"/>
      <c r="G37" s="171">
        <f>'PP&amp;E by Accts by Type B-2.1a'!O37</f>
        <v>250523.1</v>
      </c>
      <c r="H37" s="172"/>
      <c r="I37" s="172"/>
      <c r="J37" s="172"/>
      <c r="K37" s="172">
        <f t="shared" si="2"/>
        <v>250523.1</v>
      </c>
      <c r="L37" s="172"/>
      <c r="M37" s="172"/>
      <c r="N37" s="172"/>
      <c r="O37" s="172">
        <f t="shared" si="3"/>
        <v>250523.1</v>
      </c>
      <c r="P37" s="159"/>
    </row>
    <row r="38" spans="1:16" ht="12.75" x14ac:dyDescent="0.2">
      <c r="A38" s="164">
        <f t="shared" si="1"/>
        <v>25</v>
      </c>
      <c r="B38" s="160"/>
      <c r="C38" s="169">
        <v>378.2</v>
      </c>
      <c r="D38" s="160"/>
      <c r="E38" s="173" t="s">
        <v>1178</v>
      </c>
      <c r="F38" s="160"/>
      <c r="G38" s="171">
        <f>'PP&amp;E by Accts by Type B-2.1a'!O38</f>
        <v>4542334.0699999994</v>
      </c>
      <c r="H38" s="172"/>
      <c r="I38" s="172"/>
      <c r="J38" s="172"/>
      <c r="K38" s="172">
        <f t="shared" si="2"/>
        <v>4542334.0699999994</v>
      </c>
      <c r="L38" s="172"/>
      <c r="M38" s="172"/>
      <c r="N38" s="172"/>
      <c r="O38" s="172">
        <f t="shared" si="3"/>
        <v>4542334.0699999994</v>
      </c>
      <c r="P38" s="159"/>
    </row>
    <row r="39" spans="1:16" ht="12.75" x14ac:dyDescent="0.2">
      <c r="A39" s="164">
        <f t="shared" si="1"/>
        <v>26</v>
      </c>
      <c r="B39" s="160"/>
      <c r="C39" s="169">
        <v>378.3</v>
      </c>
      <c r="D39" s="160"/>
      <c r="E39" s="173" t="s">
        <v>1179</v>
      </c>
      <c r="F39" s="160"/>
      <c r="G39" s="171">
        <f>'PP&amp;E by Accts by Type B-2.1a'!O39</f>
        <v>45443.08</v>
      </c>
      <c r="H39" s="172"/>
      <c r="I39" s="172"/>
      <c r="J39" s="172"/>
      <c r="K39" s="172">
        <f t="shared" si="2"/>
        <v>45443.08</v>
      </c>
      <c r="L39" s="172"/>
      <c r="M39" s="172"/>
      <c r="N39" s="172"/>
      <c r="O39" s="172">
        <f t="shared" si="3"/>
        <v>45443.08</v>
      </c>
      <c r="P39" s="159"/>
    </row>
    <row r="40" spans="1:16" ht="12.75" x14ac:dyDescent="0.2">
      <c r="A40" s="164">
        <f t="shared" si="1"/>
        <v>27</v>
      </c>
      <c r="B40" s="160"/>
      <c r="C40" s="169">
        <v>379.1</v>
      </c>
      <c r="D40" s="160"/>
      <c r="E40" s="173" t="s">
        <v>1180</v>
      </c>
      <c r="F40" s="160"/>
      <c r="G40" s="171">
        <f>'PP&amp;E by Accts by Type B-2.1a'!O40</f>
        <v>257908.74</v>
      </c>
      <c r="H40" s="172"/>
      <c r="I40" s="172"/>
      <c r="J40" s="172"/>
      <c r="K40" s="172">
        <f t="shared" si="2"/>
        <v>257908.74</v>
      </c>
      <c r="L40" s="172"/>
      <c r="M40" s="172"/>
      <c r="N40" s="172"/>
      <c r="O40" s="172">
        <f t="shared" si="3"/>
        <v>257908.74</v>
      </c>
      <c r="P40" s="159"/>
    </row>
    <row r="41" spans="1:16" ht="12.75" x14ac:dyDescent="0.2">
      <c r="A41" s="164">
        <f t="shared" si="1"/>
        <v>28</v>
      </c>
      <c r="B41" s="160"/>
      <c r="C41" s="277">
        <v>380</v>
      </c>
      <c r="D41" s="270"/>
      <c r="E41" s="280" t="s">
        <v>1181</v>
      </c>
      <c r="F41" s="160"/>
      <c r="G41" s="171">
        <f>'PP&amp;E by Accts by Type B-2.1a'!O41</f>
        <v>80363819.980000004</v>
      </c>
      <c r="H41" s="172"/>
      <c r="I41" s="172"/>
      <c r="J41" s="172"/>
      <c r="K41" s="172">
        <f t="shared" si="2"/>
        <v>80363819.980000004</v>
      </c>
      <c r="L41" s="172"/>
      <c r="M41" s="172"/>
      <c r="N41" s="172"/>
      <c r="O41" s="172">
        <f t="shared" si="3"/>
        <v>80363819.980000004</v>
      </c>
      <c r="P41" s="159"/>
    </row>
    <row r="42" spans="1:16" ht="12.75" x14ac:dyDescent="0.2">
      <c r="A42" s="16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59"/>
    </row>
    <row r="43" spans="1:16" ht="12.75" x14ac:dyDescent="0.2">
      <c r="A43" s="1392" t="s">
        <v>993</v>
      </c>
      <c r="B43" s="1392"/>
      <c r="C43" s="1392"/>
      <c r="D43" s="1392"/>
      <c r="E43" s="1392"/>
      <c r="F43" s="1392"/>
      <c r="G43" s="1392"/>
      <c r="H43" s="1392"/>
      <c r="I43" s="1392"/>
      <c r="J43" s="1392"/>
      <c r="K43" s="1392"/>
      <c r="L43" s="1392"/>
      <c r="M43" s="1392"/>
      <c r="N43" s="1392"/>
      <c r="O43" s="1392"/>
      <c r="P43" s="159"/>
    </row>
    <row r="44" spans="1:16" ht="12.75" x14ac:dyDescent="0.2">
      <c r="A44" s="1392" t="str">
        <f>Input!C4</f>
        <v>CASE NO. 2017-xxxxx</v>
      </c>
      <c r="B44" s="1392"/>
      <c r="C44" s="1392"/>
      <c r="D44" s="1392"/>
      <c r="E44" s="1392"/>
      <c r="F44" s="1392"/>
      <c r="G44" s="1392"/>
      <c r="H44" s="1392"/>
      <c r="I44" s="1392"/>
      <c r="J44" s="1392"/>
      <c r="K44" s="1392"/>
      <c r="L44" s="1392"/>
      <c r="M44" s="1392"/>
      <c r="N44" s="1392"/>
      <c r="O44" s="1392"/>
      <c r="P44" s="159"/>
    </row>
    <row r="45" spans="1:16" ht="12.75" x14ac:dyDescent="0.2">
      <c r="A45" s="1393" t="s">
        <v>994</v>
      </c>
      <c r="B45" s="1393"/>
      <c r="C45" s="1393"/>
      <c r="D45" s="1393"/>
      <c r="E45" s="1393"/>
      <c r="F45" s="1393"/>
      <c r="G45" s="1393"/>
      <c r="H45" s="1393"/>
      <c r="I45" s="1393"/>
      <c r="J45" s="1393"/>
      <c r="K45" s="1393"/>
      <c r="L45" s="1393"/>
      <c r="M45" s="1393"/>
      <c r="N45" s="1393"/>
      <c r="O45" s="1393"/>
      <c r="P45" s="159"/>
    </row>
    <row r="46" spans="1:16" ht="12.75" x14ac:dyDescent="0.2">
      <c r="A46" s="1393" t="s">
        <v>995</v>
      </c>
      <c r="B46" s="1393"/>
      <c r="C46" s="1393"/>
      <c r="D46" s="1393"/>
      <c r="E46" s="1393"/>
      <c r="F46" s="1393"/>
      <c r="G46" s="1393"/>
      <c r="H46" s="1393"/>
      <c r="I46" s="1393"/>
      <c r="J46" s="1393"/>
      <c r="K46" s="1393"/>
      <c r="L46" s="1393"/>
      <c r="M46" s="1393"/>
      <c r="N46" s="1393"/>
      <c r="O46" s="1393"/>
      <c r="P46" s="159"/>
    </row>
    <row r="47" spans="1:16" ht="12.75" x14ac:dyDescent="0.2">
      <c r="A47" s="1392" t="str">
        <f>Input!C7</f>
        <v>AS OF DECEMBER 31, 2017</v>
      </c>
      <c r="B47" s="1392"/>
      <c r="C47" s="1392"/>
      <c r="D47" s="1392"/>
      <c r="E47" s="1392"/>
      <c r="F47" s="1392"/>
      <c r="G47" s="1392"/>
      <c r="H47" s="1392"/>
      <c r="I47" s="1392"/>
      <c r="J47" s="1392"/>
      <c r="K47" s="1392"/>
      <c r="L47" s="1392"/>
      <c r="M47" s="1392"/>
      <c r="N47" s="1392"/>
      <c r="O47" s="1392"/>
      <c r="P47" s="159"/>
    </row>
    <row r="48" spans="1:16" ht="12.75" x14ac:dyDescent="0.2">
      <c r="A48" s="137" t="s">
        <v>839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59"/>
      <c r="N48" s="160"/>
      <c r="O48" s="139" t="s">
        <v>996</v>
      </c>
      <c r="P48" s="159"/>
    </row>
    <row r="49" spans="1:16" ht="12.75" x14ac:dyDescent="0.2">
      <c r="A49" s="137" t="s">
        <v>490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59"/>
      <c r="N49" s="160"/>
      <c r="O49" s="139" t="s">
        <v>1182</v>
      </c>
      <c r="P49" s="159"/>
    </row>
    <row r="50" spans="1:16" ht="12.75" x14ac:dyDescent="0.2">
      <c r="A50" s="140" t="s">
        <v>840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2"/>
      <c r="M50" s="163"/>
      <c r="N50" s="162"/>
      <c r="O50" s="144" t="str">
        <f>Input!E27</f>
        <v>WITNESS:  C. Y. LAI</v>
      </c>
      <c r="P50" s="159"/>
    </row>
    <row r="51" spans="1:16" ht="12.75" x14ac:dyDescent="0.2">
      <c r="A51" s="164" t="s">
        <v>493</v>
      </c>
      <c r="B51" s="160"/>
      <c r="C51" s="164" t="s">
        <v>1143</v>
      </c>
      <c r="D51" s="160"/>
      <c r="E51" s="164" t="s">
        <v>1144</v>
      </c>
      <c r="F51" s="160"/>
      <c r="G51" s="160"/>
      <c r="H51" s="160"/>
      <c r="I51" s="164" t="s">
        <v>523</v>
      </c>
      <c r="J51" s="160"/>
      <c r="K51" s="164" t="s">
        <v>523</v>
      </c>
      <c r="L51" s="160"/>
      <c r="M51" s="160"/>
      <c r="N51" s="160"/>
      <c r="O51" s="164" t="s">
        <v>834</v>
      </c>
      <c r="P51" s="159"/>
    </row>
    <row r="52" spans="1:16" ht="12.75" x14ac:dyDescent="0.2">
      <c r="A52" s="165" t="s">
        <v>496</v>
      </c>
      <c r="B52" s="161"/>
      <c r="C52" s="165" t="s">
        <v>496</v>
      </c>
      <c r="D52" s="161"/>
      <c r="E52" s="165" t="s">
        <v>1147</v>
      </c>
      <c r="F52" s="161"/>
      <c r="G52" s="166" t="s">
        <v>1148</v>
      </c>
      <c r="H52" s="161"/>
      <c r="I52" s="165" t="s">
        <v>983</v>
      </c>
      <c r="J52" s="161"/>
      <c r="K52" s="165" t="s">
        <v>525</v>
      </c>
      <c r="L52" s="161"/>
      <c r="M52" s="165" t="s">
        <v>842</v>
      </c>
      <c r="N52" s="161"/>
      <c r="O52" s="165" t="s">
        <v>531</v>
      </c>
      <c r="P52" s="159"/>
    </row>
    <row r="53" spans="1:16" ht="12.75" x14ac:dyDescent="0.2">
      <c r="A53" s="167"/>
      <c r="B53" s="160"/>
      <c r="C53" s="160"/>
      <c r="D53" s="160"/>
      <c r="E53" s="160"/>
      <c r="F53" s="160"/>
      <c r="G53" s="168" t="s">
        <v>500</v>
      </c>
      <c r="H53" s="160"/>
      <c r="I53" s="160"/>
      <c r="J53" s="160"/>
      <c r="K53" s="164" t="s">
        <v>500</v>
      </c>
      <c r="L53" s="160"/>
      <c r="M53" s="164" t="s">
        <v>500</v>
      </c>
      <c r="N53" s="160"/>
      <c r="O53" s="164" t="s">
        <v>500</v>
      </c>
      <c r="P53" s="159"/>
    </row>
    <row r="54" spans="1:16" ht="12.75" x14ac:dyDescent="0.2">
      <c r="A54" s="167"/>
      <c r="B54" s="160"/>
      <c r="C54" s="160"/>
      <c r="D54" s="160"/>
      <c r="E54" s="160"/>
      <c r="F54" s="160"/>
      <c r="G54" s="179"/>
      <c r="H54" s="160"/>
      <c r="I54" s="160"/>
      <c r="J54" s="160"/>
      <c r="K54" s="160"/>
      <c r="L54" s="160"/>
      <c r="M54" s="179"/>
      <c r="N54" s="179"/>
      <c r="O54" s="160"/>
      <c r="P54" s="159"/>
    </row>
    <row r="55" spans="1:16" ht="12.75" x14ac:dyDescent="0.2">
      <c r="A55" s="164">
        <v>1</v>
      </c>
      <c r="B55" s="160"/>
      <c r="C55" s="169">
        <v>381</v>
      </c>
      <c r="D55" s="160"/>
      <c r="E55" s="173" t="s">
        <v>1183</v>
      </c>
      <c r="F55" s="160"/>
      <c r="G55" s="171">
        <f>'PP&amp;E by Accts by Type B-2.1a'!O55</f>
        <v>11782894.09</v>
      </c>
      <c r="H55" s="172"/>
      <c r="I55" s="174">
        <v>1</v>
      </c>
      <c r="J55" s="172"/>
      <c r="K55" s="172">
        <f t="shared" ref="K55:K65" si="4">G55</f>
        <v>11782894.09</v>
      </c>
      <c r="L55" s="172"/>
      <c r="M55" s="171"/>
      <c r="N55" s="171"/>
      <c r="O55" s="172">
        <f t="shared" ref="O55:O65" si="5">(+K55+M55)</f>
        <v>11782894.09</v>
      </c>
      <c r="P55" s="159"/>
    </row>
    <row r="56" spans="1:16" ht="12.75" x14ac:dyDescent="0.2">
      <c r="A56" s="164">
        <f t="shared" ref="A56:A66" si="6">A55+1</f>
        <v>2</v>
      </c>
      <c r="B56" s="160"/>
      <c r="C56" s="169">
        <v>382</v>
      </c>
      <c r="D56" s="160"/>
      <c r="E56" s="173" t="s">
        <v>1186</v>
      </c>
      <c r="F56" s="160"/>
      <c r="G56" s="171">
        <f>'PP&amp;E by Accts by Type B-2.1a'!O56</f>
        <v>7818665.0999999996</v>
      </c>
      <c r="H56" s="172"/>
      <c r="I56" s="172"/>
      <c r="J56" s="172"/>
      <c r="K56" s="172">
        <f t="shared" si="4"/>
        <v>7818665.0999999996</v>
      </c>
      <c r="L56" s="172"/>
      <c r="M56" s="171"/>
      <c r="N56" s="171"/>
      <c r="O56" s="172">
        <f t="shared" si="5"/>
        <v>7818665.0999999996</v>
      </c>
      <c r="P56" s="159"/>
    </row>
    <row r="57" spans="1:16" ht="12.75" x14ac:dyDescent="0.2">
      <c r="A57" s="164">
        <f t="shared" si="6"/>
        <v>3</v>
      </c>
      <c r="B57" s="160"/>
      <c r="C57" s="169">
        <v>383</v>
      </c>
      <c r="D57" s="160"/>
      <c r="E57" s="173" t="s">
        <v>1190</v>
      </c>
      <c r="F57" s="160"/>
      <c r="G57" s="171">
        <f>'PP&amp;E by Accts by Type B-2.1a'!O57</f>
        <v>3575312.3200000003</v>
      </c>
      <c r="H57" s="172"/>
      <c r="I57" s="172"/>
      <c r="J57" s="172"/>
      <c r="K57" s="172">
        <f t="shared" si="4"/>
        <v>3575312.3200000003</v>
      </c>
      <c r="L57" s="172"/>
      <c r="M57" s="171"/>
      <c r="N57" s="171"/>
      <c r="O57" s="172">
        <f t="shared" si="5"/>
        <v>3575312.3200000003</v>
      </c>
      <c r="P57" s="159"/>
    </row>
    <row r="58" spans="1:16" ht="12.75" x14ac:dyDescent="0.2">
      <c r="A58" s="164">
        <f t="shared" si="6"/>
        <v>4</v>
      </c>
      <c r="B58" s="160"/>
      <c r="C58" s="169">
        <v>384</v>
      </c>
      <c r="D58" s="160"/>
      <c r="E58" s="173" t="s">
        <v>1191</v>
      </c>
      <c r="F58" s="160"/>
      <c r="G58" s="171">
        <f>'PP&amp;E by Accts by Type B-2.1a'!O58</f>
        <v>2327988.3199999998</v>
      </c>
      <c r="H58" s="172"/>
      <c r="I58" s="172"/>
      <c r="J58" s="172"/>
      <c r="K58" s="172">
        <f t="shared" si="4"/>
        <v>2327988.3199999998</v>
      </c>
      <c r="L58" s="172"/>
      <c r="M58" s="171"/>
      <c r="N58" s="171"/>
      <c r="O58" s="172">
        <f t="shared" si="5"/>
        <v>2327988.3199999998</v>
      </c>
      <c r="P58" s="159"/>
    </row>
    <row r="59" spans="1:16" ht="12.75" x14ac:dyDescent="0.2">
      <c r="A59" s="164">
        <f t="shared" si="6"/>
        <v>5</v>
      </c>
      <c r="B59" s="160"/>
      <c r="C59" s="169">
        <v>385</v>
      </c>
      <c r="D59" s="160"/>
      <c r="E59" s="173" t="s">
        <v>1192</v>
      </c>
      <c r="F59" s="160"/>
      <c r="G59" s="171">
        <f>'PP&amp;E by Accts by Type B-2.1a'!O59</f>
        <v>2717196.56</v>
      </c>
      <c r="H59" s="172"/>
      <c r="I59" s="172"/>
      <c r="J59" s="172"/>
      <c r="K59" s="172">
        <f t="shared" si="4"/>
        <v>2717196.56</v>
      </c>
      <c r="L59" s="172"/>
      <c r="M59" s="171"/>
      <c r="N59" s="171"/>
      <c r="O59" s="172">
        <f t="shared" si="5"/>
        <v>2717196.56</v>
      </c>
      <c r="P59" s="159"/>
    </row>
    <row r="60" spans="1:16" ht="12.75" x14ac:dyDescent="0.2">
      <c r="A60" s="164">
        <f t="shared" si="6"/>
        <v>6</v>
      </c>
      <c r="B60" s="160"/>
      <c r="C60" s="169">
        <v>387.2</v>
      </c>
      <c r="D60" s="160"/>
      <c r="E60" s="173" t="s">
        <v>1193</v>
      </c>
      <c r="F60" s="160"/>
      <c r="G60" s="171">
        <f>'PP&amp;E by Accts by Type B-2.1a'!O60</f>
        <v>28895</v>
      </c>
      <c r="H60" s="172"/>
      <c r="I60" s="172"/>
      <c r="J60" s="172"/>
      <c r="K60" s="172">
        <f t="shared" si="4"/>
        <v>28895</v>
      </c>
      <c r="L60" s="172"/>
      <c r="M60" s="171"/>
      <c r="N60" s="171"/>
      <c r="O60" s="172">
        <f t="shared" si="5"/>
        <v>28895</v>
      </c>
      <c r="P60" s="159"/>
    </row>
    <row r="61" spans="1:16" ht="12.75" x14ac:dyDescent="0.2">
      <c r="A61" s="164">
        <f t="shared" si="6"/>
        <v>7</v>
      </c>
      <c r="B61" s="160"/>
      <c r="C61" s="169">
        <v>387.41</v>
      </c>
      <c r="D61" s="160"/>
      <c r="E61" s="173" t="s">
        <v>1194</v>
      </c>
      <c r="F61" s="160"/>
      <c r="G61" s="171">
        <f>'PP&amp;E by Accts by Type B-2.1a'!O61</f>
        <v>711152.01</v>
      </c>
      <c r="H61" s="172"/>
      <c r="I61" s="172"/>
      <c r="J61" s="172"/>
      <c r="K61" s="172">
        <f t="shared" si="4"/>
        <v>711152.01</v>
      </c>
      <c r="L61" s="172"/>
      <c r="M61" s="171"/>
      <c r="N61" s="171"/>
      <c r="O61" s="172">
        <f t="shared" si="5"/>
        <v>711152.01</v>
      </c>
      <c r="P61" s="159"/>
    </row>
    <row r="62" spans="1:16" ht="12.75" x14ac:dyDescent="0.2">
      <c r="A62" s="164">
        <f t="shared" si="6"/>
        <v>8</v>
      </c>
      <c r="B62" s="160"/>
      <c r="C62" s="169">
        <v>387.42</v>
      </c>
      <c r="D62" s="160"/>
      <c r="E62" s="173" t="s">
        <v>1195</v>
      </c>
      <c r="F62" s="160"/>
      <c r="G62" s="171">
        <f>'PP&amp;E by Accts by Type B-2.1a'!O62</f>
        <v>872759.08</v>
      </c>
      <c r="H62" s="172"/>
      <c r="I62" s="172"/>
      <c r="J62" s="172"/>
      <c r="K62" s="172">
        <f t="shared" si="4"/>
        <v>872759.08</v>
      </c>
      <c r="L62" s="172"/>
      <c r="M62" s="171"/>
      <c r="N62" s="171"/>
      <c r="O62" s="172">
        <f t="shared" si="5"/>
        <v>872759.08</v>
      </c>
      <c r="P62" s="159"/>
    </row>
    <row r="63" spans="1:16" ht="12.75" x14ac:dyDescent="0.2">
      <c r="A63" s="164">
        <f t="shared" si="6"/>
        <v>9</v>
      </c>
      <c r="B63" s="160"/>
      <c r="C63" s="169">
        <v>387.44</v>
      </c>
      <c r="D63" s="160"/>
      <c r="E63" s="173" t="s">
        <v>1196</v>
      </c>
      <c r="F63" s="160"/>
      <c r="G63" s="171">
        <f>'PP&amp;E by Accts by Type B-2.1a'!O63</f>
        <v>169912.74</v>
      </c>
      <c r="H63" s="172"/>
      <c r="I63" s="172"/>
      <c r="J63" s="172"/>
      <c r="K63" s="172">
        <f t="shared" si="4"/>
        <v>169912.74</v>
      </c>
      <c r="L63" s="172"/>
      <c r="M63" s="171"/>
      <c r="N63" s="171"/>
      <c r="O63" s="172">
        <f t="shared" si="5"/>
        <v>169912.74</v>
      </c>
      <c r="P63" s="159"/>
    </row>
    <row r="64" spans="1:16" ht="12.75" x14ac:dyDescent="0.2">
      <c r="A64" s="164">
        <f t="shared" si="6"/>
        <v>10</v>
      </c>
      <c r="B64" s="160"/>
      <c r="C64" s="169">
        <v>387.45</v>
      </c>
      <c r="D64" s="160"/>
      <c r="E64" s="173" t="s">
        <v>1197</v>
      </c>
      <c r="F64" s="160"/>
      <c r="G64" s="171">
        <f>'PP&amp;E by Accts by Type B-2.1a'!O64</f>
        <v>1343593.93</v>
      </c>
      <c r="H64" s="172"/>
      <c r="I64" s="172"/>
      <c r="J64" s="172"/>
      <c r="K64" s="172">
        <f t="shared" si="4"/>
        <v>1343593.93</v>
      </c>
      <c r="L64" s="172"/>
      <c r="M64" s="171"/>
      <c r="N64" s="171"/>
      <c r="O64" s="172">
        <f t="shared" si="5"/>
        <v>1343593.93</v>
      </c>
      <c r="P64" s="159"/>
    </row>
    <row r="65" spans="1:16" ht="12.75" x14ac:dyDescent="0.2">
      <c r="A65" s="164">
        <f t="shared" si="6"/>
        <v>11</v>
      </c>
      <c r="B65" s="160"/>
      <c r="C65" s="169">
        <v>387.46</v>
      </c>
      <c r="D65" s="160"/>
      <c r="E65" s="173" t="s">
        <v>1198</v>
      </c>
      <c r="F65" s="160"/>
      <c r="G65" s="175">
        <f>'PP&amp;E by Accts by Type B-2.1a'!O65</f>
        <v>127354.97</v>
      </c>
      <c r="H65" s="172"/>
      <c r="I65" s="172"/>
      <c r="J65" s="172"/>
      <c r="K65" s="176">
        <f t="shared" si="4"/>
        <v>127354.97</v>
      </c>
      <c r="L65" s="172"/>
      <c r="M65" s="175"/>
      <c r="N65" s="171"/>
      <c r="O65" s="176">
        <f t="shared" si="5"/>
        <v>127354.97</v>
      </c>
      <c r="P65" s="159"/>
    </row>
    <row r="66" spans="1:16" ht="12.75" x14ac:dyDescent="0.2">
      <c r="A66" s="164">
        <f t="shared" si="6"/>
        <v>12</v>
      </c>
      <c r="B66" s="160"/>
      <c r="C66" s="169"/>
      <c r="D66" s="160"/>
      <c r="E66" s="173" t="s">
        <v>1199</v>
      </c>
      <c r="F66" s="160"/>
      <c r="G66" s="171">
        <f>SUM(G25:G41,G55:G65)</f>
        <v>265567790.02000004</v>
      </c>
      <c r="H66" s="172"/>
      <c r="I66" s="172"/>
      <c r="J66" s="172"/>
      <c r="K66" s="171">
        <f>SUM(K25:K41,K55:K65)</f>
        <v>265567790.02000004</v>
      </c>
      <c r="L66" s="172"/>
      <c r="M66" s="172">
        <f>SUM(M25:M41,M55:M65)</f>
        <v>0</v>
      </c>
      <c r="N66" s="171"/>
      <c r="O66" s="171">
        <f>SUM(O25:O41,O55:O65)</f>
        <v>265567790.02000004</v>
      </c>
      <c r="P66" s="159"/>
    </row>
    <row r="67" spans="1:16" ht="12.75" x14ac:dyDescent="0.2">
      <c r="A67" s="164"/>
      <c r="B67" s="160"/>
      <c r="C67" s="169"/>
      <c r="D67" s="160"/>
      <c r="E67" s="169"/>
      <c r="F67" s="160"/>
      <c r="G67" s="171"/>
      <c r="H67" s="172"/>
      <c r="I67" s="172"/>
      <c r="J67" s="172"/>
      <c r="K67" s="177" t="s">
        <v>549</v>
      </c>
      <c r="L67" s="172"/>
      <c r="M67" s="171"/>
      <c r="N67" s="171"/>
      <c r="O67" s="177" t="s">
        <v>549</v>
      </c>
      <c r="P67" s="159"/>
    </row>
    <row r="68" spans="1:16" ht="12.75" x14ac:dyDescent="0.2">
      <c r="A68" s="164">
        <f>A66+1</f>
        <v>13</v>
      </c>
      <c r="B68" s="160"/>
      <c r="C68" s="169"/>
      <c r="D68" s="160"/>
      <c r="E68" s="170" t="s">
        <v>1200</v>
      </c>
      <c r="F68" s="160"/>
      <c r="G68" s="171"/>
      <c r="H68" s="172"/>
      <c r="I68" s="172"/>
      <c r="J68" s="172"/>
      <c r="K68" s="177" t="s">
        <v>549</v>
      </c>
      <c r="L68" s="172"/>
      <c r="M68" s="171"/>
      <c r="N68" s="171"/>
      <c r="O68" s="177" t="s">
        <v>549</v>
      </c>
      <c r="P68" s="159"/>
    </row>
    <row r="69" spans="1:16" ht="12.75" x14ac:dyDescent="0.2">
      <c r="A69" s="164">
        <f t="shared" ref="A69:A82" si="7">A68+1</f>
        <v>14</v>
      </c>
      <c r="B69" s="160"/>
      <c r="C69" s="169">
        <v>391.1</v>
      </c>
      <c r="D69" s="160"/>
      <c r="E69" s="173" t="s">
        <v>1201</v>
      </c>
      <c r="F69" s="160"/>
      <c r="G69" s="171">
        <f>'PP&amp;E by Accts by Type B-2.1a'!O69</f>
        <v>1213530.1099999999</v>
      </c>
      <c r="H69" s="172"/>
      <c r="I69" s="172"/>
      <c r="J69" s="172"/>
      <c r="K69" s="172">
        <f t="shared" ref="K69:K81" si="8">G69</f>
        <v>1213530.1099999999</v>
      </c>
      <c r="L69" s="172"/>
      <c r="M69" s="171"/>
      <c r="N69" s="171"/>
      <c r="O69" s="172">
        <f t="shared" ref="O69:O81" si="9">(+K69+M69)</f>
        <v>1213530.1099999999</v>
      </c>
      <c r="P69" s="159"/>
    </row>
    <row r="70" spans="1:16" ht="12.75" x14ac:dyDescent="0.2">
      <c r="A70" s="164">
        <f t="shared" si="7"/>
        <v>15</v>
      </c>
      <c r="B70" s="160"/>
      <c r="C70" s="169">
        <v>391.11</v>
      </c>
      <c r="D70" s="160"/>
      <c r="E70" s="173" t="s">
        <v>1202</v>
      </c>
      <c r="F70" s="160"/>
      <c r="G70" s="171">
        <f>'PP&amp;E by Accts by Type B-2.1a'!O70</f>
        <v>13816.01</v>
      </c>
      <c r="H70" s="172"/>
      <c r="I70" s="172"/>
      <c r="J70" s="172"/>
      <c r="K70" s="172">
        <f t="shared" si="8"/>
        <v>13816.01</v>
      </c>
      <c r="L70" s="172"/>
      <c r="M70" s="171"/>
      <c r="N70" s="171"/>
      <c r="O70" s="172">
        <f t="shared" si="9"/>
        <v>13816.01</v>
      </c>
      <c r="P70" s="159"/>
    </row>
    <row r="71" spans="1:16" ht="12.75" x14ac:dyDescent="0.2">
      <c r="A71" s="164">
        <f t="shared" si="7"/>
        <v>16</v>
      </c>
      <c r="B71" s="160"/>
      <c r="C71" s="169">
        <v>391.12</v>
      </c>
      <c r="D71" s="160"/>
      <c r="E71" s="173" t="s">
        <v>1204</v>
      </c>
      <c r="F71" s="160"/>
      <c r="G71" s="171">
        <f>'PP&amp;E by Accts by Type B-2.1a'!O71</f>
        <v>269713.82</v>
      </c>
      <c r="H71" s="172"/>
      <c r="I71" s="172"/>
      <c r="J71" s="172"/>
      <c r="K71" s="172">
        <f t="shared" si="8"/>
        <v>269713.82</v>
      </c>
      <c r="L71" s="172"/>
      <c r="M71" s="171"/>
      <c r="N71" s="171"/>
      <c r="O71" s="172">
        <f t="shared" si="9"/>
        <v>269713.82</v>
      </c>
      <c r="P71" s="159"/>
    </row>
    <row r="72" spans="1:16" ht="12.75" x14ac:dyDescent="0.2">
      <c r="A72" s="164">
        <f t="shared" si="7"/>
        <v>17</v>
      </c>
      <c r="B72" s="160"/>
      <c r="C72" s="169">
        <v>392.2</v>
      </c>
      <c r="D72" s="160"/>
      <c r="E72" s="173" t="s">
        <v>828</v>
      </c>
      <c r="F72" s="160"/>
      <c r="G72" s="171">
        <f>'PP&amp;E by Accts by Type B-2.1a'!O72</f>
        <v>113219.98</v>
      </c>
      <c r="H72" s="172"/>
      <c r="I72" s="172"/>
      <c r="J72" s="172"/>
      <c r="K72" s="172">
        <f t="shared" si="8"/>
        <v>113219.98</v>
      </c>
      <c r="L72" s="172"/>
      <c r="M72" s="171"/>
      <c r="N72" s="171"/>
      <c r="O72" s="172">
        <f t="shared" si="9"/>
        <v>113219.98</v>
      </c>
      <c r="P72" s="159"/>
    </row>
    <row r="73" spans="1:16" ht="12.75" x14ac:dyDescent="0.2">
      <c r="A73" s="164">
        <f t="shared" si="7"/>
        <v>18</v>
      </c>
      <c r="B73" s="160"/>
      <c r="C73" s="169">
        <v>392.21</v>
      </c>
      <c r="D73" s="160"/>
      <c r="E73" s="173" t="s">
        <v>1205</v>
      </c>
      <c r="F73" s="160"/>
      <c r="G73" s="171">
        <f>'PP&amp;E by Accts by Type B-2.1a'!O73</f>
        <v>3398.75</v>
      </c>
      <c r="H73" s="172"/>
      <c r="I73" s="172"/>
      <c r="J73" s="172"/>
      <c r="K73" s="172">
        <f t="shared" si="8"/>
        <v>3398.75</v>
      </c>
      <c r="L73" s="172"/>
      <c r="M73" s="171"/>
      <c r="N73" s="171"/>
      <c r="O73" s="172">
        <f t="shared" si="9"/>
        <v>3398.75</v>
      </c>
      <c r="P73" s="159"/>
    </row>
    <row r="74" spans="1:16" ht="12.75" x14ac:dyDescent="0.2">
      <c r="A74" s="164">
        <f>A73+1</f>
        <v>19</v>
      </c>
      <c r="B74" s="160"/>
      <c r="C74" s="169">
        <v>393</v>
      </c>
      <c r="D74" s="160"/>
      <c r="E74" s="173" t="s">
        <v>1206</v>
      </c>
      <c r="F74" s="160"/>
      <c r="G74" s="171">
        <f>'PP&amp;E by Accts by Type B-2.1a'!O74</f>
        <v>0</v>
      </c>
      <c r="H74" s="172"/>
      <c r="I74" s="172"/>
      <c r="J74" s="172"/>
      <c r="K74" s="172">
        <f>G74</f>
        <v>0</v>
      </c>
      <c r="L74" s="172"/>
      <c r="M74" s="171"/>
      <c r="N74" s="171"/>
      <c r="O74" s="172">
        <f>(+K74+M74)</f>
        <v>0</v>
      </c>
      <c r="P74" s="159"/>
    </row>
    <row r="75" spans="1:16" ht="12.75" x14ac:dyDescent="0.2">
      <c r="A75" s="164">
        <f>A74+1</f>
        <v>20</v>
      </c>
      <c r="B75" s="160"/>
      <c r="C75" s="169">
        <v>394.1</v>
      </c>
      <c r="D75" s="160"/>
      <c r="E75" s="173" t="s">
        <v>1213</v>
      </c>
      <c r="F75" s="160"/>
      <c r="G75" s="171">
        <f>'PP&amp;E by Accts by Type B-2.1a'!O75</f>
        <v>26580.01</v>
      </c>
      <c r="H75" s="172"/>
      <c r="I75" s="172"/>
      <c r="J75" s="172"/>
      <c r="K75" s="172">
        <f t="shared" si="8"/>
        <v>26580.01</v>
      </c>
      <c r="L75" s="172"/>
      <c r="M75" s="171"/>
      <c r="N75" s="171"/>
      <c r="O75" s="172">
        <f t="shared" si="9"/>
        <v>26580.01</v>
      </c>
      <c r="P75" s="159"/>
    </row>
    <row r="76" spans="1:16" ht="12.75" x14ac:dyDescent="0.2">
      <c r="A76" s="164">
        <f>A75+1</f>
        <v>21</v>
      </c>
      <c r="B76" s="160"/>
      <c r="C76" s="169">
        <v>394.11</v>
      </c>
      <c r="D76" s="160"/>
      <c r="E76" s="173" t="s">
        <v>1214</v>
      </c>
      <c r="F76" s="160"/>
      <c r="G76" s="171">
        <f>'PP&amp;E by Accts by Type B-2.1a'!O76</f>
        <v>335308.07</v>
      </c>
      <c r="H76" s="172"/>
      <c r="I76" s="172"/>
      <c r="J76" s="172"/>
      <c r="K76" s="172">
        <f t="shared" si="8"/>
        <v>335308.07</v>
      </c>
      <c r="L76" s="172"/>
      <c r="M76" s="171"/>
      <c r="N76" s="171"/>
      <c r="O76" s="172">
        <f t="shared" si="9"/>
        <v>335308.07</v>
      </c>
      <c r="P76" s="159"/>
    </row>
    <row r="77" spans="1:16" ht="12.75" x14ac:dyDescent="0.2">
      <c r="A77" s="164">
        <f>A76+1</f>
        <v>22</v>
      </c>
      <c r="B77" s="160"/>
      <c r="C77" s="169">
        <v>394.2</v>
      </c>
      <c r="D77" s="160"/>
      <c r="E77" s="173" t="s">
        <v>1215</v>
      </c>
      <c r="F77" s="160"/>
      <c r="G77" s="171">
        <f>'PP&amp;E by Accts by Type B-2.1a'!O77</f>
        <v>0</v>
      </c>
      <c r="H77" s="172"/>
      <c r="I77" s="172"/>
      <c r="J77" s="172"/>
      <c r="K77" s="172">
        <f t="shared" si="8"/>
        <v>0</v>
      </c>
      <c r="L77" s="172"/>
      <c r="M77" s="171"/>
      <c r="N77" s="171"/>
      <c r="O77" s="172">
        <f t="shared" si="9"/>
        <v>0</v>
      </c>
      <c r="P77" s="159"/>
    </row>
    <row r="78" spans="1:16" ht="12.75" x14ac:dyDescent="0.2">
      <c r="A78" s="164">
        <f t="shared" si="7"/>
        <v>23</v>
      </c>
      <c r="B78" s="160"/>
      <c r="C78" s="169">
        <v>394.3</v>
      </c>
      <c r="D78" s="160"/>
      <c r="E78" s="173" t="s">
        <v>1216</v>
      </c>
      <c r="F78" s="160"/>
      <c r="G78" s="171">
        <f>'PP&amp;E by Accts by Type B-2.1a'!O78</f>
        <v>1948106.21</v>
      </c>
      <c r="H78" s="172"/>
      <c r="I78" s="172"/>
      <c r="J78" s="172"/>
      <c r="K78" s="172">
        <f t="shared" si="8"/>
        <v>1948106.21</v>
      </c>
      <c r="L78" s="172"/>
      <c r="M78" s="171"/>
      <c r="N78" s="171"/>
      <c r="O78" s="172">
        <f t="shared" si="9"/>
        <v>1948106.21</v>
      </c>
      <c r="P78" s="159"/>
    </row>
    <row r="79" spans="1:16" ht="12.75" x14ac:dyDescent="0.2">
      <c r="A79" s="164">
        <f t="shared" si="7"/>
        <v>24</v>
      </c>
      <c r="B79" s="160"/>
      <c r="C79" s="169">
        <v>395</v>
      </c>
      <c r="D79" s="160"/>
      <c r="E79" s="173" t="s">
        <v>1217</v>
      </c>
      <c r="F79" s="160"/>
      <c r="G79" s="171">
        <f>'PP&amp;E by Accts by Type B-2.1a'!O79</f>
        <v>10307.98</v>
      </c>
      <c r="H79" s="172"/>
      <c r="I79" s="172"/>
      <c r="J79" s="172"/>
      <c r="K79" s="172">
        <f t="shared" si="8"/>
        <v>10307.98</v>
      </c>
      <c r="L79" s="172"/>
      <c r="M79" s="171"/>
      <c r="N79" s="171"/>
      <c r="O79" s="172">
        <f t="shared" si="9"/>
        <v>10307.98</v>
      </c>
      <c r="P79" s="159"/>
    </row>
    <row r="80" spans="1:16" ht="12.75" x14ac:dyDescent="0.2">
      <c r="A80" s="164">
        <f t="shared" si="7"/>
        <v>25</v>
      </c>
      <c r="B80" s="160"/>
      <c r="C80" s="169">
        <v>396</v>
      </c>
      <c r="D80" s="160"/>
      <c r="E80" s="173" t="s">
        <v>1218</v>
      </c>
      <c r="F80" s="160"/>
      <c r="G80" s="171">
        <f>'PP&amp;E by Accts by Type B-2.1a'!O80</f>
        <v>653814.37</v>
      </c>
      <c r="H80" s="172"/>
      <c r="I80" s="172"/>
      <c r="J80" s="172"/>
      <c r="K80" s="172">
        <f t="shared" si="8"/>
        <v>653814.37</v>
      </c>
      <c r="L80" s="172"/>
      <c r="M80" s="171"/>
      <c r="N80" s="171"/>
      <c r="O80" s="172">
        <f t="shared" si="9"/>
        <v>653814.37</v>
      </c>
      <c r="P80" s="159"/>
    </row>
    <row r="81" spans="1:20" ht="12.75" x14ac:dyDescent="0.2">
      <c r="A81" s="164">
        <f t="shared" si="7"/>
        <v>26</v>
      </c>
      <c r="B81" s="160"/>
      <c r="C81" s="169">
        <v>398</v>
      </c>
      <c r="D81" s="160"/>
      <c r="E81" s="173" t="s">
        <v>1219</v>
      </c>
      <c r="F81" s="160"/>
      <c r="G81" s="175">
        <f>'PP&amp;E by Accts by Type B-2.1a'!O81</f>
        <v>78932.17</v>
      </c>
      <c r="H81" s="172"/>
      <c r="I81" s="172"/>
      <c r="J81" s="172"/>
      <c r="K81" s="176">
        <f t="shared" si="8"/>
        <v>78932.17</v>
      </c>
      <c r="L81" s="172"/>
      <c r="M81" s="175"/>
      <c r="N81" s="171"/>
      <c r="O81" s="176">
        <f t="shared" si="9"/>
        <v>78932.17</v>
      </c>
      <c r="P81" s="159"/>
    </row>
    <row r="82" spans="1:20" ht="12.75" x14ac:dyDescent="0.2">
      <c r="A82" s="164">
        <f t="shared" si="7"/>
        <v>27</v>
      </c>
      <c r="B82" s="160"/>
      <c r="C82" s="169"/>
      <c r="D82" s="160"/>
      <c r="E82" s="173" t="s">
        <v>1220</v>
      </c>
      <c r="F82" s="160"/>
      <c r="G82" s="171">
        <f>SUM(G69:G81)</f>
        <v>4666727.4799999995</v>
      </c>
      <c r="H82" s="172"/>
      <c r="I82" s="172"/>
      <c r="J82" s="172"/>
      <c r="K82" s="172">
        <f>SUM(K69:K81)</f>
        <v>4666727.4799999995</v>
      </c>
      <c r="L82" s="172"/>
      <c r="M82" s="172">
        <f>SUM(M69:M81)</f>
        <v>0</v>
      </c>
      <c r="N82" s="171"/>
      <c r="O82" s="172">
        <f>SUM(O69:O81)</f>
        <v>4666727.4799999995</v>
      </c>
      <c r="P82" s="159"/>
    </row>
    <row r="83" spans="1:20" ht="12.75" x14ac:dyDescent="0.2">
      <c r="A83" s="164"/>
      <c r="B83" s="160"/>
      <c r="C83" s="169"/>
      <c r="D83" s="160"/>
      <c r="E83" s="169"/>
      <c r="F83" s="160"/>
      <c r="G83" s="180"/>
      <c r="H83" s="172"/>
      <c r="I83" s="172"/>
      <c r="J83" s="172"/>
      <c r="K83" s="181" t="s">
        <v>549</v>
      </c>
      <c r="L83" s="172"/>
      <c r="M83" s="182"/>
      <c r="N83" s="171"/>
      <c r="O83" s="181" t="s">
        <v>549</v>
      </c>
      <c r="P83" s="159"/>
    </row>
    <row r="84" spans="1:20" ht="13.5" thickBot="1" x14ac:dyDescent="0.25">
      <c r="A84" s="164">
        <f>A82+1</f>
        <v>28</v>
      </c>
      <c r="B84" s="160"/>
      <c r="C84" s="169"/>
      <c r="D84" s="160"/>
      <c r="E84" s="173" t="s">
        <v>1221</v>
      </c>
      <c r="F84" s="160"/>
      <c r="G84" s="183">
        <f>G18+G22+G66+G82</f>
        <v>271692715.58000004</v>
      </c>
      <c r="H84" s="172"/>
      <c r="I84" s="172"/>
      <c r="J84" s="172"/>
      <c r="K84" s="184">
        <f>K18+K22+K66+K82</f>
        <v>271692715.58000004</v>
      </c>
      <c r="L84" s="172"/>
      <c r="M84" s="184">
        <f>M18+M22+M66+M82</f>
        <v>0</v>
      </c>
      <c r="N84" s="171"/>
      <c r="O84" s="184">
        <f>O18+O22+O66+O82</f>
        <v>271692715.58000004</v>
      </c>
      <c r="P84" s="159"/>
    </row>
    <row r="85" spans="1:20" ht="13.5" thickTop="1" x14ac:dyDescent="0.2">
      <c r="A85" s="185"/>
      <c r="B85" s="160"/>
      <c r="C85" s="160"/>
      <c r="D85" s="160"/>
      <c r="E85" s="160"/>
      <c r="F85" s="160"/>
      <c r="G85" s="179"/>
      <c r="H85" s="172"/>
      <c r="I85" s="172"/>
      <c r="J85" s="172"/>
      <c r="K85" s="160"/>
      <c r="L85" s="172"/>
      <c r="M85" s="179"/>
      <c r="N85" s="171"/>
      <c r="O85" s="160"/>
      <c r="P85" s="159"/>
    </row>
    <row r="86" spans="1:20" ht="12.75" x14ac:dyDescent="0.2">
      <c r="A86" s="185"/>
      <c r="B86" s="160"/>
      <c r="C86" s="160"/>
      <c r="D86" s="160"/>
      <c r="E86" s="160"/>
      <c r="F86" s="160"/>
      <c r="G86" s="179"/>
      <c r="H86" s="160"/>
      <c r="I86" s="160"/>
      <c r="J86" s="160"/>
      <c r="K86" s="160"/>
      <c r="L86" s="160"/>
      <c r="M86" s="160"/>
      <c r="N86" s="160"/>
      <c r="O86" s="160"/>
      <c r="P86" s="159"/>
    </row>
    <row r="87" spans="1:20" ht="13.5" thickBot="1" x14ac:dyDescent="0.25">
      <c r="A87" s="164">
        <f>A84+1</f>
        <v>29</v>
      </c>
      <c r="B87" s="160"/>
      <c r="C87" s="137" t="s">
        <v>1222</v>
      </c>
      <c r="D87" s="160"/>
      <c r="E87" s="160"/>
      <c r="F87" s="160"/>
      <c r="G87" s="186">
        <f>'PP&amp;E by Accts by Type B-2.1a'!M84</f>
        <v>5449474.79</v>
      </c>
      <c r="H87" s="172"/>
      <c r="I87" s="172"/>
      <c r="J87" s="172"/>
      <c r="K87" s="187">
        <f>G87</f>
        <v>5449474.79</v>
      </c>
      <c r="L87" s="172"/>
      <c r="M87" s="188"/>
      <c r="N87" s="172"/>
      <c r="O87" s="187">
        <f>(+K87+M87)</f>
        <v>5449474.79</v>
      </c>
      <c r="P87" s="159"/>
      <c r="Q87" s="25"/>
      <c r="R87" s="25"/>
      <c r="S87" s="25"/>
      <c r="T87" s="25"/>
    </row>
    <row r="88" spans="1:20" ht="13.5" thickTop="1" x14ac:dyDescent="0.2">
      <c r="A88" s="167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59"/>
    </row>
    <row r="89" spans="1:20" ht="12.75" x14ac:dyDescent="0.2">
      <c r="A89" s="167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59"/>
    </row>
    <row r="90" spans="1:20" ht="12.75" x14ac:dyDescent="0.2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59"/>
    </row>
    <row r="91" spans="1:20" ht="12.75" x14ac:dyDescent="0.2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59"/>
    </row>
    <row r="92" spans="1:20" ht="12.75" x14ac:dyDescent="0.2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59"/>
    </row>
    <row r="93" spans="1:20" ht="12.75" x14ac:dyDescent="0.2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59"/>
    </row>
    <row r="94" spans="1:20" ht="12.75" x14ac:dyDescent="0.2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59"/>
    </row>
    <row r="95" spans="1:20" ht="12.75" x14ac:dyDescent="0.2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59"/>
    </row>
    <row r="96" spans="1:20" ht="12.75" x14ac:dyDescent="0.2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59"/>
    </row>
    <row r="97" spans="1:16" ht="12.75" x14ac:dyDescent="0.2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59"/>
    </row>
    <row r="98" spans="1:16" ht="12.75" x14ac:dyDescent="0.2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59"/>
    </row>
    <row r="99" spans="1:16" ht="12.75" x14ac:dyDescent="0.2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59"/>
    </row>
    <row r="100" spans="1:16" ht="12.75" x14ac:dyDescent="0.2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59"/>
    </row>
    <row r="101" spans="1:16" ht="12.75" x14ac:dyDescent="0.2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59"/>
    </row>
    <row r="102" spans="1:16" ht="12.75" x14ac:dyDescent="0.2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59"/>
    </row>
    <row r="103" spans="1:16" ht="12.75" x14ac:dyDescent="0.2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59"/>
    </row>
    <row r="104" spans="1:16" ht="12.75" x14ac:dyDescent="0.2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59"/>
    </row>
    <row r="105" spans="1:16" ht="12.75" x14ac:dyDescent="0.2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59"/>
    </row>
    <row r="106" spans="1:16" ht="12.75" x14ac:dyDescent="0.2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59"/>
    </row>
    <row r="107" spans="1:16" ht="12.75" x14ac:dyDescent="0.2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59"/>
    </row>
    <row r="108" spans="1:16" ht="12.75" x14ac:dyDescent="0.2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59"/>
    </row>
    <row r="109" spans="1:16" ht="12.75" x14ac:dyDescent="0.2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59"/>
    </row>
    <row r="110" spans="1:16" ht="12.75" x14ac:dyDescent="0.2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59"/>
    </row>
    <row r="111" spans="1:16" ht="12.75" x14ac:dyDescent="0.2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59"/>
    </row>
    <row r="112" spans="1:16" ht="12.75" x14ac:dyDescent="0.2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59"/>
    </row>
    <row r="113" spans="1:16" ht="12.75" x14ac:dyDescent="0.2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59"/>
    </row>
    <row r="114" spans="1:16" ht="12.75" x14ac:dyDescent="0.2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59"/>
    </row>
    <row r="115" spans="1:16" ht="12.75" x14ac:dyDescent="0.2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59"/>
    </row>
    <row r="116" spans="1:16" ht="12.75" x14ac:dyDescent="0.2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59"/>
    </row>
    <row r="117" spans="1:16" ht="12.75" x14ac:dyDescent="0.2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59"/>
    </row>
    <row r="118" spans="1:16" ht="12.75" x14ac:dyDescent="0.2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59"/>
    </row>
    <row r="119" spans="1:16" ht="12.75" x14ac:dyDescent="0.2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59"/>
    </row>
    <row r="120" spans="1:16" ht="12.75" x14ac:dyDescent="0.2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59"/>
    </row>
    <row r="121" spans="1:16" x14ac:dyDescent="0.15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</row>
    <row r="122" spans="1:16" x14ac:dyDescent="0.15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</row>
    <row r="123" spans="1:16" x14ac:dyDescent="0.15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</row>
    <row r="124" spans="1:16" x14ac:dyDescent="0.15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</row>
    <row r="125" spans="1:16" x14ac:dyDescent="0.15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</row>
    <row r="126" spans="1:16" x14ac:dyDescent="0.15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</row>
    <row r="127" spans="1:16" x14ac:dyDescent="0.15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</row>
    <row r="128" spans="1:16" x14ac:dyDescent="0.15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</row>
    <row r="129" spans="1:16" x14ac:dyDescent="0.15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</row>
    <row r="130" spans="1:16" x14ac:dyDescent="0.15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</row>
    <row r="131" spans="1:16" x14ac:dyDescent="0.15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</row>
    <row r="132" spans="1:16" x14ac:dyDescent="0.15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</row>
    <row r="133" spans="1:16" x14ac:dyDescent="0.15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</row>
    <row r="134" spans="1:16" x14ac:dyDescent="0.15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</row>
    <row r="135" spans="1:16" x14ac:dyDescent="0.15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</row>
    <row r="136" spans="1:16" x14ac:dyDescent="0.15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</row>
    <row r="137" spans="1:16" x14ac:dyDescent="0.15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</row>
    <row r="138" spans="1:16" x14ac:dyDescent="0.15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</row>
    <row r="139" spans="1:16" x14ac:dyDescent="0.15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</row>
    <row r="140" spans="1:16" x14ac:dyDescent="0.15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</row>
    <row r="141" spans="1:16" x14ac:dyDescent="0.15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</row>
    <row r="142" spans="1:16" x14ac:dyDescent="0.15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</row>
    <row r="143" spans="1:16" x14ac:dyDescent="0.15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</row>
    <row r="144" spans="1:16" x14ac:dyDescent="0.15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</row>
    <row r="145" spans="1:16" x14ac:dyDescent="0.15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</row>
    <row r="146" spans="1:16" x14ac:dyDescent="0.15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</row>
    <row r="147" spans="1:16" x14ac:dyDescent="0.15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</row>
    <row r="148" spans="1:16" x14ac:dyDescent="0.15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</row>
    <row r="149" spans="1:16" x14ac:dyDescent="0.15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</row>
    <row r="150" spans="1:16" x14ac:dyDescent="0.15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</row>
    <row r="151" spans="1:16" x14ac:dyDescent="0.15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</row>
    <row r="152" spans="1:16" x14ac:dyDescent="0.15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</row>
    <row r="153" spans="1:16" x14ac:dyDescent="0.15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</row>
    <row r="154" spans="1:16" x14ac:dyDescent="0.15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</row>
    <row r="155" spans="1:16" x14ac:dyDescent="0.15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</row>
    <row r="156" spans="1:16" x14ac:dyDescent="0.15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</row>
    <row r="157" spans="1:16" x14ac:dyDescent="0.15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</row>
    <row r="158" spans="1:16" x14ac:dyDescent="0.15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</row>
    <row r="159" spans="1:16" x14ac:dyDescent="0.15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</row>
    <row r="160" spans="1:16" x14ac:dyDescent="0.15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</row>
    <row r="161" spans="1:16" x14ac:dyDescent="0.15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</row>
    <row r="162" spans="1:16" x14ac:dyDescent="0.15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</row>
    <row r="163" spans="1:16" x14ac:dyDescent="0.15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</row>
    <row r="164" spans="1:16" x14ac:dyDescent="0.15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</row>
    <row r="165" spans="1:16" x14ac:dyDescent="0.15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</row>
    <row r="166" spans="1:16" x14ac:dyDescent="0.15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</row>
    <row r="167" spans="1:16" x14ac:dyDescent="0.15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</row>
    <row r="168" spans="1:16" x14ac:dyDescent="0.1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</row>
    <row r="169" spans="1:16" x14ac:dyDescent="0.15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</row>
    <row r="170" spans="1:16" x14ac:dyDescent="0.15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</row>
    <row r="171" spans="1:16" x14ac:dyDescent="0.15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</row>
    <row r="172" spans="1:16" x14ac:dyDescent="0.15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</row>
    <row r="173" spans="1:16" x14ac:dyDescent="0.15">
      <c r="A173" s="159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</row>
    <row r="174" spans="1:16" x14ac:dyDescent="0.15">
      <c r="A174" s="159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</row>
    <row r="175" spans="1:16" x14ac:dyDescent="0.15">
      <c r="A175" s="159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</row>
    <row r="176" spans="1:16" x14ac:dyDescent="0.15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</row>
    <row r="177" spans="1:16" x14ac:dyDescent="0.15">
      <c r="A177" s="159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</row>
    <row r="178" spans="1:16" x14ac:dyDescent="0.15">
      <c r="A178" s="159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</row>
    <row r="179" spans="1:16" x14ac:dyDescent="0.15">
      <c r="A179" s="159"/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</row>
    <row r="180" spans="1:16" x14ac:dyDescent="0.15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</row>
    <row r="181" spans="1:16" x14ac:dyDescent="0.15">
      <c r="A181" s="159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</row>
    <row r="182" spans="1:16" x14ac:dyDescent="0.15">
      <c r="A182" s="159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</row>
    <row r="183" spans="1:16" x14ac:dyDescent="0.15">
      <c r="A183" s="159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</row>
    <row r="184" spans="1:16" x14ac:dyDescent="0.15">
      <c r="A184" s="159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</row>
    <row r="185" spans="1:16" x14ac:dyDescent="0.15">
      <c r="A185" s="159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</row>
    <row r="186" spans="1:16" x14ac:dyDescent="0.15">
      <c r="A186" s="159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</row>
    <row r="187" spans="1:16" x14ac:dyDescent="0.15">
      <c r="A187" s="159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</row>
    <row r="188" spans="1:16" x14ac:dyDescent="0.15">
      <c r="A188" s="159"/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</row>
    <row r="189" spans="1:16" x14ac:dyDescent="0.15">
      <c r="A189" s="159"/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</row>
    <row r="190" spans="1:16" x14ac:dyDescent="0.15">
      <c r="A190" s="159"/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</row>
    <row r="191" spans="1:16" x14ac:dyDescent="0.15">
      <c r="A191" s="159"/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</row>
    <row r="192" spans="1:16" x14ac:dyDescent="0.15">
      <c r="A192" s="159"/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</row>
    <row r="193" spans="1:16" x14ac:dyDescent="0.15">
      <c r="A193" s="159"/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</row>
    <row r="194" spans="1:16" x14ac:dyDescent="0.15">
      <c r="A194" s="159"/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</row>
    <row r="195" spans="1:16" x14ac:dyDescent="0.15">
      <c r="A195" s="159"/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</row>
    <row r="196" spans="1:16" x14ac:dyDescent="0.15">
      <c r="A196" s="159"/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</row>
    <row r="197" spans="1:16" x14ac:dyDescent="0.15">
      <c r="A197" s="159"/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</row>
    <row r="198" spans="1:16" x14ac:dyDescent="0.15">
      <c r="A198" s="159"/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</row>
    <row r="199" spans="1:16" x14ac:dyDescent="0.15">
      <c r="A199" s="159"/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</row>
    <row r="200" spans="1:16" x14ac:dyDescent="0.15">
      <c r="A200" s="159"/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</row>
    <row r="201" spans="1:16" x14ac:dyDescent="0.15">
      <c r="A201" s="159"/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</row>
    <row r="202" spans="1:16" x14ac:dyDescent="0.15">
      <c r="A202" s="159"/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</row>
    <row r="203" spans="1:16" x14ac:dyDescent="0.15">
      <c r="A203" s="159"/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</row>
    <row r="204" spans="1:16" x14ac:dyDescent="0.15">
      <c r="A204" s="159"/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</row>
    <row r="205" spans="1:16" x14ac:dyDescent="0.15">
      <c r="A205" s="159"/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</row>
    <row r="206" spans="1:16" x14ac:dyDescent="0.15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</row>
    <row r="207" spans="1:16" x14ac:dyDescent="0.15">
      <c r="A207" s="159"/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</row>
    <row r="208" spans="1:16" x14ac:dyDescent="0.15">
      <c r="A208" s="159"/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</row>
    <row r="209" spans="1:16" x14ac:dyDescent="0.15">
      <c r="A209" s="159"/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</row>
    <row r="210" spans="1:16" x14ac:dyDescent="0.15">
      <c r="A210" s="159"/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</row>
    <row r="211" spans="1:16" x14ac:dyDescent="0.15">
      <c r="A211" s="159"/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</row>
    <row r="212" spans="1:16" x14ac:dyDescent="0.15">
      <c r="A212" s="159"/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</row>
    <row r="213" spans="1:16" x14ac:dyDescent="0.15">
      <c r="A213" s="159"/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</row>
    <row r="214" spans="1:16" x14ac:dyDescent="0.15">
      <c r="A214" s="159"/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</row>
    <row r="215" spans="1:16" x14ac:dyDescent="0.15">
      <c r="A215" s="159"/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</row>
    <row r="216" spans="1:16" x14ac:dyDescent="0.15">
      <c r="A216" s="159"/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</row>
    <row r="217" spans="1:16" x14ac:dyDescent="0.15">
      <c r="A217" s="159"/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</row>
    <row r="218" spans="1:16" x14ac:dyDescent="0.15">
      <c r="A218" s="159"/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</row>
    <row r="219" spans="1:16" x14ac:dyDescent="0.15">
      <c r="A219" s="159"/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</row>
    <row r="220" spans="1:16" x14ac:dyDescent="0.15">
      <c r="A220" s="159"/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</row>
    <row r="221" spans="1:16" x14ac:dyDescent="0.15">
      <c r="A221" s="159"/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</row>
    <row r="222" spans="1:16" x14ac:dyDescent="0.15">
      <c r="A222" s="159"/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</row>
    <row r="223" spans="1:16" x14ac:dyDescent="0.15">
      <c r="A223" s="159"/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</row>
    <row r="224" spans="1:16" x14ac:dyDescent="0.15">
      <c r="A224" s="159"/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</row>
    <row r="225" spans="1:16" x14ac:dyDescent="0.15">
      <c r="A225" s="159"/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</row>
    <row r="226" spans="1:16" x14ac:dyDescent="0.15">
      <c r="A226" s="159"/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</row>
    <row r="227" spans="1:16" x14ac:dyDescent="0.15">
      <c r="A227" s="159"/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</row>
    <row r="228" spans="1:16" x14ac:dyDescent="0.15">
      <c r="A228" s="159"/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</row>
    <row r="229" spans="1:16" x14ac:dyDescent="0.15">
      <c r="A229" s="159"/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</row>
  </sheetData>
  <mergeCells count="10">
    <mergeCell ref="A5:O5"/>
    <mergeCell ref="A1:O1"/>
    <mergeCell ref="A2:O2"/>
    <mergeCell ref="A3:O3"/>
    <mergeCell ref="A4:O4"/>
    <mergeCell ref="A47:O47"/>
    <mergeCell ref="A46:O46"/>
    <mergeCell ref="A43:O43"/>
    <mergeCell ref="A44:O44"/>
    <mergeCell ref="A45:O45"/>
  </mergeCells>
  <phoneticPr fontId="3" type="noConversion"/>
  <printOptions horizontalCentered="1"/>
  <pageMargins left="0.25" right="0.25" top="1" bottom="0.25" header="0.5" footer="0.5"/>
  <pageSetup scale="89" orientation="landscape" r:id="rId1"/>
  <headerFooter alignWithMargins="0"/>
  <rowBreaks count="1" manualBreakCount="1">
    <brk id="4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43" transitionEvaluation="1" transitionEntry="1"/>
  <dimension ref="A1:U163"/>
  <sheetViews>
    <sheetView topLeftCell="A43" zoomScaleNormal="125" workbookViewId="0">
      <selection activeCell="E25" sqref="E25"/>
    </sheetView>
  </sheetViews>
  <sheetFormatPr defaultColWidth="12.5" defaultRowHeight="9" x14ac:dyDescent="0.15"/>
  <cols>
    <col min="1" max="1" width="5.1640625" style="23" customWidth="1"/>
    <col min="2" max="2" width="1.6640625" style="23" customWidth="1"/>
    <col min="3" max="3" width="9.1640625" style="23" customWidth="1"/>
    <col min="4" max="4" width="1.6640625" style="23" customWidth="1"/>
    <col min="5" max="5" width="48.5" style="23" customWidth="1"/>
    <col min="6" max="6" width="3.33203125" style="23" customWidth="1"/>
    <col min="7" max="7" width="15" style="23" customWidth="1"/>
    <col min="8" max="8" width="3.33203125" style="23" customWidth="1"/>
    <col min="9" max="9" width="13.6640625" style="23" customWidth="1"/>
    <col min="10" max="10" width="3.33203125" style="23" customWidth="1"/>
    <col min="11" max="11" width="12.5" style="23"/>
    <col min="12" max="12" width="3.33203125" style="23" customWidth="1"/>
    <col min="13" max="13" width="14.1640625" style="23" customWidth="1"/>
    <col min="14" max="14" width="3.33203125" style="23" customWidth="1"/>
    <col min="15" max="15" width="16.6640625" style="23" customWidth="1"/>
    <col min="16" max="16" width="3.33203125" style="23" customWidth="1"/>
    <col min="17" max="17" width="8.33203125" style="23" customWidth="1"/>
    <col min="18" max="16384" width="12.5" style="23"/>
  </cols>
  <sheetData>
    <row r="1" spans="1:21" ht="12.75" x14ac:dyDescent="0.2">
      <c r="A1" s="1393" t="s">
        <v>477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60"/>
      <c r="Q1" s="189"/>
      <c r="R1" s="84"/>
      <c r="S1" s="84"/>
      <c r="T1" s="84"/>
      <c r="U1" s="84"/>
    </row>
    <row r="2" spans="1:21" ht="12.75" x14ac:dyDescent="0.2">
      <c r="A2" s="1392" t="str">
        <f>Input!C4</f>
        <v>CASE NO. 2017-xxxxx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392"/>
      <c r="M2" s="1392"/>
      <c r="N2" s="1392"/>
      <c r="O2" s="1392"/>
      <c r="P2" s="160"/>
      <c r="Q2" s="189"/>
      <c r="R2" s="84"/>
      <c r="S2" s="84"/>
      <c r="T2" s="84"/>
      <c r="U2" s="84"/>
    </row>
    <row r="3" spans="1:21" ht="12.75" x14ac:dyDescent="0.2">
      <c r="A3" s="1393" t="s">
        <v>994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393"/>
      <c r="M3" s="1393"/>
      <c r="N3" s="1393"/>
      <c r="O3" s="1393"/>
      <c r="P3" s="160"/>
      <c r="Q3" s="189"/>
      <c r="R3" s="84"/>
      <c r="S3" s="84"/>
      <c r="T3" s="84"/>
      <c r="U3" s="84"/>
    </row>
    <row r="4" spans="1:21" ht="12.75" x14ac:dyDescent="0.2">
      <c r="A4" s="1393" t="s">
        <v>995</v>
      </c>
      <c r="B4" s="1393"/>
      <c r="C4" s="1393"/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1393"/>
      <c r="O4" s="1393"/>
      <c r="P4" s="160"/>
      <c r="Q4" s="189"/>
      <c r="R4" s="84"/>
      <c r="S4" s="84"/>
      <c r="T4" s="84"/>
      <c r="U4" s="84"/>
    </row>
    <row r="5" spans="1:21" ht="12.75" x14ac:dyDescent="0.2">
      <c r="A5" s="1392" t="str">
        <f>Input!C7</f>
        <v>AS OF DECEMBER 31, 2017</v>
      </c>
      <c r="B5" s="1392"/>
      <c r="C5" s="1392"/>
      <c r="D5" s="1392"/>
      <c r="E5" s="1392"/>
      <c r="F5" s="1392"/>
      <c r="G5" s="1392"/>
      <c r="H5" s="1392"/>
      <c r="I5" s="1392"/>
      <c r="J5" s="1392"/>
      <c r="K5" s="1392"/>
      <c r="L5" s="1392"/>
      <c r="M5" s="1392"/>
      <c r="N5" s="1392"/>
      <c r="O5" s="1392"/>
      <c r="P5" s="160"/>
      <c r="Q5" s="189"/>
      <c r="R5" s="84"/>
      <c r="S5" s="84"/>
      <c r="T5" s="84"/>
      <c r="U5" s="84"/>
    </row>
    <row r="6" spans="1:21" ht="12.75" x14ac:dyDescent="0.2">
      <c r="A6" s="147" t="s">
        <v>839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N6" s="160"/>
      <c r="O6" s="139" t="s">
        <v>1223</v>
      </c>
      <c r="P6" s="160"/>
      <c r="Q6" s="189"/>
      <c r="R6" s="84"/>
      <c r="S6" s="84"/>
      <c r="T6" s="84"/>
      <c r="U6" s="84"/>
    </row>
    <row r="7" spans="1:21" ht="12.75" x14ac:dyDescent="0.2">
      <c r="A7" s="147" t="s">
        <v>490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N7" s="160"/>
      <c r="O7" s="139" t="s">
        <v>997</v>
      </c>
      <c r="P7" s="160"/>
      <c r="Q7" s="189"/>
      <c r="R7" s="84"/>
      <c r="S7" s="84"/>
      <c r="T7" s="84"/>
      <c r="U7" s="84"/>
    </row>
    <row r="8" spans="1:21" ht="12.75" x14ac:dyDescent="0.2">
      <c r="A8" s="146" t="s">
        <v>840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N8" s="161"/>
      <c r="O8" s="144" t="str">
        <f>Input!E27</f>
        <v>WITNESS:  C. Y. LAI</v>
      </c>
      <c r="P8" s="160"/>
      <c r="Q8" s="189"/>
      <c r="R8" s="84"/>
      <c r="S8" s="84"/>
      <c r="T8" s="84"/>
      <c r="U8" s="84"/>
    </row>
    <row r="9" spans="1:21" ht="12.75" x14ac:dyDescent="0.2">
      <c r="A9" s="164" t="s">
        <v>493</v>
      </c>
      <c r="B9" s="160"/>
      <c r="C9" s="164" t="s">
        <v>1143</v>
      </c>
      <c r="D9" s="160"/>
      <c r="E9" s="164" t="s">
        <v>1144</v>
      </c>
      <c r="F9" s="160"/>
      <c r="G9" s="1394" t="s">
        <v>523</v>
      </c>
      <c r="H9" s="1394"/>
      <c r="I9" s="1394"/>
      <c r="J9" s="1394"/>
      <c r="K9" s="1394"/>
      <c r="L9" s="1394"/>
      <c r="M9" s="1394"/>
      <c r="N9" s="1394"/>
      <c r="O9" s="1394"/>
      <c r="P9" s="160"/>
      <c r="Q9" s="189"/>
      <c r="R9" s="84"/>
      <c r="S9" s="84"/>
      <c r="T9" s="84"/>
      <c r="U9" s="84"/>
    </row>
    <row r="10" spans="1:21" ht="12.75" x14ac:dyDescent="0.2">
      <c r="A10" s="165" t="s">
        <v>496</v>
      </c>
      <c r="B10" s="161"/>
      <c r="C10" s="165" t="s">
        <v>496</v>
      </c>
      <c r="D10" s="161"/>
      <c r="E10" s="165" t="s">
        <v>1147</v>
      </c>
      <c r="F10" s="161"/>
      <c r="G10" s="190" t="s">
        <v>1224</v>
      </c>
      <c r="H10" s="161"/>
      <c r="I10" s="165" t="s">
        <v>1225</v>
      </c>
      <c r="J10" s="161"/>
      <c r="K10" s="165" t="s">
        <v>1226</v>
      </c>
      <c r="L10" s="161"/>
      <c r="M10" s="165" t="s">
        <v>1227</v>
      </c>
      <c r="N10" s="161"/>
      <c r="O10" s="165" t="s">
        <v>525</v>
      </c>
      <c r="P10" s="160"/>
      <c r="Q10" s="189"/>
      <c r="R10" s="84"/>
      <c r="S10" s="84"/>
      <c r="T10" s="84"/>
      <c r="U10" s="84"/>
    </row>
    <row r="11" spans="1:21" ht="12.75" x14ac:dyDescent="0.2">
      <c r="A11" s="167"/>
      <c r="B11" s="160"/>
      <c r="C11" s="160"/>
      <c r="D11" s="160"/>
      <c r="E11" s="160"/>
      <c r="F11" s="160"/>
      <c r="G11" s="164" t="s">
        <v>500</v>
      </c>
      <c r="H11" s="160"/>
      <c r="I11" s="164" t="s">
        <v>500</v>
      </c>
      <c r="J11" s="160"/>
      <c r="K11" s="164" t="s">
        <v>500</v>
      </c>
      <c r="L11" s="160"/>
      <c r="M11" s="164" t="s">
        <v>500</v>
      </c>
      <c r="N11" s="160"/>
      <c r="O11" s="164" t="s">
        <v>500</v>
      </c>
      <c r="P11" s="160"/>
      <c r="Q11" s="189"/>
      <c r="R11" s="84"/>
      <c r="S11" s="84"/>
      <c r="T11" s="84"/>
      <c r="U11" s="84"/>
    </row>
    <row r="12" spans="1:21" ht="12.75" x14ac:dyDescent="0.2">
      <c r="A12" s="164">
        <v>1</v>
      </c>
      <c r="B12" s="160"/>
      <c r="C12" s="169"/>
      <c r="D12" s="160"/>
      <c r="E12" s="170" t="s">
        <v>1149</v>
      </c>
      <c r="F12" s="160"/>
      <c r="G12" s="160"/>
      <c r="H12" s="172"/>
      <c r="I12" s="160"/>
      <c r="J12" s="172"/>
      <c r="K12" s="172"/>
      <c r="L12" s="172"/>
      <c r="M12" s="172"/>
      <c r="N12" s="172"/>
      <c r="O12" s="172"/>
      <c r="P12" s="160"/>
      <c r="Q12" s="189"/>
      <c r="R12" s="84"/>
      <c r="S12" s="84"/>
      <c r="T12" s="84"/>
      <c r="U12" s="84"/>
    </row>
    <row r="13" spans="1:21" ht="12.75" x14ac:dyDescent="0.2">
      <c r="A13" s="164">
        <f t="shared" ref="A13:A18" si="0">A12+1</f>
        <v>2</v>
      </c>
      <c r="B13" s="160"/>
      <c r="C13" s="169">
        <v>301</v>
      </c>
      <c r="D13" s="160"/>
      <c r="E13" s="173" t="s">
        <v>1150</v>
      </c>
      <c r="F13" s="160"/>
      <c r="G13" s="1253">
        <v>521.20000000000005</v>
      </c>
      <c r="H13" s="172"/>
      <c r="I13" s="1253">
        <v>0</v>
      </c>
      <c r="J13" s="172"/>
      <c r="K13" s="1253">
        <v>0</v>
      </c>
      <c r="L13" s="172"/>
      <c r="M13" s="1253">
        <v>0</v>
      </c>
      <c r="N13" s="172"/>
      <c r="O13" s="172">
        <f>SUM(G13:M13)</f>
        <v>521.20000000000005</v>
      </c>
      <c r="P13" s="160"/>
      <c r="Q13" s="189"/>
      <c r="R13" s="84"/>
      <c r="S13" s="84"/>
      <c r="T13" s="84"/>
      <c r="U13" s="84"/>
    </row>
    <row r="14" spans="1:21" ht="12.75" x14ac:dyDescent="0.2">
      <c r="A14" s="164">
        <f t="shared" si="0"/>
        <v>3</v>
      </c>
      <c r="B14" s="160"/>
      <c r="C14" s="169">
        <v>303</v>
      </c>
      <c r="D14" s="160"/>
      <c r="E14" s="173" t="s">
        <v>1151</v>
      </c>
      <c r="F14" s="160"/>
      <c r="G14" s="1253">
        <v>164630.54</v>
      </c>
      <c r="H14" s="172"/>
      <c r="I14" s="1253">
        <v>0</v>
      </c>
      <c r="J14" s="172"/>
      <c r="K14" s="1253">
        <v>0</v>
      </c>
      <c r="L14" s="172"/>
      <c r="M14" s="1253">
        <v>0</v>
      </c>
      <c r="N14" s="172"/>
      <c r="O14" s="172">
        <f>SUM(G14:M14)</f>
        <v>164630.54</v>
      </c>
      <c r="P14" s="160"/>
      <c r="Q14" s="189"/>
      <c r="R14" s="84"/>
      <c r="S14" s="84"/>
      <c r="T14" s="84"/>
      <c r="U14" s="84"/>
    </row>
    <row r="15" spans="1:21" ht="12.75" x14ac:dyDescent="0.2">
      <c r="A15" s="164">
        <f t="shared" si="0"/>
        <v>4</v>
      </c>
      <c r="B15" s="160"/>
      <c r="C15" s="169">
        <v>303.10000000000002</v>
      </c>
      <c r="D15" s="160"/>
      <c r="E15" s="173" t="s">
        <v>1152</v>
      </c>
      <c r="F15" s="160"/>
      <c r="G15" s="1253">
        <v>0</v>
      </c>
      <c r="H15" s="172"/>
      <c r="I15" s="1253">
        <v>0</v>
      </c>
      <c r="J15" s="172"/>
      <c r="K15" s="1253">
        <v>0</v>
      </c>
      <c r="L15" s="172"/>
      <c r="M15" s="1253">
        <v>0</v>
      </c>
      <c r="N15" s="172"/>
      <c r="O15" s="172">
        <f>SUM(G15:M15)</f>
        <v>0</v>
      </c>
      <c r="P15" s="160"/>
      <c r="Q15" s="189"/>
      <c r="R15" s="84"/>
      <c r="S15" s="84"/>
      <c r="T15" s="84"/>
      <c r="U15" s="84"/>
    </row>
    <row r="16" spans="1:21" ht="12.75" x14ac:dyDescent="0.2">
      <c r="A16" s="164">
        <f t="shared" si="0"/>
        <v>5</v>
      </c>
      <c r="B16" s="160"/>
      <c r="C16" s="169">
        <v>303.2</v>
      </c>
      <c r="D16" s="160"/>
      <c r="E16" s="173" t="s">
        <v>1153</v>
      </c>
      <c r="F16" s="160"/>
      <c r="G16" s="1253">
        <v>0</v>
      </c>
      <c r="H16" s="172"/>
      <c r="I16" s="1253">
        <v>0</v>
      </c>
      <c r="J16" s="172"/>
      <c r="K16" s="1253">
        <v>0</v>
      </c>
      <c r="L16" s="172"/>
      <c r="M16" s="1253">
        <v>0</v>
      </c>
      <c r="N16" s="172"/>
      <c r="O16" s="172">
        <f>SUM(G16:M16)</f>
        <v>0</v>
      </c>
      <c r="P16" s="160"/>
      <c r="Q16" s="189"/>
      <c r="R16" s="84"/>
      <c r="S16" s="84"/>
      <c r="T16" s="84"/>
      <c r="U16" s="84"/>
    </row>
    <row r="17" spans="1:21" ht="12.75" x14ac:dyDescent="0.2">
      <c r="A17" s="164">
        <f t="shared" si="0"/>
        <v>6</v>
      </c>
      <c r="B17" s="160"/>
      <c r="C17" s="169">
        <v>303.3</v>
      </c>
      <c r="D17" s="160"/>
      <c r="E17" s="173" t="s">
        <v>1154</v>
      </c>
      <c r="F17" s="160"/>
      <c r="G17" s="1254">
        <v>1145855.26</v>
      </c>
      <c r="H17" s="172"/>
      <c r="I17" s="1255">
        <v>0</v>
      </c>
      <c r="J17" s="172"/>
      <c r="K17" s="1255">
        <v>0</v>
      </c>
      <c r="L17" s="172"/>
      <c r="M17" s="1255">
        <v>139512.69</v>
      </c>
      <c r="N17" s="172"/>
      <c r="O17" s="176">
        <f>SUM(G17:M17)</f>
        <v>1285367.95</v>
      </c>
      <c r="P17" s="160"/>
      <c r="Q17" s="189"/>
      <c r="R17" s="84"/>
      <c r="S17" s="84"/>
      <c r="T17" s="84"/>
      <c r="U17" s="84"/>
    </row>
    <row r="18" spans="1:21" ht="12.75" x14ac:dyDescent="0.2">
      <c r="A18" s="164">
        <f t="shared" si="0"/>
        <v>7</v>
      </c>
      <c r="B18" s="160"/>
      <c r="C18" s="169"/>
      <c r="D18" s="160"/>
      <c r="E18" s="173" t="s">
        <v>1155</v>
      </c>
      <c r="F18" s="160"/>
      <c r="G18" s="172">
        <f>SUM(G13:G17)</f>
        <v>1311007</v>
      </c>
      <c r="H18" s="172"/>
      <c r="I18" s="172">
        <f>SUM(I13:I17)</f>
        <v>0</v>
      </c>
      <c r="J18" s="172"/>
      <c r="K18" s="172">
        <f>SUM(K13:K17)</f>
        <v>0</v>
      </c>
      <c r="L18" s="172"/>
      <c r="M18" s="172">
        <f>SUM(M13:M17)</f>
        <v>139512.69</v>
      </c>
      <c r="N18" s="172"/>
      <c r="O18" s="172">
        <f>SUM(O13:O17)</f>
        <v>1450519.69</v>
      </c>
      <c r="P18" s="160"/>
      <c r="Q18" s="189"/>
      <c r="R18" s="84"/>
      <c r="S18" s="84"/>
      <c r="T18" s="84"/>
      <c r="U18" s="84"/>
    </row>
    <row r="19" spans="1:21" ht="12.75" x14ac:dyDescent="0.2">
      <c r="A19" s="164"/>
      <c r="B19" s="160"/>
      <c r="C19" s="169"/>
      <c r="D19" s="160"/>
      <c r="E19" s="169"/>
      <c r="F19" s="160"/>
      <c r="G19" s="172"/>
      <c r="H19" s="172"/>
      <c r="I19" s="172"/>
      <c r="J19" s="172"/>
      <c r="K19" s="172"/>
      <c r="L19" s="172"/>
      <c r="M19" s="177" t="s">
        <v>549</v>
      </c>
      <c r="N19" s="172"/>
      <c r="O19" s="172"/>
      <c r="P19" s="160"/>
      <c r="Q19" s="189"/>
      <c r="R19" s="84"/>
      <c r="S19" s="84"/>
      <c r="T19" s="84"/>
      <c r="U19" s="84"/>
    </row>
    <row r="20" spans="1:21" ht="12.75" x14ac:dyDescent="0.2">
      <c r="A20" s="164">
        <f>A18+1</f>
        <v>8</v>
      </c>
      <c r="B20" s="160"/>
      <c r="C20" s="169"/>
      <c r="D20" s="160"/>
      <c r="E20" s="170" t="s">
        <v>1156</v>
      </c>
      <c r="F20" s="160"/>
      <c r="G20" s="172"/>
      <c r="H20" s="172"/>
      <c r="I20" s="1256"/>
      <c r="J20" s="172"/>
      <c r="K20" s="172"/>
      <c r="L20" s="172"/>
      <c r="M20" s="177" t="s">
        <v>549</v>
      </c>
      <c r="N20" s="172"/>
      <c r="O20" s="172"/>
      <c r="P20" s="160"/>
      <c r="Q20" s="189"/>
      <c r="R20" s="84"/>
      <c r="S20" s="84"/>
      <c r="T20" s="84"/>
      <c r="U20" s="84"/>
    </row>
    <row r="21" spans="1:21" ht="12.75" x14ac:dyDescent="0.2">
      <c r="A21" s="164">
        <f>A20+1</f>
        <v>9</v>
      </c>
      <c r="B21" s="160"/>
      <c r="C21" s="169">
        <v>304.10000000000002</v>
      </c>
      <c r="D21" s="160"/>
      <c r="E21" s="173" t="s">
        <v>1157</v>
      </c>
      <c r="F21" s="160"/>
      <c r="G21" s="1254">
        <v>7678.39</v>
      </c>
      <c r="H21" s="172"/>
      <c r="I21" s="1254">
        <v>0</v>
      </c>
      <c r="J21" s="172"/>
      <c r="K21" s="1254">
        <v>0</v>
      </c>
      <c r="L21" s="172"/>
      <c r="M21" s="1254">
        <v>0</v>
      </c>
      <c r="N21" s="172"/>
      <c r="O21" s="178">
        <f>SUM(G21:M21)</f>
        <v>7678.39</v>
      </c>
      <c r="P21" s="160"/>
      <c r="Q21" s="189"/>
      <c r="R21" s="84"/>
      <c r="S21" s="84"/>
      <c r="T21" s="84"/>
      <c r="U21" s="84"/>
    </row>
    <row r="22" spans="1:21" ht="12.75" x14ac:dyDescent="0.2">
      <c r="A22" s="164">
        <f>A21+1</f>
        <v>10</v>
      </c>
      <c r="B22" s="160"/>
      <c r="C22" s="169"/>
      <c r="D22" s="160"/>
      <c r="E22" s="173" t="s">
        <v>1158</v>
      </c>
      <c r="F22" s="160"/>
      <c r="G22" s="172">
        <f>SUM(G21)</f>
        <v>7678.39</v>
      </c>
      <c r="H22" s="172"/>
      <c r="I22" s="172">
        <f>SUM(I21)</f>
        <v>0</v>
      </c>
      <c r="J22" s="172"/>
      <c r="K22" s="172">
        <f>SUM(K21)</f>
        <v>0</v>
      </c>
      <c r="L22" s="172"/>
      <c r="M22" s="172">
        <f>SUM(M21)</f>
        <v>0</v>
      </c>
      <c r="N22" s="172"/>
      <c r="O22" s="172">
        <f>SUM(O21)</f>
        <v>7678.39</v>
      </c>
      <c r="P22" s="160"/>
      <c r="Q22" s="189"/>
      <c r="R22" s="84"/>
      <c r="S22" s="84"/>
      <c r="T22" s="84"/>
      <c r="U22" s="84"/>
    </row>
    <row r="23" spans="1:21" ht="12.75" x14ac:dyDescent="0.2">
      <c r="A23" s="164"/>
      <c r="B23" s="160"/>
      <c r="C23" s="169"/>
      <c r="D23" s="160"/>
      <c r="E23" s="169"/>
      <c r="F23" s="160"/>
      <c r="G23" s="172"/>
      <c r="H23" s="172"/>
      <c r="I23" s="172"/>
      <c r="J23" s="172"/>
      <c r="K23" s="172"/>
      <c r="L23" s="172"/>
      <c r="M23" s="177" t="s">
        <v>549</v>
      </c>
      <c r="N23" s="172"/>
      <c r="O23" s="172"/>
      <c r="P23" s="160"/>
      <c r="Q23" s="189"/>
      <c r="R23" s="84"/>
      <c r="S23" s="84"/>
      <c r="T23" s="84"/>
      <c r="U23" s="84"/>
    </row>
    <row r="24" spans="1:21" ht="12.75" x14ac:dyDescent="0.2">
      <c r="A24" s="164">
        <f>A22:B22+1</f>
        <v>11</v>
      </c>
      <c r="B24" s="160"/>
      <c r="C24" s="169"/>
      <c r="D24" s="160"/>
      <c r="E24" s="170" t="s">
        <v>1159</v>
      </c>
      <c r="F24" s="160"/>
      <c r="G24" s="172"/>
      <c r="H24" s="172"/>
      <c r="I24" s="172"/>
      <c r="J24" s="172"/>
      <c r="K24" s="172"/>
      <c r="L24" s="172"/>
      <c r="M24" s="177" t="s">
        <v>549</v>
      </c>
      <c r="N24" s="172"/>
      <c r="O24" s="172"/>
      <c r="P24" s="160"/>
      <c r="Q24" s="189"/>
      <c r="R24" s="84"/>
      <c r="S24" s="84"/>
      <c r="T24" s="84"/>
      <c r="U24" s="84"/>
    </row>
    <row r="25" spans="1:21" ht="12.75" x14ac:dyDescent="0.2">
      <c r="A25" s="164">
        <f t="shared" ref="A25:A41" si="1">A24+1</f>
        <v>12</v>
      </c>
      <c r="B25" s="160"/>
      <c r="C25" s="169">
        <v>374.1</v>
      </c>
      <c r="D25" s="160"/>
      <c r="E25" s="173" t="s">
        <v>1160</v>
      </c>
      <c r="F25" s="160"/>
      <c r="G25" s="1253">
        <v>206</v>
      </c>
      <c r="H25" s="172"/>
      <c r="I25" s="1253">
        <v>0</v>
      </c>
      <c r="J25" s="172"/>
      <c r="K25" s="1253">
        <v>0</v>
      </c>
      <c r="L25" s="172"/>
      <c r="M25" s="1253">
        <v>0</v>
      </c>
      <c r="N25" s="172"/>
      <c r="O25" s="172">
        <f t="shared" ref="O25:O41" si="2">SUM(G25:M25)</f>
        <v>206</v>
      </c>
      <c r="P25" s="160"/>
      <c r="Q25" s="189"/>
      <c r="R25" s="84"/>
      <c r="S25" s="84"/>
      <c r="T25" s="84"/>
      <c r="U25" s="84"/>
    </row>
    <row r="26" spans="1:21" ht="12.75" x14ac:dyDescent="0.2">
      <c r="A26" s="164">
        <f t="shared" si="1"/>
        <v>13</v>
      </c>
      <c r="B26" s="160"/>
      <c r="C26" s="169">
        <v>374.2</v>
      </c>
      <c r="D26" s="160"/>
      <c r="E26" s="173" t="s">
        <v>1161</v>
      </c>
      <c r="F26" s="160"/>
      <c r="G26" s="1253">
        <v>873471.06</v>
      </c>
      <c r="H26" s="172"/>
      <c r="I26" s="1253">
        <v>0</v>
      </c>
      <c r="J26" s="172"/>
      <c r="K26" s="1253">
        <v>0</v>
      </c>
      <c r="L26" s="172"/>
      <c r="M26" s="1253">
        <v>0</v>
      </c>
      <c r="N26" s="172"/>
      <c r="O26" s="172">
        <f t="shared" si="2"/>
        <v>873471.06</v>
      </c>
      <c r="P26" s="160"/>
      <c r="Q26" s="189"/>
      <c r="R26" s="84"/>
      <c r="S26" s="84"/>
      <c r="T26" s="84"/>
      <c r="U26" s="84"/>
    </row>
    <row r="27" spans="1:21" ht="12.75" x14ac:dyDescent="0.2">
      <c r="A27" s="164">
        <f t="shared" si="1"/>
        <v>14</v>
      </c>
      <c r="B27" s="160"/>
      <c r="C27" s="169">
        <v>374.4</v>
      </c>
      <c r="D27" s="160"/>
      <c r="E27" s="173" t="s">
        <v>1162</v>
      </c>
      <c r="F27" s="160"/>
      <c r="G27" s="1253">
        <v>481554.62</v>
      </c>
      <c r="H27" s="172"/>
      <c r="I27" s="1253">
        <v>0</v>
      </c>
      <c r="J27" s="172"/>
      <c r="K27" s="1253">
        <v>0</v>
      </c>
      <c r="L27" s="172"/>
      <c r="M27" s="1253">
        <v>73529.98</v>
      </c>
      <c r="N27" s="172"/>
      <c r="O27" s="172">
        <f t="shared" si="2"/>
        <v>555084.6</v>
      </c>
      <c r="P27" s="160"/>
      <c r="Q27" s="189"/>
      <c r="R27" s="84"/>
      <c r="S27" s="84"/>
      <c r="T27" s="84"/>
      <c r="U27" s="84"/>
    </row>
    <row r="28" spans="1:21" ht="12.75" x14ac:dyDescent="0.2">
      <c r="A28" s="164">
        <f t="shared" si="1"/>
        <v>15</v>
      </c>
      <c r="B28" s="160"/>
      <c r="C28" s="169">
        <v>374.5</v>
      </c>
      <c r="D28" s="160"/>
      <c r="E28" s="173" t="s">
        <v>1163</v>
      </c>
      <c r="F28" s="160"/>
      <c r="G28" s="1253">
        <v>2673209.7200000002</v>
      </c>
      <c r="H28" s="172"/>
      <c r="I28" s="1253">
        <v>-6250</v>
      </c>
      <c r="J28" s="172"/>
      <c r="K28" s="1253">
        <v>0</v>
      </c>
      <c r="L28" s="172"/>
      <c r="M28" s="1253">
        <v>1389.2</v>
      </c>
      <c r="N28" s="172"/>
      <c r="O28" s="172">
        <f t="shared" si="2"/>
        <v>2668348.9200000004</v>
      </c>
      <c r="P28" s="160"/>
      <c r="Q28" s="189"/>
      <c r="R28" s="84"/>
      <c r="S28" s="84"/>
      <c r="T28" s="84"/>
      <c r="U28" s="84"/>
    </row>
    <row r="29" spans="1:21" ht="12.75" x14ac:dyDescent="0.2">
      <c r="A29" s="164">
        <f t="shared" si="1"/>
        <v>16</v>
      </c>
      <c r="B29" s="160"/>
      <c r="C29" s="169">
        <v>375.2</v>
      </c>
      <c r="D29" s="160"/>
      <c r="E29" s="173" t="s">
        <v>1164</v>
      </c>
      <c r="F29" s="160"/>
      <c r="G29" s="1253">
        <v>5249.05</v>
      </c>
      <c r="H29" s="172"/>
      <c r="I29" s="1253">
        <v>0</v>
      </c>
      <c r="J29" s="172"/>
      <c r="K29" s="1253">
        <v>0</v>
      </c>
      <c r="L29" s="172"/>
      <c r="M29" s="1253">
        <v>0</v>
      </c>
      <c r="N29" s="172"/>
      <c r="O29" s="172">
        <f t="shared" si="2"/>
        <v>5249.05</v>
      </c>
      <c r="P29" s="160"/>
      <c r="Q29" s="189"/>
      <c r="R29" s="84"/>
      <c r="S29" s="84"/>
      <c r="T29" s="84"/>
      <c r="U29" s="84"/>
    </row>
    <row r="30" spans="1:21" ht="12.75" x14ac:dyDescent="0.2">
      <c r="A30" s="164">
        <f t="shared" si="1"/>
        <v>17</v>
      </c>
      <c r="B30" s="160"/>
      <c r="C30" s="169">
        <v>375.3</v>
      </c>
      <c r="D30" s="160"/>
      <c r="E30" s="173" t="s">
        <v>1165</v>
      </c>
      <c r="F30" s="160"/>
      <c r="G30" s="1253">
        <v>10848.26</v>
      </c>
      <c r="H30" s="172"/>
      <c r="I30" s="1253">
        <v>0</v>
      </c>
      <c r="J30" s="172"/>
      <c r="K30" s="1253">
        <v>0</v>
      </c>
      <c r="L30" s="172"/>
      <c r="M30" s="1253">
        <v>0</v>
      </c>
      <c r="N30" s="172"/>
      <c r="O30" s="172">
        <f t="shared" si="2"/>
        <v>10848.26</v>
      </c>
      <c r="P30" s="160"/>
      <c r="Q30" s="189"/>
      <c r="R30" s="84"/>
      <c r="S30" s="84"/>
      <c r="T30" s="84"/>
      <c r="U30" s="84"/>
    </row>
    <row r="31" spans="1:21" ht="12.75" x14ac:dyDescent="0.2">
      <c r="A31" s="164">
        <f t="shared" si="1"/>
        <v>18</v>
      </c>
      <c r="B31" s="160"/>
      <c r="C31" s="169">
        <v>375.4</v>
      </c>
      <c r="D31" s="160"/>
      <c r="E31" s="173" t="s">
        <v>1166</v>
      </c>
      <c r="F31" s="160"/>
      <c r="G31" s="1253">
        <v>598826.32999999996</v>
      </c>
      <c r="H31" s="172"/>
      <c r="I31" s="1253">
        <v>-1900</v>
      </c>
      <c r="J31" s="172"/>
      <c r="K31" s="1253">
        <v>0</v>
      </c>
      <c r="L31" s="172"/>
      <c r="M31" s="1253">
        <v>31421.040000000001</v>
      </c>
      <c r="N31" s="172"/>
      <c r="O31" s="172">
        <f t="shared" si="2"/>
        <v>628347.37</v>
      </c>
      <c r="P31" s="160"/>
      <c r="Q31" s="189"/>
      <c r="R31" s="84"/>
      <c r="S31" s="84"/>
      <c r="T31" s="84"/>
      <c r="U31" s="84"/>
    </row>
    <row r="32" spans="1:21" ht="12.75" x14ac:dyDescent="0.2">
      <c r="A32" s="164">
        <f t="shared" si="1"/>
        <v>19</v>
      </c>
      <c r="B32" s="160"/>
      <c r="C32" s="169">
        <v>375.6</v>
      </c>
      <c r="D32" s="160"/>
      <c r="E32" s="173" t="s">
        <v>1167</v>
      </c>
      <c r="F32" s="160"/>
      <c r="G32" s="1253">
        <v>88210.2</v>
      </c>
      <c r="H32" s="172"/>
      <c r="I32" s="1253">
        <v>0</v>
      </c>
      <c r="J32" s="172"/>
      <c r="K32" s="1253">
        <v>0</v>
      </c>
      <c r="L32" s="172"/>
      <c r="M32" s="1253">
        <v>0</v>
      </c>
      <c r="N32" s="172"/>
      <c r="O32" s="172">
        <f t="shared" si="2"/>
        <v>88210.2</v>
      </c>
      <c r="P32" s="160"/>
      <c r="Q32" s="189"/>
      <c r="R32" s="84"/>
      <c r="S32" s="84"/>
      <c r="T32" s="84"/>
      <c r="U32" s="84"/>
    </row>
    <row r="33" spans="1:21" ht="12.75" x14ac:dyDescent="0.2">
      <c r="A33" s="164">
        <f t="shared" si="1"/>
        <v>20</v>
      </c>
      <c r="B33" s="160"/>
      <c r="C33" s="169">
        <v>375.7</v>
      </c>
      <c r="D33" s="160"/>
      <c r="E33" s="173" t="s">
        <v>1168</v>
      </c>
      <c r="F33" s="160"/>
      <c r="G33" s="1253">
        <v>7201706.5800000001</v>
      </c>
      <c r="H33" s="172"/>
      <c r="I33" s="1253">
        <v>-20000</v>
      </c>
      <c r="J33" s="172"/>
      <c r="K33" s="1253">
        <v>0</v>
      </c>
      <c r="L33" s="172"/>
      <c r="M33" s="1253">
        <v>-2323.06</v>
      </c>
      <c r="N33" s="172"/>
      <c r="O33" s="172">
        <f t="shared" si="2"/>
        <v>7179383.5200000005</v>
      </c>
      <c r="P33" s="160"/>
      <c r="Q33" s="189"/>
      <c r="R33" s="84"/>
      <c r="S33" s="84"/>
      <c r="T33" s="84"/>
      <c r="U33" s="84"/>
    </row>
    <row r="34" spans="1:21" ht="12.75" x14ac:dyDescent="0.2">
      <c r="A34" s="164">
        <f t="shared" si="1"/>
        <v>21</v>
      </c>
      <c r="B34" s="160"/>
      <c r="C34" s="169">
        <v>375.71</v>
      </c>
      <c r="D34" s="160"/>
      <c r="E34" s="173" t="s">
        <v>1169</v>
      </c>
      <c r="F34" s="160"/>
      <c r="G34" s="1253">
        <v>0</v>
      </c>
      <c r="H34" s="172"/>
      <c r="I34" s="1253">
        <v>0</v>
      </c>
      <c r="J34" s="172"/>
      <c r="K34" s="1253">
        <v>0</v>
      </c>
      <c r="L34" s="172"/>
      <c r="M34" s="1253">
        <v>0</v>
      </c>
      <c r="N34" s="172"/>
      <c r="O34" s="172">
        <f t="shared" si="2"/>
        <v>0</v>
      </c>
      <c r="P34" s="160"/>
      <c r="Q34" s="189"/>
      <c r="R34" s="84"/>
      <c r="S34" s="84"/>
      <c r="T34" s="84"/>
      <c r="U34" s="84"/>
    </row>
    <row r="35" spans="1:21" ht="12.75" x14ac:dyDescent="0.2">
      <c r="A35" s="164">
        <f t="shared" si="1"/>
        <v>22</v>
      </c>
      <c r="B35" s="160"/>
      <c r="C35" s="169">
        <v>375.8</v>
      </c>
      <c r="D35" s="160"/>
      <c r="E35" s="173" t="s">
        <v>1170</v>
      </c>
      <c r="F35" s="160"/>
      <c r="G35" s="1253">
        <v>33260.58</v>
      </c>
      <c r="H35" s="172"/>
      <c r="I35" s="1253">
        <v>0</v>
      </c>
      <c r="J35" s="172"/>
      <c r="K35" s="1253">
        <v>0</v>
      </c>
      <c r="L35" s="172"/>
      <c r="M35" s="1253">
        <v>0</v>
      </c>
      <c r="N35" s="172"/>
      <c r="O35" s="172">
        <f t="shared" si="2"/>
        <v>33260.58</v>
      </c>
      <c r="P35" s="160"/>
      <c r="Q35" s="189"/>
      <c r="R35" s="84"/>
      <c r="S35" s="84"/>
      <c r="T35" s="84"/>
      <c r="U35" s="84"/>
    </row>
    <row r="36" spans="1:21" ht="12.75" x14ac:dyDescent="0.2">
      <c r="A36" s="164">
        <f t="shared" si="1"/>
        <v>23</v>
      </c>
      <c r="B36" s="160"/>
      <c r="C36" s="169">
        <v>376</v>
      </c>
      <c r="D36" s="160"/>
      <c r="E36" s="173" t="s">
        <v>1171</v>
      </c>
      <c r="F36" s="160"/>
      <c r="G36" s="1253">
        <v>142687662.46000001</v>
      </c>
      <c r="H36" s="172"/>
      <c r="I36" s="1253">
        <v>-9554157.5899999999</v>
      </c>
      <c r="J36" s="172"/>
      <c r="K36" s="1253">
        <v>-1449153.22</v>
      </c>
      <c r="L36" s="172"/>
      <c r="M36" s="1253">
        <v>4905275.72</v>
      </c>
      <c r="N36" s="172"/>
      <c r="O36" s="172">
        <f t="shared" si="2"/>
        <v>136589627.37</v>
      </c>
      <c r="P36" s="160"/>
      <c r="Q36" s="189"/>
      <c r="R36" s="84"/>
      <c r="S36" s="84"/>
      <c r="T36" s="84"/>
      <c r="U36" s="84"/>
    </row>
    <row r="37" spans="1:21" ht="12.75" x14ac:dyDescent="0.2">
      <c r="A37" s="164">
        <f t="shared" si="1"/>
        <v>24</v>
      </c>
      <c r="B37" s="160"/>
      <c r="C37" s="169">
        <v>378.1</v>
      </c>
      <c r="D37" s="160"/>
      <c r="E37" s="173" t="s">
        <v>1174</v>
      </c>
      <c r="F37" s="160"/>
      <c r="G37" s="1253">
        <v>250592.67</v>
      </c>
      <c r="H37" s="172"/>
      <c r="I37" s="1253">
        <v>-69.569999999999993</v>
      </c>
      <c r="J37" s="172"/>
      <c r="K37" s="1253">
        <v>0</v>
      </c>
      <c r="L37" s="172"/>
      <c r="M37" s="1253">
        <v>0</v>
      </c>
      <c r="N37" s="172"/>
      <c r="O37" s="172">
        <f t="shared" si="2"/>
        <v>250523.1</v>
      </c>
      <c r="P37" s="160"/>
      <c r="Q37" s="189"/>
      <c r="R37" s="84"/>
      <c r="S37" s="84"/>
      <c r="T37" s="84"/>
      <c r="U37" s="84"/>
    </row>
    <row r="38" spans="1:21" ht="12.75" x14ac:dyDescent="0.2">
      <c r="A38" s="164">
        <f t="shared" si="1"/>
        <v>25</v>
      </c>
      <c r="B38" s="160"/>
      <c r="C38" s="169">
        <v>378.2</v>
      </c>
      <c r="D38" s="160"/>
      <c r="E38" s="173" t="s">
        <v>1178</v>
      </c>
      <c r="F38" s="160"/>
      <c r="G38" s="1253">
        <v>4410490.01</v>
      </c>
      <c r="H38" s="172"/>
      <c r="I38" s="1253">
        <v>0</v>
      </c>
      <c r="J38" s="172"/>
      <c r="K38" s="1253">
        <v>0</v>
      </c>
      <c r="L38" s="172"/>
      <c r="M38" s="1253">
        <v>131844.06</v>
      </c>
      <c r="N38" s="172"/>
      <c r="O38" s="172">
        <f t="shared" si="2"/>
        <v>4542334.0699999994</v>
      </c>
      <c r="P38" s="160"/>
      <c r="Q38" s="189"/>
      <c r="R38" s="84"/>
      <c r="S38" s="84"/>
      <c r="T38" s="84"/>
      <c r="U38" s="84"/>
    </row>
    <row r="39" spans="1:21" ht="12.75" x14ac:dyDescent="0.2">
      <c r="A39" s="164">
        <f t="shared" si="1"/>
        <v>26</v>
      </c>
      <c r="B39" s="160"/>
      <c r="C39" s="169">
        <v>378.3</v>
      </c>
      <c r="D39" s="160"/>
      <c r="E39" s="173" t="s">
        <v>1179</v>
      </c>
      <c r="F39" s="160"/>
      <c r="G39" s="1253">
        <v>54746.64</v>
      </c>
      <c r="H39" s="172"/>
      <c r="I39" s="1253">
        <v>-9303.56</v>
      </c>
      <c r="J39" s="172"/>
      <c r="K39" s="1253">
        <v>0</v>
      </c>
      <c r="L39" s="172"/>
      <c r="M39" s="1253">
        <v>0</v>
      </c>
      <c r="N39" s="172"/>
      <c r="O39" s="172">
        <f t="shared" si="2"/>
        <v>45443.08</v>
      </c>
      <c r="P39" s="160"/>
      <c r="Q39" s="189"/>
      <c r="R39" s="84"/>
      <c r="S39" s="84"/>
      <c r="T39" s="84"/>
      <c r="U39" s="84"/>
    </row>
    <row r="40" spans="1:21" ht="12.75" x14ac:dyDescent="0.2">
      <c r="A40" s="164">
        <f t="shared" si="1"/>
        <v>27</v>
      </c>
      <c r="B40" s="160"/>
      <c r="C40" s="169">
        <v>379.1</v>
      </c>
      <c r="D40" s="160"/>
      <c r="E40" s="173" t="s">
        <v>1180</v>
      </c>
      <c r="F40" s="160"/>
      <c r="G40" s="1253">
        <v>257908.74</v>
      </c>
      <c r="H40" s="172"/>
      <c r="I40" s="1253">
        <v>0</v>
      </c>
      <c r="J40" s="172"/>
      <c r="K40" s="1253">
        <v>0</v>
      </c>
      <c r="L40" s="172"/>
      <c r="M40" s="1253">
        <v>0</v>
      </c>
      <c r="N40" s="172"/>
      <c r="O40" s="172">
        <f t="shared" si="2"/>
        <v>257908.74</v>
      </c>
      <c r="P40" s="160"/>
      <c r="Q40" s="189"/>
      <c r="R40" s="84"/>
      <c r="S40" s="84"/>
      <c r="T40" s="84"/>
      <c r="U40" s="84"/>
    </row>
    <row r="41" spans="1:21" ht="12.75" x14ac:dyDescent="0.2">
      <c r="A41" s="164">
        <f t="shared" si="1"/>
        <v>28</v>
      </c>
      <c r="B41" s="160"/>
      <c r="C41" s="169">
        <v>380</v>
      </c>
      <c r="D41" s="160"/>
      <c r="E41" s="173" t="s">
        <v>1181</v>
      </c>
      <c r="F41" s="160"/>
      <c r="G41" s="1253">
        <v>80512053.290000007</v>
      </c>
      <c r="H41" s="172"/>
      <c r="I41" s="1253">
        <v>-144040.37</v>
      </c>
      <c r="J41" s="172"/>
      <c r="K41" s="1253">
        <v>0</v>
      </c>
      <c r="L41" s="172"/>
      <c r="M41" s="1253">
        <v>-4192.9399999999996</v>
      </c>
      <c r="N41" s="172"/>
      <c r="O41" s="172">
        <f t="shared" si="2"/>
        <v>80363819.980000004</v>
      </c>
      <c r="P41" s="160"/>
      <c r="Q41" s="189"/>
      <c r="R41" s="84"/>
      <c r="S41" s="84"/>
      <c r="T41" s="84"/>
      <c r="U41" s="84"/>
    </row>
    <row r="42" spans="1:21" ht="12.75" x14ac:dyDescent="0.2">
      <c r="A42" s="167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89"/>
      <c r="R42" s="84"/>
      <c r="S42" s="84"/>
      <c r="T42" s="84"/>
      <c r="U42" s="84"/>
    </row>
    <row r="43" spans="1:21" ht="12.75" x14ac:dyDescent="0.2">
      <c r="A43" s="1393" t="s">
        <v>477</v>
      </c>
      <c r="B43" s="1393"/>
      <c r="C43" s="1393"/>
      <c r="D43" s="1393"/>
      <c r="E43" s="1393"/>
      <c r="F43" s="1393"/>
      <c r="G43" s="1393"/>
      <c r="H43" s="1393"/>
      <c r="I43" s="1393"/>
      <c r="J43" s="1393"/>
      <c r="K43" s="1393"/>
      <c r="L43" s="1393"/>
      <c r="M43" s="1393"/>
      <c r="N43" s="1393"/>
      <c r="O43" s="1393"/>
      <c r="P43" s="160"/>
      <c r="Q43" s="189"/>
      <c r="R43" s="84"/>
      <c r="S43" s="84"/>
      <c r="T43" s="84"/>
      <c r="U43" s="84"/>
    </row>
    <row r="44" spans="1:21" ht="12.75" x14ac:dyDescent="0.2">
      <c r="A44" s="1392" t="str">
        <f>Input!C4</f>
        <v>CASE NO. 2017-xxxxx</v>
      </c>
      <c r="B44" s="1392"/>
      <c r="C44" s="1392"/>
      <c r="D44" s="1392"/>
      <c r="E44" s="1392"/>
      <c r="F44" s="1392"/>
      <c r="G44" s="1392"/>
      <c r="H44" s="1392"/>
      <c r="I44" s="1392"/>
      <c r="J44" s="1392"/>
      <c r="K44" s="1392"/>
      <c r="L44" s="1392"/>
      <c r="M44" s="1392"/>
      <c r="N44" s="1392"/>
      <c r="O44" s="1392"/>
      <c r="P44" s="160"/>
      <c r="Q44" s="189"/>
      <c r="R44" s="84"/>
      <c r="S44" s="84"/>
      <c r="T44" s="84"/>
      <c r="U44" s="84"/>
    </row>
    <row r="45" spans="1:21" ht="12.75" x14ac:dyDescent="0.2">
      <c r="A45" s="1393" t="s">
        <v>994</v>
      </c>
      <c r="B45" s="1393"/>
      <c r="C45" s="1393"/>
      <c r="D45" s="1393"/>
      <c r="E45" s="1393"/>
      <c r="F45" s="1393"/>
      <c r="G45" s="1393"/>
      <c r="H45" s="1393"/>
      <c r="I45" s="1393"/>
      <c r="J45" s="1393"/>
      <c r="K45" s="1393"/>
      <c r="L45" s="1393"/>
      <c r="M45" s="1393"/>
      <c r="N45" s="1393"/>
      <c r="O45" s="1393"/>
      <c r="P45" s="160"/>
      <c r="Q45" s="189"/>
      <c r="R45" s="84"/>
      <c r="S45" s="84"/>
      <c r="T45" s="84"/>
      <c r="U45" s="84"/>
    </row>
    <row r="46" spans="1:21" ht="12.75" x14ac:dyDescent="0.2">
      <c r="A46" s="1393" t="s">
        <v>995</v>
      </c>
      <c r="B46" s="1393"/>
      <c r="C46" s="1393"/>
      <c r="D46" s="1393"/>
      <c r="E46" s="1393"/>
      <c r="F46" s="1393"/>
      <c r="G46" s="1393"/>
      <c r="H46" s="1393"/>
      <c r="I46" s="1393"/>
      <c r="J46" s="1393"/>
      <c r="K46" s="1393"/>
      <c r="L46" s="1393"/>
      <c r="M46" s="1393"/>
      <c r="N46" s="1393"/>
      <c r="O46" s="1393"/>
      <c r="P46" s="160"/>
      <c r="Q46" s="189"/>
      <c r="R46" s="84"/>
      <c r="S46" s="84"/>
      <c r="T46" s="84"/>
      <c r="U46" s="84"/>
    </row>
    <row r="47" spans="1:21" ht="12.75" x14ac:dyDescent="0.2">
      <c r="A47" s="1392" t="str">
        <f>Input!C7</f>
        <v>AS OF DECEMBER 31, 2017</v>
      </c>
      <c r="B47" s="1392"/>
      <c r="C47" s="1392"/>
      <c r="D47" s="1392"/>
      <c r="E47" s="1392"/>
      <c r="F47" s="1392"/>
      <c r="G47" s="1392"/>
      <c r="H47" s="1392"/>
      <c r="I47" s="1392"/>
      <c r="J47" s="1392"/>
      <c r="K47" s="1392"/>
      <c r="L47" s="1392"/>
      <c r="M47" s="1392"/>
      <c r="N47" s="1392"/>
      <c r="O47" s="1392"/>
      <c r="P47" s="160"/>
      <c r="Q47" s="189"/>
      <c r="R47" s="84"/>
      <c r="S47" s="84"/>
      <c r="T47" s="84"/>
      <c r="U47" s="84"/>
    </row>
    <row r="48" spans="1:21" ht="12.75" x14ac:dyDescent="0.2">
      <c r="A48" s="147" t="s">
        <v>839</v>
      </c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N48" s="160"/>
      <c r="O48" s="139" t="s">
        <v>1223</v>
      </c>
      <c r="P48" s="160"/>
      <c r="Q48" s="189"/>
      <c r="R48" s="84"/>
      <c r="S48" s="84"/>
      <c r="T48" s="84"/>
      <c r="U48" s="84"/>
    </row>
    <row r="49" spans="1:21" ht="12.75" x14ac:dyDescent="0.2">
      <c r="A49" s="147" t="s">
        <v>490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N49" s="160"/>
      <c r="O49" s="139" t="s">
        <v>1182</v>
      </c>
      <c r="P49" s="160"/>
      <c r="Q49" s="189"/>
      <c r="R49" s="84"/>
      <c r="S49" s="84"/>
      <c r="T49" s="84"/>
      <c r="U49" s="84"/>
    </row>
    <row r="50" spans="1:21" ht="12.75" x14ac:dyDescent="0.2">
      <c r="A50" s="146" t="s">
        <v>840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N50" s="161"/>
      <c r="O50" s="144" t="str">
        <f>Input!E27</f>
        <v>WITNESS:  C. Y. LAI</v>
      </c>
      <c r="P50" s="160"/>
      <c r="Q50" s="189"/>
      <c r="R50" s="84"/>
      <c r="S50" s="84"/>
      <c r="T50" s="84"/>
      <c r="U50" s="84"/>
    </row>
    <row r="51" spans="1:21" ht="12.75" x14ac:dyDescent="0.2">
      <c r="A51" s="164" t="s">
        <v>493</v>
      </c>
      <c r="B51" s="160"/>
      <c r="C51" s="164" t="s">
        <v>1143</v>
      </c>
      <c r="D51" s="160"/>
      <c r="E51" s="164" t="s">
        <v>1144</v>
      </c>
      <c r="F51" s="160"/>
      <c r="G51" s="1394" t="s">
        <v>523</v>
      </c>
      <c r="H51" s="1394"/>
      <c r="I51" s="1394"/>
      <c r="J51" s="1394"/>
      <c r="K51" s="1394"/>
      <c r="L51" s="1394"/>
      <c r="M51" s="1394"/>
      <c r="N51" s="1394"/>
      <c r="O51" s="1394"/>
      <c r="P51" s="160"/>
      <c r="Q51" s="189"/>
      <c r="R51" s="84"/>
      <c r="S51" s="84"/>
      <c r="T51" s="84"/>
      <c r="U51" s="84"/>
    </row>
    <row r="52" spans="1:21" ht="12.75" x14ac:dyDescent="0.2">
      <c r="A52" s="165" t="s">
        <v>496</v>
      </c>
      <c r="B52" s="161"/>
      <c r="C52" s="165" t="s">
        <v>496</v>
      </c>
      <c r="D52" s="161"/>
      <c r="E52" s="165" t="s">
        <v>1147</v>
      </c>
      <c r="F52" s="161"/>
      <c r="G52" s="190" t="s">
        <v>1224</v>
      </c>
      <c r="H52" s="161"/>
      <c r="I52" s="165" t="s">
        <v>1225</v>
      </c>
      <c r="J52" s="161"/>
      <c r="K52" s="165" t="s">
        <v>1226</v>
      </c>
      <c r="L52" s="161"/>
      <c r="M52" s="165" t="s">
        <v>1227</v>
      </c>
      <c r="N52" s="161"/>
      <c r="O52" s="165" t="s">
        <v>525</v>
      </c>
      <c r="P52" s="160"/>
      <c r="Q52" s="189"/>
      <c r="R52" s="84"/>
      <c r="S52" s="84"/>
      <c r="T52" s="84"/>
      <c r="U52" s="84"/>
    </row>
    <row r="53" spans="1:21" ht="12.75" x14ac:dyDescent="0.2">
      <c r="A53" s="167"/>
      <c r="B53" s="160"/>
      <c r="C53" s="160"/>
      <c r="D53" s="160"/>
      <c r="E53" s="160"/>
      <c r="F53" s="160"/>
      <c r="G53" s="164" t="s">
        <v>500</v>
      </c>
      <c r="H53" s="160"/>
      <c r="I53" s="164" t="s">
        <v>500</v>
      </c>
      <c r="J53" s="160"/>
      <c r="K53" s="164" t="s">
        <v>500</v>
      </c>
      <c r="L53" s="160"/>
      <c r="M53" s="164" t="s">
        <v>500</v>
      </c>
      <c r="N53" s="160"/>
      <c r="O53" s="164" t="s">
        <v>500</v>
      </c>
      <c r="P53" s="160"/>
      <c r="Q53" s="189"/>
      <c r="R53" s="84"/>
      <c r="S53" s="84"/>
      <c r="T53" s="84"/>
      <c r="U53" s="84"/>
    </row>
    <row r="54" spans="1:21" ht="12.75" x14ac:dyDescent="0.2">
      <c r="A54" s="167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89"/>
      <c r="R54" s="84"/>
      <c r="S54" s="84"/>
      <c r="T54" s="84"/>
      <c r="U54" s="84"/>
    </row>
    <row r="55" spans="1:21" ht="12.75" x14ac:dyDescent="0.2">
      <c r="A55" s="164">
        <v>1</v>
      </c>
      <c r="B55" s="185"/>
      <c r="C55" s="169">
        <v>381</v>
      </c>
      <c r="D55" s="160"/>
      <c r="E55" s="173" t="s">
        <v>1183</v>
      </c>
      <c r="F55" s="160"/>
      <c r="G55" s="1253">
        <v>11708035.1</v>
      </c>
      <c r="H55" s="172"/>
      <c r="I55" s="1253">
        <v>0</v>
      </c>
      <c r="J55" s="172"/>
      <c r="K55" s="1253">
        <v>0</v>
      </c>
      <c r="L55" s="172"/>
      <c r="M55" s="1253">
        <v>74858.990000000005</v>
      </c>
      <c r="N55" s="172"/>
      <c r="O55" s="172">
        <f t="shared" ref="O55:O65" si="3">SUM(G55:M55)</f>
        <v>11782894.09</v>
      </c>
      <c r="P55" s="160"/>
      <c r="Q55" s="189"/>
      <c r="R55" s="84"/>
      <c r="S55" s="84"/>
      <c r="T55" s="84"/>
      <c r="U55" s="84"/>
    </row>
    <row r="56" spans="1:21" ht="12.75" x14ac:dyDescent="0.2">
      <c r="A56" s="164">
        <f t="shared" ref="A56:A66" si="4">A55+1</f>
        <v>2</v>
      </c>
      <c r="B56" s="185"/>
      <c r="C56" s="169">
        <v>382</v>
      </c>
      <c r="D56" s="160"/>
      <c r="E56" s="173" t="s">
        <v>1186</v>
      </c>
      <c r="F56" s="160"/>
      <c r="G56" s="1253">
        <v>7819257.5999999996</v>
      </c>
      <c r="H56" s="172"/>
      <c r="I56" s="1253">
        <v>-592.5</v>
      </c>
      <c r="J56" s="172"/>
      <c r="K56" s="1253">
        <v>0</v>
      </c>
      <c r="L56" s="172"/>
      <c r="M56" s="1253">
        <v>0</v>
      </c>
      <c r="N56" s="172"/>
      <c r="O56" s="172">
        <f t="shared" si="3"/>
        <v>7818665.0999999996</v>
      </c>
      <c r="P56" s="160"/>
      <c r="Q56" s="189"/>
      <c r="R56" s="84"/>
      <c r="S56" s="84"/>
      <c r="T56" s="84"/>
      <c r="U56" s="84"/>
    </row>
    <row r="57" spans="1:21" ht="12.75" x14ac:dyDescent="0.2">
      <c r="A57" s="164">
        <f t="shared" si="4"/>
        <v>3</v>
      </c>
      <c r="B57" s="185"/>
      <c r="C57" s="169">
        <v>383</v>
      </c>
      <c r="D57" s="160"/>
      <c r="E57" s="173" t="s">
        <v>1190</v>
      </c>
      <c r="F57" s="160"/>
      <c r="G57" s="1253">
        <v>3658256.22</v>
      </c>
      <c r="H57" s="172"/>
      <c r="I57" s="1253">
        <v>-82943.899999999994</v>
      </c>
      <c r="J57" s="172"/>
      <c r="K57" s="1253">
        <v>0</v>
      </c>
      <c r="L57" s="172"/>
      <c r="M57" s="1253">
        <v>0</v>
      </c>
      <c r="N57" s="172"/>
      <c r="O57" s="172">
        <f t="shared" si="3"/>
        <v>3575312.3200000003</v>
      </c>
      <c r="P57" s="160"/>
      <c r="Q57" s="189"/>
      <c r="R57" s="84"/>
      <c r="S57" s="84"/>
      <c r="T57" s="84"/>
      <c r="U57" s="84"/>
    </row>
    <row r="58" spans="1:21" ht="12.75" x14ac:dyDescent="0.2">
      <c r="A58" s="164">
        <f t="shared" si="4"/>
        <v>4</v>
      </c>
      <c r="B58" s="185"/>
      <c r="C58" s="169">
        <v>384</v>
      </c>
      <c r="D58" s="160"/>
      <c r="E58" s="173" t="s">
        <v>1191</v>
      </c>
      <c r="F58" s="160"/>
      <c r="G58" s="1253">
        <v>2327988.3199999998</v>
      </c>
      <c r="H58" s="172"/>
      <c r="I58" s="1253">
        <v>0</v>
      </c>
      <c r="J58" s="172"/>
      <c r="K58" s="1253">
        <v>0</v>
      </c>
      <c r="L58" s="172"/>
      <c r="M58" s="1253">
        <v>0</v>
      </c>
      <c r="N58" s="172"/>
      <c r="O58" s="172">
        <f t="shared" si="3"/>
        <v>2327988.3199999998</v>
      </c>
      <c r="P58" s="160"/>
      <c r="Q58" s="189"/>
      <c r="R58" s="84"/>
      <c r="S58" s="84"/>
      <c r="T58" s="84"/>
      <c r="U58" s="84"/>
    </row>
    <row r="59" spans="1:21" ht="12.75" x14ac:dyDescent="0.2">
      <c r="A59" s="164">
        <f t="shared" si="4"/>
        <v>5</v>
      </c>
      <c r="B59" s="185"/>
      <c r="C59" s="169">
        <v>385</v>
      </c>
      <c r="D59" s="160"/>
      <c r="E59" s="173" t="s">
        <v>1192</v>
      </c>
      <c r="F59" s="160"/>
      <c r="G59" s="1253">
        <v>2745560.98</v>
      </c>
      <c r="H59" s="172"/>
      <c r="I59" s="1253">
        <v>-70299.570000000007</v>
      </c>
      <c r="J59" s="172"/>
      <c r="K59" s="1253">
        <v>0</v>
      </c>
      <c r="L59" s="172"/>
      <c r="M59" s="1253">
        <v>41935.15</v>
      </c>
      <c r="N59" s="172"/>
      <c r="O59" s="172">
        <f t="shared" si="3"/>
        <v>2717196.56</v>
      </c>
      <c r="P59" s="160"/>
      <c r="Q59" s="189"/>
      <c r="R59" s="84"/>
      <c r="S59" s="84"/>
      <c r="T59" s="84"/>
      <c r="U59" s="84"/>
    </row>
    <row r="60" spans="1:21" ht="12.75" x14ac:dyDescent="0.2">
      <c r="A60" s="164">
        <f t="shared" si="4"/>
        <v>6</v>
      </c>
      <c r="B60" s="185"/>
      <c r="C60" s="169">
        <v>387.2</v>
      </c>
      <c r="D60" s="160"/>
      <c r="E60" s="173" t="s">
        <v>1193</v>
      </c>
      <c r="F60" s="160"/>
      <c r="G60" s="1253">
        <v>28895</v>
      </c>
      <c r="H60" s="172"/>
      <c r="I60" s="1253">
        <v>0</v>
      </c>
      <c r="J60" s="172"/>
      <c r="K60" s="1253">
        <v>0</v>
      </c>
      <c r="L60" s="172"/>
      <c r="M60" s="1253">
        <v>0</v>
      </c>
      <c r="N60" s="172"/>
      <c r="O60" s="172">
        <f t="shared" si="3"/>
        <v>28895</v>
      </c>
      <c r="P60" s="160"/>
      <c r="Q60" s="189"/>
      <c r="R60" s="84"/>
      <c r="S60" s="84"/>
      <c r="T60" s="84"/>
      <c r="U60" s="84"/>
    </row>
    <row r="61" spans="1:21" ht="12.75" x14ac:dyDescent="0.2">
      <c r="A61" s="164">
        <f t="shared" si="4"/>
        <v>7</v>
      </c>
      <c r="B61" s="185"/>
      <c r="C61" s="169">
        <v>387.41</v>
      </c>
      <c r="D61" s="160"/>
      <c r="E61" s="173" t="s">
        <v>1194</v>
      </c>
      <c r="F61" s="160"/>
      <c r="G61" s="1253">
        <v>711152.01</v>
      </c>
      <c r="H61" s="172"/>
      <c r="I61" s="1253">
        <v>0</v>
      </c>
      <c r="J61" s="172"/>
      <c r="K61" s="1253">
        <v>0</v>
      </c>
      <c r="L61" s="172"/>
      <c r="M61" s="1253">
        <v>0</v>
      </c>
      <c r="N61" s="172"/>
      <c r="O61" s="172">
        <f t="shared" si="3"/>
        <v>711152.01</v>
      </c>
      <c r="P61" s="160"/>
      <c r="Q61" s="189"/>
      <c r="R61" s="84"/>
      <c r="S61" s="84"/>
      <c r="T61" s="84"/>
      <c r="U61" s="84"/>
    </row>
    <row r="62" spans="1:21" ht="12.75" x14ac:dyDescent="0.2">
      <c r="A62" s="164">
        <f t="shared" si="4"/>
        <v>8</v>
      </c>
      <c r="B62" s="185"/>
      <c r="C62" s="169">
        <v>387.42</v>
      </c>
      <c r="D62" s="160"/>
      <c r="E62" s="173" t="s">
        <v>1195</v>
      </c>
      <c r="F62" s="160"/>
      <c r="G62" s="1253">
        <v>872759.08</v>
      </c>
      <c r="H62" s="172"/>
      <c r="I62" s="1253">
        <v>0</v>
      </c>
      <c r="J62" s="172"/>
      <c r="K62" s="1253">
        <v>0</v>
      </c>
      <c r="L62" s="172"/>
      <c r="M62" s="1253">
        <v>0</v>
      </c>
      <c r="N62" s="172"/>
      <c r="O62" s="172">
        <f t="shared" si="3"/>
        <v>872759.08</v>
      </c>
      <c r="P62" s="160"/>
      <c r="Q62" s="189"/>
      <c r="R62" s="84"/>
      <c r="S62" s="84"/>
      <c r="T62" s="84"/>
      <c r="U62" s="84"/>
    </row>
    <row r="63" spans="1:21" ht="12.75" x14ac:dyDescent="0.2">
      <c r="A63" s="164">
        <f t="shared" si="4"/>
        <v>9</v>
      </c>
      <c r="B63" s="185"/>
      <c r="C63" s="169">
        <v>387.44</v>
      </c>
      <c r="D63" s="160"/>
      <c r="E63" s="173" t="s">
        <v>1196</v>
      </c>
      <c r="F63" s="160"/>
      <c r="G63" s="1253">
        <v>169817.44</v>
      </c>
      <c r="H63" s="172"/>
      <c r="I63" s="1253">
        <v>0</v>
      </c>
      <c r="J63" s="172"/>
      <c r="K63" s="1253">
        <v>0</v>
      </c>
      <c r="L63" s="172"/>
      <c r="M63" s="1253">
        <v>95.3</v>
      </c>
      <c r="N63" s="172"/>
      <c r="O63" s="172">
        <f t="shared" si="3"/>
        <v>169912.74</v>
      </c>
      <c r="P63" s="160"/>
      <c r="Q63" s="189"/>
      <c r="R63" s="84"/>
      <c r="S63" s="84"/>
      <c r="T63" s="84"/>
      <c r="U63" s="84"/>
    </row>
    <row r="64" spans="1:21" ht="12.75" x14ac:dyDescent="0.2">
      <c r="A64" s="164">
        <f t="shared" si="4"/>
        <v>10</v>
      </c>
      <c r="B64" s="185"/>
      <c r="C64" s="169">
        <v>387.45</v>
      </c>
      <c r="D64" s="160"/>
      <c r="E64" s="173" t="s">
        <v>1197</v>
      </c>
      <c r="F64" s="160"/>
      <c r="G64" s="1253">
        <v>1341162.3899999999</v>
      </c>
      <c r="H64" s="172"/>
      <c r="I64" s="1253">
        <v>0</v>
      </c>
      <c r="J64" s="172"/>
      <c r="K64" s="1253">
        <v>0</v>
      </c>
      <c r="L64" s="172"/>
      <c r="M64" s="1253">
        <v>2431.54</v>
      </c>
      <c r="N64" s="172"/>
      <c r="O64" s="172">
        <f t="shared" si="3"/>
        <v>1343593.93</v>
      </c>
      <c r="P64" s="160"/>
      <c r="Q64" s="189"/>
      <c r="R64" s="84"/>
      <c r="S64" s="84"/>
      <c r="T64" s="84"/>
      <c r="U64" s="84"/>
    </row>
    <row r="65" spans="1:21" ht="12.75" x14ac:dyDescent="0.2">
      <c r="A65" s="164">
        <f t="shared" si="4"/>
        <v>11</v>
      </c>
      <c r="B65" s="185"/>
      <c r="C65" s="169">
        <v>387.46</v>
      </c>
      <c r="D65" s="160"/>
      <c r="E65" s="173" t="s">
        <v>1198</v>
      </c>
      <c r="F65" s="160"/>
      <c r="G65" s="1254">
        <v>127354.97</v>
      </c>
      <c r="H65" s="172"/>
      <c r="I65" s="1255">
        <v>0</v>
      </c>
      <c r="J65" s="172"/>
      <c r="K65" s="1255">
        <v>0</v>
      </c>
      <c r="L65" s="172"/>
      <c r="M65" s="1255">
        <v>0</v>
      </c>
      <c r="N65" s="172"/>
      <c r="O65" s="176">
        <f t="shared" si="3"/>
        <v>127354.97</v>
      </c>
      <c r="P65" s="160"/>
      <c r="Q65" s="189"/>
      <c r="R65" s="84"/>
      <c r="S65" s="84"/>
      <c r="T65" s="84"/>
      <c r="U65" s="84"/>
    </row>
    <row r="66" spans="1:21" ht="12.75" x14ac:dyDescent="0.2">
      <c r="A66" s="164">
        <f t="shared" si="4"/>
        <v>12</v>
      </c>
      <c r="B66" s="185"/>
      <c r="C66" s="169"/>
      <c r="D66" s="160"/>
      <c r="E66" s="173" t="s">
        <v>1199</v>
      </c>
      <c r="F66" s="160"/>
      <c r="G66" s="172">
        <f>SUM(G25:G41,G55:G65)</f>
        <v>271650235.31999993</v>
      </c>
      <c r="H66" s="172"/>
      <c r="I66" s="172">
        <f>SUM(I25:I41,I55:I65)</f>
        <v>-9889557.0600000005</v>
      </c>
      <c r="J66" s="172"/>
      <c r="K66" s="172">
        <f>SUM(K25:K41,K55:K65)</f>
        <v>-1449153.22</v>
      </c>
      <c r="L66" s="172"/>
      <c r="M66" s="172">
        <f>SUM(M25:M41,M55:M65)</f>
        <v>5256264.9799999995</v>
      </c>
      <c r="N66" s="172"/>
      <c r="O66" s="172">
        <f>SUM(O25:O41,O55:O65)</f>
        <v>265567790.02000004</v>
      </c>
      <c r="P66" s="160"/>
      <c r="Q66" s="189"/>
      <c r="R66" s="84"/>
      <c r="S66" s="84"/>
      <c r="T66" s="84"/>
      <c r="U66" s="84"/>
    </row>
    <row r="67" spans="1:21" ht="12.75" x14ac:dyDescent="0.2">
      <c r="A67" s="164"/>
      <c r="B67" s="185"/>
      <c r="C67" s="169"/>
      <c r="D67" s="160"/>
      <c r="E67" s="169"/>
      <c r="F67" s="160"/>
      <c r="G67" s="172"/>
      <c r="H67" s="172"/>
      <c r="I67" s="172"/>
      <c r="J67" s="172"/>
      <c r="K67" s="172"/>
      <c r="L67" s="172"/>
      <c r="M67" s="177" t="s">
        <v>549</v>
      </c>
      <c r="N67" s="172"/>
      <c r="O67" s="172"/>
      <c r="P67" s="160"/>
      <c r="Q67" s="189"/>
      <c r="R67" s="84"/>
      <c r="S67" s="84"/>
      <c r="T67" s="84"/>
      <c r="U67" s="84"/>
    </row>
    <row r="68" spans="1:21" ht="12.75" x14ac:dyDescent="0.2">
      <c r="A68" s="164">
        <f>A66:B66+1</f>
        <v>13</v>
      </c>
      <c r="B68" s="185"/>
      <c r="C68" s="169"/>
      <c r="D68" s="160"/>
      <c r="E68" s="170" t="s">
        <v>1200</v>
      </c>
      <c r="F68" s="160"/>
      <c r="G68" s="172"/>
      <c r="H68" s="172"/>
      <c r="I68" s="172"/>
      <c r="J68" s="172"/>
      <c r="K68" s="172"/>
      <c r="L68" s="172"/>
      <c r="M68" s="177" t="s">
        <v>549</v>
      </c>
      <c r="N68" s="172"/>
      <c r="O68" s="172"/>
      <c r="P68" s="160"/>
      <c r="Q68" s="189"/>
      <c r="R68" s="84"/>
      <c r="S68" s="84"/>
      <c r="T68" s="84"/>
      <c r="U68" s="84"/>
    </row>
    <row r="69" spans="1:21" ht="12.75" x14ac:dyDescent="0.2">
      <c r="A69" s="164">
        <f t="shared" ref="A69:A82" si="5">A68:B68+1</f>
        <v>14</v>
      </c>
      <c r="B69" s="185"/>
      <c r="C69" s="169">
        <v>391.1</v>
      </c>
      <c r="D69" s="160"/>
      <c r="E69" s="173" t="s">
        <v>1201</v>
      </c>
      <c r="F69" s="160"/>
      <c r="G69" s="1253">
        <v>1207003.45</v>
      </c>
      <c r="H69" s="172"/>
      <c r="I69" s="1253">
        <v>0</v>
      </c>
      <c r="J69" s="172"/>
      <c r="K69" s="1253">
        <v>0</v>
      </c>
      <c r="L69" s="172"/>
      <c r="M69" s="1253">
        <v>6526.66</v>
      </c>
      <c r="N69" s="172"/>
      <c r="O69" s="172">
        <f t="shared" ref="O69:O81" si="6">SUM(G69:M69)</f>
        <v>1213530.1099999999</v>
      </c>
      <c r="P69" s="160"/>
      <c r="Q69" s="189"/>
      <c r="R69" s="84"/>
      <c r="S69" s="84"/>
      <c r="T69" s="84"/>
      <c r="U69" s="84"/>
    </row>
    <row r="70" spans="1:21" ht="12.75" x14ac:dyDescent="0.2">
      <c r="A70" s="164">
        <f t="shared" si="5"/>
        <v>15</v>
      </c>
      <c r="B70" s="185"/>
      <c r="C70" s="169">
        <v>391.11</v>
      </c>
      <c r="D70" s="160"/>
      <c r="E70" s="173" t="s">
        <v>1202</v>
      </c>
      <c r="F70" s="160"/>
      <c r="G70" s="1253">
        <v>13816.01</v>
      </c>
      <c r="H70" s="172"/>
      <c r="I70" s="1253">
        <v>0</v>
      </c>
      <c r="J70" s="172"/>
      <c r="K70" s="1253">
        <v>0</v>
      </c>
      <c r="L70" s="172"/>
      <c r="M70" s="1253">
        <v>0</v>
      </c>
      <c r="N70" s="172"/>
      <c r="O70" s="172">
        <f t="shared" si="6"/>
        <v>13816.01</v>
      </c>
      <c r="P70" s="160"/>
      <c r="Q70" s="189"/>
      <c r="R70" s="84"/>
      <c r="S70" s="84"/>
      <c r="T70" s="84"/>
      <c r="U70" s="84"/>
    </row>
    <row r="71" spans="1:21" ht="12.75" x14ac:dyDescent="0.2">
      <c r="A71" s="164">
        <f t="shared" si="5"/>
        <v>16</v>
      </c>
      <c r="B71" s="185"/>
      <c r="C71" s="169">
        <v>391.12</v>
      </c>
      <c r="D71" s="160"/>
      <c r="E71" s="173" t="s">
        <v>1204</v>
      </c>
      <c r="F71" s="160"/>
      <c r="G71" s="1253">
        <v>250634.94</v>
      </c>
      <c r="H71" s="172"/>
      <c r="I71" s="1253">
        <v>0</v>
      </c>
      <c r="J71" s="172"/>
      <c r="K71" s="1253">
        <v>0</v>
      </c>
      <c r="L71" s="172"/>
      <c r="M71" s="1253">
        <v>19078.88</v>
      </c>
      <c r="N71" s="172"/>
      <c r="O71" s="172">
        <f t="shared" si="6"/>
        <v>269713.82</v>
      </c>
      <c r="P71" s="160"/>
      <c r="Q71" s="189"/>
      <c r="R71" s="84"/>
      <c r="S71" s="84"/>
      <c r="T71" s="84"/>
      <c r="U71" s="84"/>
    </row>
    <row r="72" spans="1:21" ht="12.75" x14ac:dyDescent="0.2">
      <c r="A72" s="164">
        <f t="shared" si="5"/>
        <v>17</v>
      </c>
      <c r="B72" s="185"/>
      <c r="C72" s="169">
        <v>392.2</v>
      </c>
      <c r="D72" s="160"/>
      <c r="E72" s="173" t="s">
        <v>828</v>
      </c>
      <c r="F72" s="160"/>
      <c r="G72" s="1253">
        <v>113219.98</v>
      </c>
      <c r="H72" s="172"/>
      <c r="I72" s="1253">
        <v>0</v>
      </c>
      <c r="J72" s="172"/>
      <c r="K72" s="1253">
        <v>0</v>
      </c>
      <c r="L72" s="172"/>
      <c r="M72" s="1253">
        <v>0</v>
      </c>
      <c r="N72" s="172"/>
      <c r="O72" s="172">
        <f t="shared" si="6"/>
        <v>113219.98</v>
      </c>
      <c r="P72" s="160"/>
      <c r="Q72" s="189"/>
      <c r="R72" s="84"/>
      <c r="S72" s="84"/>
      <c r="T72" s="84"/>
      <c r="U72" s="84"/>
    </row>
    <row r="73" spans="1:21" ht="12.75" x14ac:dyDescent="0.2">
      <c r="A73" s="164">
        <f t="shared" si="5"/>
        <v>18</v>
      </c>
      <c r="B73" s="185"/>
      <c r="C73" s="169">
        <v>392.21</v>
      </c>
      <c r="D73" s="160"/>
      <c r="E73" s="173" t="s">
        <v>1205</v>
      </c>
      <c r="F73" s="160"/>
      <c r="G73" s="1253">
        <v>3398.75</v>
      </c>
      <c r="H73" s="172"/>
      <c r="I73" s="1253">
        <v>0</v>
      </c>
      <c r="J73" s="172"/>
      <c r="K73" s="1253">
        <v>0</v>
      </c>
      <c r="L73" s="172"/>
      <c r="M73" s="1253">
        <v>0</v>
      </c>
      <c r="N73" s="172"/>
      <c r="O73" s="172">
        <f t="shared" si="6"/>
        <v>3398.75</v>
      </c>
      <c r="P73" s="160"/>
      <c r="Q73" s="189"/>
      <c r="R73" s="84"/>
      <c r="S73" s="84"/>
      <c r="T73" s="84"/>
      <c r="U73" s="84"/>
    </row>
    <row r="74" spans="1:21" ht="12.75" x14ac:dyDescent="0.2">
      <c r="A74" s="164">
        <f>A73:B73+1</f>
        <v>19</v>
      </c>
      <c r="B74" s="185"/>
      <c r="C74" s="169">
        <v>393</v>
      </c>
      <c r="D74" s="160"/>
      <c r="E74" s="173" t="s">
        <v>1206</v>
      </c>
      <c r="F74" s="160"/>
      <c r="G74" s="1253">
        <v>0</v>
      </c>
      <c r="H74" s="172"/>
      <c r="I74" s="1253">
        <v>0</v>
      </c>
      <c r="J74" s="172"/>
      <c r="K74" s="1253">
        <v>0</v>
      </c>
      <c r="L74" s="172"/>
      <c r="M74" s="1253">
        <v>0</v>
      </c>
      <c r="N74" s="172"/>
      <c r="O74" s="172">
        <f>SUM(G74:M74)</f>
        <v>0</v>
      </c>
      <c r="P74" s="160"/>
      <c r="Q74" s="189"/>
      <c r="R74" s="84"/>
      <c r="S74" s="84"/>
      <c r="T74" s="84"/>
      <c r="U74" s="84"/>
    </row>
    <row r="75" spans="1:21" ht="12.75" x14ac:dyDescent="0.2">
      <c r="A75" s="164">
        <f t="shared" si="5"/>
        <v>20</v>
      </c>
      <c r="B75" s="185"/>
      <c r="C75" s="169">
        <v>394.1</v>
      </c>
      <c r="D75" s="160"/>
      <c r="E75" s="173" t="s">
        <v>1213</v>
      </c>
      <c r="F75" s="160"/>
      <c r="G75" s="1253">
        <v>26580.01</v>
      </c>
      <c r="H75" s="172"/>
      <c r="I75" s="1253">
        <v>0</v>
      </c>
      <c r="J75" s="172"/>
      <c r="K75" s="1253">
        <v>0</v>
      </c>
      <c r="L75" s="172"/>
      <c r="M75" s="1253">
        <v>0</v>
      </c>
      <c r="N75" s="172"/>
      <c r="O75" s="172">
        <f t="shared" si="6"/>
        <v>26580.01</v>
      </c>
      <c r="P75" s="160"/>
      <c r="Q75" s="189"/>
      <c r="R75" s="84"/>
      <c r="S75" s="84"/>
      <c r="T75" s="84"/>
      <c r="U75" s="84"/>
    </row>
    <row r="76" spans="1:21" ht="12.75" x14ac:dyDescent="0.2">
      <c r="A76" s="164">
        <f t="shared" si="5"/>
        <v>21</v>
      </c>
      <c r="B76" s="185"/>
      <c r="C76" s="169">
        <v>394.11</v>
      </c>
      <c r="D76" s="160"/>
      <c r="E76" s="173" t="s">
        <v>1214</v>
      </c>
      <c r="F76" s="160"/>
      <c r="G76" s="1253">
        <v>335308.07</v>
      </c>
      <c r="H76" s="172"/>
      <c r="I76" s="1253">
        <v>0</v>
      </c>
      <c r="J76" s="172"/>
      <c r="K76" s="1253">
        <v>0</v>
      </c>
      <c r="L76" s="172"/>
      <c r="M76" s="1253">
        <v>0</v>
      </c>
      <c r="N76" s="172"/>
      <c r="O76" s="172">
        <f t="shared" si="6"/>
        <v>335308.07</v>
      </c>
      <c r="P76" s="160"/>
      <c r="Q76" s="189"/>
      <c r="R76" s="84"/>
      <c r="S76" s="84"/>
      <c r="T76" s="84"/>
      <c r="U76" s="84"/>
    </row>
    <row r="77" spans="1:21" ht="12.75" x14ac:dyDescent="0.2">
      <c r="A77" s="164">
        <f t="shared" si="5"/>
        <v>22</v>
      </c>
      <c r="B77" s="185"/>
      <c r="C77" s="169">
        <v>394.2</v>
      </c>
      <c r="D77" s="160"/>
      <c r="E77" s="173" t="s">
        <v>1215</v>
      </c>
      <c r="F77" s="160"/>
      <c r="G77" s="1253">
        <v>0</v>
      </c>
      <c r="H77" s="172"/>
      <c r="I77" s="1253">
        <v>0</v>
      </c>
      <c r="J77" s="172"/>
      <c r="K77" s="1253">
        <v>0</v>
      </c>
      <c r="L77" s="172"/>
      <c r="M77" s="1253">
        <v>0</v>
      </c>
      <c r="N77" s="172"/>
      <c r="O77" s="172">
        <f t="shared" si="6"/>
        <v>0</v>
      </c>
      <c r="P77" s="160"/>
      <c r="Q77" s="189"/>
      <c r="R77" s="84"/>
      <c r="S77" s="84"/>
      <c r="T77" s="84"/>
      <c r="U77" s="84"/>
    </row>
    <row r="78" spans="1:21" ht="12.75" x14ac:dyDescent="0.2">
      <c r="A78" s="164">
        <f t="shared" si="5"/>
        <v>23</v>
      </c>
      <c r="B78" s="185"/>
      <c r="C78" s="169">
        <v>394.3</v>
      </c>
      <c r="D78" s="160"/>
      <c r="E78" s="173" t="s">
        <v>1216</v>
      </c>
      <c r="F78" s="160"/>
      <c r="G78" s="1253">
        <v>1920014.63</v>
      </c>
      <c r="H78" s="172"/>
      <c r="I78" s="1253">
        <v>0</v>
      </c>
      <c r="J78" s="172"/>
      <c r="K78" s="1253">
        <v>0</v>
      </c>
      <c r="L78" s="172"/>
      <c r="M78" s="1253">
        <v>28091.58</v>
      </c>
      <c r="N78" s="172"/>
      <c r="O78" s="172">
        <f t="shared" si="6"/>
        <v>1948106.21</v>
      </c>
      <c r="P78" s="160"/>
      <c r="Q78" s="189"/>
      <c r="R78" s="84"/>
      <c r="S78" s="84"/>
      <c r="T78" s="84"/>
      <c r="U78" s="84"/>
    </row>
    <row r="79" spans="1:21" ht="12.75" x14ac:dyDescent="0.2">
      <c r="A79" s="164">
        <f t="shared" si="5"/>
        <v>24</v>
      </c>
      <c r="B79" s="185"/>
      <c r="C79" s="169">
        <v>395</v>
      </c>
      <c r="D79" s="160"/>
      <c r="E79" s="173" t="s">
        <v>1217</v>
      </c>
      <c r="F79" s="160"/>
      <c r="G79" s="1253">
        <v>10307.98</v>
      </c>
      <c r="H79" s="172"/>
      <c r="I79" s="1253">
        <v>0</v>
      </c>
      <c r="J79" s="172"/>
      <c r="K79" s="1253">
        <v>0</v>
      </c>
      <c r="L79" s="172"/>
      <c r="M79" s="1253">
        <v>0</v>
      </c>
      <c r="N79" s="172"/>
      <c r="O79" s="172">
        <f t="shared" si="6"/>
        <v>10307.98</v>
      </c>
      <c r="P79" s="160"/>
      <c r="Q79" s="189"/>
      <c r="R79" s="84"/>
      <c r="S79" s="84"/>
      <c r="T79" s="84"/>
      <c r="U79" s="84"/>
    </row>
    <row r="80" spans="1:21" ht="12.75" x14ac:dyDescent="0.2">
      <c r="A80" s="164">
        <f t="shared" si="5"/>
        <v>25</v>
      </c>
      <c r="B80" s="185"/>
      <c r="C80" s="169">
        <v>396</v>
      </c>
      <c r="D80" s="160"/>
      <c r="E80" s="173" t="s">
        <v>1218</v>
      </c>
      <c r="F80" s="160"/>
      <c r="G80" s="1253">
        <v>653814.37</v>
      </c>
      <c r="H80" s="172"/>
      <c r="I80" s="1253">
        <v>0</v>
      </c>
      <c r="J80" s="172"/>
      <c r="K80" s="1253">
        <v>0</v>
      </c>
      <c r="L80" s="172"/>
      <c r="M80" s="1253">
        <v>0</v>
      </c>
      <c r="N80" s="172"/>
      <c r="O80" s="172">
        <f t="shared" si="6"/>
        <v>653814.37</v>
      </c>
      <c r="P80" s="160"/>
      <c r="Q80" s="189"/>
      <c r="R80" s="84"/>
      <c r="S80" s="84"/>
      <c r="T80" s="84"/>
      <c r="U80" s="84"/>
    </row>
    <row r="81" spans="1:21" ht="12.75" x14ac:dyDescent="0.2">
      <c r="A81" s="164">
        <f t="shared" si="5"/>
        <v>26</v>
      </c>
      <c r="B81" s="185"/>
      <c r="C81" s="169">
        <v>398</v>
      </c>
      <c r="D81" s="160"/>
      <c r="E81" s="173" t="s">
        <v>1219</v>
      </c>
      <c r="F81" s="160"/>
      <c r="G81" s="1254">
        <v>78932.17</v>
      </c>
      <c r="H81" s="172"/>
      <c r="I81" s="1254">
        <v>0</v>
      </c>
      <c r="J81" s="172"/>
      <c r="K81" s="1254">
        <v>0</v>
      </c>
      <c r="L81" s="172"/>
      <c r="M81" s="1254">
        <v>0</v>
      </c>
      <c r="N81" s="172"/>
      <c r="O81" s="176">
        <f t="shared" si="6"/>
        <v>78932.17</v>
      </c>
      <c r="P81" s="160"/>
      <c r="Q81" s="189"/>
      <c r="R81" s="84"/>
      <c r="S81" s="84"/>
      <c r="T81" s="84"/>
      <c r="U81" s="84"/>
    </row>
    <row r="82" spans="1:21" ht="12.75" x14ac:dyDescent="0.2">
      <c r="A82" s="164">
        <f t="shared" si="5"/>
        <v>27</v>
      </c>
      <c r="B82" s="185"/>
      <c r="C82" s="169"/>
      <c r="D82" s="160"/>
      <c r="E82" s="173" t="s">
        <v>1220</v>
      </c>
      <c r="F82" s="160"/>
      <c r="G82" s="172">
        <f>SUM(G69:G81)</f>
        <v>4613030.3599999994</v>
      </c>
      <c r="H82" s="172"/>
      <c r="I82" s="172">
        <f>SUM(I69:I81)</f>
        <v>0</v>
      </c>
      <c r="J82" s="172"/>
      <c r="K82" s="172">
        <f>SUM(K69:K81)</f>
        <v>0</v>
      </c>
      <c r="L82" s="172"/>
      <c r="M82" s="172">
        <f>SUM(M69:M81)</f>
        <v>53697.120000000003</v>
      </c>
      <c r="N82" s="172"/>
      <c r="O82" s="172">
        <f>SUM(O69:O81)</f>
        <v>4666727.4799999995</v>
      </c>
      <c r="P82" s="160"/>
      <c r="Q82" s="189"/>
      <c r="R82" s="84"/>
      <c r="S82" s="84"/>
      <c r="T82" s="84"/>
      <c r="U82" s="84"/>
    </row>
    <row r="83" spans="1:21" ht="12.75" x14ac:dyDescent="0.2">
      <c r="A83" s="164"/>
      <c r="B83" s="185"/>
      <c r="C83" s="169"/>
      <c r="D83" s="160"/>
      <c r="E83" s="169"/>
      <c r="F83" s="160"/>
      <c r="G83" s="161"/>
      <c r="H83" s="172"/>
      <c r="I83" s="176"/>
      <c r="J83" s="172"/>
      <c r="K83" s="176"/>
      <c r="L83" s="172"/>
      <c r="M83" s="181" t="s">
        <v>549</v>
      </c>
      <c r="N83" s="172"/>
      <c r="O83" s="176"/>
      <c r="P83" s="160"/>
      <c r="Q83" s="189"/>
      <c r="R83" s="84"/>
      <c r="S83" s="84"/>
      <c r="T83" s="84"/>
      <c r="U83" s="84"/>
    </row>
    <row r="84" spans="1:21" ht="13.5" thickBot="1" x14ac:dyDescent="0.25">
      <c r="A84" s="164">
        <f>A82+1</f>
        <v>28</v>
      </c>
      <c r="B84" s="185"/>
      <c r="C84" s="169"/>
      <c r="D84" s="160"/>
      <c r="E84" s="173" t="s">
        <v>1221</v>
      </c>
      <c r="F84" s="160"/>
      <c r="G84" s="184">
        <f>G18+G22+G66+G82</f>
        <v>277581951.06999993</v>
      </c>
      <c r="H84" s="172"/>
      <c r="I84" s="184">
        <f>I18+I22+I66+I82</f>
        <v>-9889557.0600000005</v>
      </c>
      <c r="J84" s="172"/>
      <c r="K84" s="184">
        <f>K18+K22+K66+K82</f>
        <v>-1449153.22</v>
      </c>
      <c r="L84" s="172"/>
      <c r="M84" s="184">
        <f>M18+M22+M66+M82</f>
        <v>5449474.79</v>
      </c>
      <c r="N84" s="172"/>
      <c r="O84" s="184">
        <f>O18+O22+O66+O82</f>
        <v>271692715.58000004</v>
      </c>
      <c r="P84" s="160"/>
      <c r="Q84" s="189"/>
      <c r="R84" s="84"/>
      <c r="S84" s="84"/>
      <c r="T84" s="84"/>
      <c r="U84" s="84"/>
    </row>
    <row r="85" spans="1:21" ht="13.5" thickTop="1" x14ac:dyDescent="0.2">
      <c r="A85" s="167"/>
      <c r="B85" s="160"/>
      <c r="C85" s="160"/>
      <c r="D85" s="160"/>
      <c r="E85" s="160"/>
      <c r="F85" s="160"/>
      <c r="G85" s="160"/>
      <c r="H85" s="172"/>
      <c r="I85" s="172"/>
      <c r="J85" s="172"/>
      <c r="K85" s="160"/>
      <c r="L85" s="172"/>
      <c r="M85" s="160"/>
      <c r="N85" s="172"/>
      <c r="O85" s="160"/>
      <c r="P85" s="172"/>
      <c r="Q85" s="191"/>
      <c r="R85" s="84"/>
      <c r="S85" s="84"/>
      <c r="T85" s="84"/>
      <c r="U85" s="84"/>
    </row>
    <row r="86" spans="1:21" ht="12.75" x14ac:dyDescent="0.2">
      <c r="A86" s="167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89"/>
      <c r="R86" s="84"/>
      <c r="S86" s="84"/>
      <c r="T86" s="84"/>
      <c r="U86" s="84"/>
    </row>
    <row r="87" spans="1:21" ht="12.75" x14ac:dyDescent="0.2">
      <c r="A87" s="671"/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189"/>
      <c r="R87" s="84"/>
      <c r="S87" s="84"/>
      <c r="T87" s="84"/>
      <c r="U87" s="84"/>
    </row>
    <row r="88" spans="1:21" ht="12.75" x14ac:dyDescent="0.2">
      <c r="A88" s="671"/>
      <c r="B88" s="209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189"/>
      <c r="R88" s="84"/>
      <c r="S88" s="84"/>
      <c r="T88" s="84"/>
      <c r="U88" s="84"/>
    </row>
    <row r="89" spans="1:21" ht="12.75" x14ac:dyDescent="0.2">
      <c r="A89" s="671"/>
      <c r="B89" s="209"/>
      <c r="C89" s="209"/>
      <c r="D89" s="209"/>
      <c r="E89" s="209"/>
      <c r="F89" s="209"/>
      <c r="G89" s="673"/>
      <c r="H89" s="209"/>
      <c r="I89" s="209"/>
      <c r="J89" s="209"/>
      <c r="K89" s="209"/>
      <c r="L89" s="209"/>
      <c r="M89" s="209"/>
      <c r="N89" s="209"/>
      <c r="O89" s="209"/>
      <c r="P89" s="209"/>
      <c r="Q89" s="189"/>
      <c r="R89" s="84"/>
      <c r="S89" s="84"/>
      <c r="T89" s="84"/>
      <c r="U89" s="84"/>
    </row>
    <row r="90" spans="1:21" ht="12.75" x14ac:dyDescent="0.2">
      <c r="A90" s="671"/>
      <c r="B90" s="209"/>
      <c r="C90" s="209"/>
      <c r="D90" s="209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189"/>
      <c r="R90" s="84"/>
      <c r="S90" s="84"/>
      <c r="T90" s="84"/>
      <c r="U90" s="84"/>
    </row>
    <row r="91" spans="1:21" ht="12.75" x14ac:dyDescent="0.2">
      <c r="A91" s="209"/>
      <c r="B91" s="209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189"/>
      <c r="R91" s="84"/>
      <c r="S91" s="84"/>
      <c r="T91" s="84"/>
      <c r="U91" s="84"/>
    </row>
    <row r="92" spans="1:21" ht="12.75" x14ac:dyDescent="0.2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159"/>
    </row>
    <row r="93" spans="1:21" ht="12.75" x14ac:dyDescent="0.2">
      <c r="A93" s="209"/>
      <c r="B93" s="209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159"/>
    </row>
    <row r="94" spans="1:21" ht="12.75" x14ac:dyDescent="0.2">
      <c r="A94" s="209"/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159"/>
    </row>
    <row r="95" spans="1:21" ht="12.75" x14ac:dyDescent="0.2">
      <c r="A95" s="209"/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159"/>
    </row>
    <row r="96" spans="1:21" ht="12.75" x14ac:dyDescent="0.2">
      <c r="A96" s="209"/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159"/>
    </row>
    <row r="97" spans="1:17" ht="12.75" x14ac:dyDescent="0.2">
      <c r="A97" s="209"/>
      <c r="B97" s="209"/>
      <c r="C97" s="209"/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159"/>
    </row>
    <row r="98" spans="1:17" ht="12.75" x14ac:dyDescent="0.2">
      <c r="A98" s="209"/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159"/>
    </row>
    <row r="99" spans="1:17" ht="12.75" x14ac:dyDescent="0.2">
      <c r="A99" s="209"/>
      <c r="B99" s="209"/>
      <c r="C99" s="209"/>
      <c r="D99" s="209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159"/>
    </row>
    <row r="100" spans="1:17" ht="12.75" x14ac:dyDescent="0.2">
      <c r="A100" s="209"/>
      <c r="B100" s="209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159"/>
    </row>
    <row r="101" spans="1:17" ht="12.75" x14ac:dyDescent="0.2">
      <c r="A101" s="209"/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159"/>
    </row>
    <row r="102" spans="1:17" ht="12.75" x14ac:dyDescent="0.2">
      <c r="A102" s="209"/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159"/>
    </row>
    <row r="103" spans="1:17" ht="12.75" x14ac:dyDescent="0.2">
      <c r="A103" s="209"/>
      <c r="B103" s="209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159"/>
    </row>
    <row r="104" spans="1:17" ht="12.75" x14ac:dyDescent="0.2">
      <c r="A104" s="209"/>
      <c r="B104" s="209"/>
      <c r="C104" s="209"/>
      <c r="D104" s="209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159"/>
    </row>
    <row r="105" spans="1:17" ht="12.75" x14ac:dyDescent="0.2">
      <c r="A105" s="209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159"/>
    </row>
    <row r="106" spans="1:17" ht="12.75" x14ac:dyDescent="0.2">
      <c r="A106" s="209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159"/>
    </row>
    <row r="107" spans="1:17" ht="12.75" x14ac:dyDescent="0.2">
      <c r="A107" s="209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159"/>
    </row>
    <row r="108" spans="1:17" ht="12.75" x14ac:dyDescent="0.2">
      <c r="A108" s="209"/>
      <c r="B108" s="209"/>
      <c r="C108" s="209"/>
      <c r="D108" s="209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159"/>
    </row>
    <row r="109" spans="1:17" ht="12.75" x14ac:dyDescent="0.2">
      <c r="A109" s="209"/>
      <c r="B109" s="209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159"/>
    </row>
    <row r="110" spans="1:17" ht="12.75" x14ac:dyDescent="0.2">
      <c r="A110" s="209"/>
      <c r="B110" s="209"/>
      <c r="C110" s="209"/>
      <c r="D110" s="209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159"/>
    </row>
    <row r="111" spans="1:17" ht="12.75" x14ac:dyDescent="0.2">
      <c r="A111" s="209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159"/>
    </row>
    <row r="112" spans="1:17" ht="12.75" x14ac:dyDescent="0.2">
      <c r="A112" s="209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159"/>
    </row>
    <row r="113" spans="1:17" ht="12.75" x14ac:dyDescent="0.2">
      <c r="A113" s="209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159"/>
    </row>
    <row r="114" spans="1:17" ht="12.75" x14ac:dyDescent="0.2">
      <c r="A114" s="209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159"/>
    </row>
    <row r="115" spans="1:17" ht="12.75" x14ac:dyDescent="0.2">
      <c r="A115" s="209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159"/>
    </row>
    <row r="116" spans="1:17" ht="12.75" x14ac:dyDescent="0.2">
      <c r="A116" s="209"/>
      <c r="B116" s="209"/>
      <c r="C116" s="209"/>
      <c r="D116" s="209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159"/>
    </row>
    <row r="117" spans="1:17" ht="12.75" x14ac:dyDescent="0.2">
      <c r="A117" s="209"/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159"/>
    </row>
    <row r="118" spans="1:17" ht="12.75" x14ac:dyDescent="0.2">
      <c r="A118" s="209"/>
      <c r="B118" s="209"/>
      <c r="C118" s="209"/>
      <c r="D118" s="209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159"/>
    </row>
    <row r="119" spans="1:17" ht="12.75" x14ac:dyDescent="0.2">
      <c r="A119" s="209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159"/>
    </row>
    <row r="120" spans="1:17" ht="12.75" x14ac:dyDescent="0.2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159"/>
    </row>
    <row r="121" spans="1:17" ht="12.75" x14ac:dyDescent="0.2">
      <c r="A121" s="209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159"/>
    </row>
    <row r="122" spans="1:17" ht="12.75" x14ac:dyDescent="0.2">
      <c r="A122" s="209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159"/>
    </row>
    <row r="123" spans="1:17" ht="12.75" x14ac:dyDescent="0.2">
      <c r="A123" s="209"/>
      <c r="B123" s="209"/>
      <c r="C123" s="209"/>
      <c r="D123" s="209"/>
      <c r="E123" s="209"/>
      <c r="F123" s="209"/>
      <c r="G123" s="209"/>
      <c r="H123" s="209"/>
      <c r="I123" s="209"/>
      <c r="J123" s="209"/>
      <c r="K123" s="209"/>
      <c r="L123" s="209"/>
      <c r="M123" s="209"/>
      <c r="N123" s="209"/>
      <c r="O123" s="209"/>
      <c r="P123" s="209"/>
      <c r="Q123" s="159"/>
    </row>
    <row r="124" spans="1:17" ht="12.75" x14ac:dyDescent="0.2">
      <c r="A124" s="209"/>
      <c r="B124" s="209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09"/>
      <c r="P124" s="209"/>
      <c r="Q124" s="159"/>
    </row>
    <row r="125" spans="1:17" ht="12.75" x14ac:dyDescent="0.2">
      <c r="A125" s="209"/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159"/>
    </row>
    <row r="126" spans="1:17" ht="12.75" x14ac:dyDescent="0.2">
      <c r="A126" s="209"/>
      <c r="B126" s="209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09"/>
      <c r="Q126" s="159"/>
    </row>
    <row r="127" spans="1:17" ht="12.75" x14ac:dyDescent="0.2">
      <c r="A127" s="209"/>
      <c r="B127" s="209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09"/>
      <c r="Q127" s="159"/>
    </row>
    <row r="128" spans="1:17" ht="12.75" x14ac:dyDescent="0.2">
      <c r="A128" s="209"/>
      <c r="B128" s="209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09"/>
      <c r="Q128" s="159"/>
    </row>
    <row r="129" spans="1:17" ht="12.75" x14ac:dyDescent="0.2">
      <c r="A129" s="209"/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09"/>
      <c r="P129" s="209"/>
      <c r="Q129" s="159"/>
    </row>
    <row r="130" spans="1:17" ht="12.75" x14ac:dyDescent="0.2">
      <c r="A130" s="209"/>
      <c r="B130" s="209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159"/>
    </row>
    <row r="131" spans="1:17" ht="12.75" x14ac:dyDescent="0.2">
      <c r="A131" s="209"/>
      <c r="B131" s="209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09"/>
      <c r="P131" s="209"/>
      <c r="Q131" s="159"/>
    </row>
    <row r="132" spans="1:17" ht="12.75" x14ac:dyDescent="0.2">
      <c r="A132" s="209"/>
      <c r="B132" s="209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159"/>
    </row>
    <row r="133" spans="1:17" ht="12.75" x14ac:dyDescent="0.2">
      <c r="A133" s="209"/>
      <c r="B133" s="209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09"/>
      <c r="Q133" s="159"/>
    </row>
    <row r="134" spans="1:17" ht="12.75" x14ac:dyDescent="0.2">
      <c r="A134" s="209"/>
      <c r="B134" s="209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09"/>
      <c r="P134" s="209"/>
      <c r="Q134" s="159"/>
    </row>
    <row r="135" spans="1:17" ht="12.75" x14ac:dyDescent="0.2">
      <c r="A135" s="209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09"/>
      <c r="P135" s="209"/>
      <c r="Q135" s="159"/>
    </row>
    <row r="136" spans="1:17" ht="12.75" x14ac:dyDescent="0.2">
      <c r="A136" s="209"/>
      <c r="B136" s="209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09"/>
      <c r="P136" s="209"/>
      <c r="Q136" s="159"/>
    </row>
    <row r="137" spans="1:17" ht="12.75" x14ac:dyDescent="0.2">
      <c r="A137" s="209"/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09"/>
      <c r="P137" s="209"/>
      <c r="Q137" s="159"/>
    </row>
    <row r="138" spans="1:17" ht="12.75" x14ac:dyDescent="0.2">
      <c r="A138" s="209"/>
      <c r="B138" s="209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09"/>
      <c r="P138" s="209"/>
      <c r="Q138" s="159"/>
    </row>
    <row r="139" spans="1:17" ht="12.75" x14ac:dyDescent="0.2">
      <c r="A139" s="209"/>
      <c r="B139" s="209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09"/>
      <c r="P139" s="209"/>
      <c r="Q139" s="159"/>
    </row>
    <row r="140" spans="1:17" ht="12.75" x14ac:dyDescent="0.2">
      <c r="A140" s="209"/>
      <c r="B140" s="209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159"/>
    </row>
    <row r="141" spans="1:17" ht="12.75" x14ac:dyDescent="0.2">
      <c r="A141" s="209"/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159"/>
    </row>
    <row r="142" spans="1:17" ht="12.75" x14ac:dyDescent="0.2">
      <c r="A142" s="209"/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159"/>
    </row>
    <row r="143" spans="1:17" ht="12.75" x14ac:dyDescent="0.2">
      <c r="A143" s="209"/>
      <c r="B143" s="209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09"/>
      <c r="P143" s="209"/>
      <c r="Q143" s="159"/>
    </row>
    <row r="144" spans="1:17" ht="12.75" x14ac:dyDescent="0.2">
      <c r="A144" s="209"/>
      <c r="B144" s="209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09"/>
      <c r="P144" s="209"/>
      <c r="Q144" s="159"/>
    </row>
    <row r="145" spans="1:17" ht="12.75" x14ac:dyDescent="0.2">
      <c r="A145" s="209"/>
      <c r="B145" s="209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09"/>
      <c r="P145" s="209"/>
      <c r="Q145" s="159"/>
    </row>
    <row r="146" spans="1:17" ht="12.75" x14ac:dyDescent="0.2">
      <c r="A146" s="209"/>
      <c r="B146" s="209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09"/>
      <c r="P146" s="209"/>
      <c r="Q146" s="159"/>
    </row>
    <row r="147" spans="1:17" ht="12.75" x14ac:dyDescent="0.2">
      <c r="A147" s="209"/>
      <c r="B147" s="209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09"/>
      <c r="P147" s="209"/>
      <c r="Q147" s="159"/>
    </row>
    <row r="148" spans="1:17" ht="12.75" x14ac:dyDescent="0.2">
      <c r="A148" s="209"/>
      <c r="B148" s="209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09"/>
      <c r="P148" s="209"/>
      <c r="Q148" s="159"/>
    </row>
    <row r="149" spans="1:17" ht="12.75" x14ac:dyDescent="0.2">
      <c r="A149" s="209"/>
      <c r="B149" s="209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159"/>
    </row>
    <row r="150" spans="1:17" ht="12.75" x14ac:dyDescent="0.2">
      <c r="A150" s="209"/>
      <c r="B150" s="209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09"/>
      <c r="P150" s="209"/>
      <c r="Q150" s="159"/>
    </row>
    <row r="151" spans="1:17" ht="12.75" x14ac:dyDescent="0.2">
      <c r="A151" s="209"/>
      <c r="B151" s="209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159"/>
    </row>
    <row r="152" spans="1:17" ht="12.75" x14ac:dyDescent="0.2">
      <c r="A152" s="209"/>
      <c r="B152" s="209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09"/>
      <c r="P152" s="209"/>
      <c r="Q152" s="159"/>
    </row>
    <row r="153" spans="1:17" ht="12.75" x14ac:dyDescent="0.2">
      <c r="A153" s="209"/>
      <c r="B153" s="209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159"/>
    </row>
    <row r="154" spans="1:17" ht="12.75" x14ac:dyDescent="0.2">
      <c r="A154" s="209"/>
      <c r="B154" s="209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09"/>
      <c r="Q154" s="159"/>
    </row>
    <row r="155" spans="1:17" ht="12.75" x14ac:dyDescent="0.2">
      <c r="A155" s="209"/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159"/>
    </row>
    <row r="156" spans="1:17" ht="12.75" x14ac:dyDescent="0.2">
      <c r="A156" s="209"/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09"/>
      <c r="Q156" s="159"/>
    </row>
    <row r="157" spans="1:17" ht="12.75" x14ac:dyDescent="0.2">
      <c r="A157" s="209"/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09"/>
      <c r="P157" s="209"/>
      <c r="Q157" s="159"/>
    </row>
    <row r="158" spans="1:17" ht="12.75" x14ac:dyDescent="0.2">
      <c r="A158" s="209"/>
      <c r="B158" s="209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09"/>
      <c r="P158" s="209"/>
      <c r="Q158" s="159"/>
    </row>
    <row r="159" spans="1:17" ht="12.75" x14ac:dyDescent="0.2">
      <c r="A159" s="209"/>
      <c r="B159" s="209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09"/>
      <c r="P159" s="209"/>
      <c r="Q159" s="159"/>
    </row>
    <row r="160" spans="1:17" ht="12.75" x14ac:dyDescent="0.2">
      <c r="A160" s="209"/>
      <c r="B160" s="209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09"/>
      <c r="P160" s="209"/>
      <c r="Q160" s="159"/>
    </row>
    <row r="161" spans="1:17" x14ac:dyDescent="0.15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59"/>
    </row>
    <row r="162" spans="1:17" x14ac:dyDescent="0.15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59"/>
    </row>
    <row r="163" spans="1:17" x14ac:dyDescent="0.15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59"/>
    </row>
  </sheetData>
  <mergeCells count="12">
    <mergeCell ref="G9:O9"/>
    <mergeCell ref="A1:O1"/>
    <mergeCell ref="A2:O2"/>
    <mergeCell ref="A3:O3"/>
    <mergeCell ref="A4:O4"/>
    <mergeCell ref="A5:O5"/>
    <mergeCell ref="A45:O45"/>
    <mergeCell ref="A46:O46"/>
    <mergeCell ref="A47:O47"/>
    <mergeCell ref="G51:O51"/>
    <mergeCell ref="A43:O43"/>
    <mergeCell ref="A44:O44"/>
  </mergeCells>
  <phoneticPr fontId="3" type="noConversion"/>
  <printOptions horizontalCentered="1"/>
  <pageMargins left="0.25" right="0.25" top="1" bottom="0.25" header="0.5" footer="0.5"/>
  <pageSetup scale="93" orientation="landscape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78</vt:i4>
      </vt:variant>
      <vt:variant>
        <vt:lpstr>Named Ranges</vt:lpstr>
      </vt:variant>
      <vt:variant>
        <vt:i4>125</vt:i4>
      </vt:variant>
    </vt:vector>
  </HeadingPairs>
  <TitlesOfParts>
    <vt:vector size="203" baseType="lpstr">
      <vt:lpstr>Input</vt:lpstr>
      <vt:lpstr>Schedule M Input</vt:lpstr>
      <vt:lpstr>Fin Sum Index A</vt:lpstr>
      <vt:lpstr>Overall Fin Sum Sch-A</vt:lpstr>
      <vt:lpstr>Rate Base Index B</vt:lpstr>
      <vt:lpstr>Rate Base Summary Sch B-1</vt:lpstr>
      <vt:lpstr>Plant in Service B-2</vt:lpstr>
      <vt:lpstr>PP&amp;E  by Accounts B-2.1</vt:lpstr>
      <vt:lpstr>PP&amp;E by Accts by Type B-2.1a</vt:lpstr>
      <vt:lpstr>Adj to PP&amp;E B-2.2</vt:lpstr>
      <vt:lpstr>PP&amp;E Add. Retire. Trans. B-2.3</vt:lpstr>
      <vt:lpstr>PP&amp;E Prop Merged Acquired B-2.4</vt:lpstr>
      <vt:lpstr>Leased Property B-2.5</vt:lpstr>
      <vt:lpstr>Property for Future Use B-2.6</vt:lpstr>
      <vt:lpstr>Property Excluded B-2.7</vt:lpstr>
      <vt:lpstr>Accum Depr &amp; Amort Summary B-3</vt:lpstr>
      <vt:lpstr>Adj. to Accum Dep &amp; Amort B-3.1</vt:lpstr>
      <vt:lpstr>Dep Accur Rates &amp; Acc Bal B-3.2</vt:lpstr>
      <vt:lpstr>CWIP B-4</vt:lpstr>
      <vt:lpstr>Allowance for Work Capital B-5</vt:lpstr>
      <vt:lpstr>WC Comp 13 Mon Avg Bal B-5.1</vt:lpstr>
      <vt:lpstr>WC Comp 1-8 O&amp;M Exp  B-5.2</vt:lpstr>
      <vt:lpstr>Def Cr &amp; Accum Def Inc Tax B-6</vt:lpstr>
      <vt:lpstr>B-7</vt:lpstr>
      <vt:lpstr>B-7.1</vt:lpstr>
      <vt:lpstr>B-7.2</vt:lpstr>
      <vt:lpstr>Comparative Bal Sheets B-8</vt:lpstr>
      <vt:lpstr>WPB-5.1 MIS WC</vt:lpstr>
      <vt:lpstr>WPB-6 Acct. 101, 252, 255, 283</vt:lpstr>
      <vt:lpstr>Acct. 282 pg 1</vt:lpstr>
      <vt:lpstr>Acct. 282 pg 2</vt:lpstr>
      <vt:lpstr>Acct. 190</vt:lpstr>
      <vt:lpstr>Operating Income Sum Index C</vt:lpstr>
      <vt:lpstr>Operating Income Summary C-1</vt:lpstr>
      <vt:lpstr>Attachment CYL - 1</vt:lpstr>
      <vt:lpstr>Oper Rev&amp;Exp by Accts C2.1p1-2</vt:lpstr>
      <vt:lpstr>Total Co Accts Activ C2.2p1-11</vt:lpstr>
      <vt:lpstr>Adj to Operating Income Index D</vt:lpstr>
      <vt:lpstr>Sum Adj  Oper Inc D-1, Sht 1-2</vt:lpstr>
      <vt:lpstr>Ann of Sales Rev D-2.1, Sht 1-6</vt:lpstr>
      <vt:lpstr>Labor Adj D-2.2</vt:lpstr>
      <vt:lpstr>Bonus Accrual-Incen Comp  D-2.3</vt:lpstr>
      <vt:lpstr>Benefits Adj D-2.4</vt:lpstr>
      <vt:lpstr>Postage D-2.5</vt:lpstr>
      <vt:lpstr>Depr Exp Adj D-2.6</vt:lpstr>
      <vt:lpstr>Depr Exp Adj D-2.6 p2</vt:lpstr>
      <vt:lpstr>Rate Case Expense D-2.7</vt:lpstr>
      <vt:lpstr>NCSC D-2.8 p1</vt:lpstr>
      <vt:lpstr>NCSC D-2.8 p2 </vt:lpstr>
      <vt:lpstr>NCSC D-2.8 p3</vt:lpstr>
      <vt:lpstr>NCSC D-2.8 p4</vt:lpstr>
      <vt:lpstr>NCSC D-2.8 p5</vt:lpstr>
      <vt:lpstr>NCSC D-2.8 p6</vt:lpstr>
      <vt:lpstr>Corporate Insurance  D-2.9</vt:lpstr>
      <vt:lpstr>Payroll Tax Adj D-2.10</vt:lpstr>
      <vt:lpstr>Property Tax Adj D-2.11</vt:lpstr>
      <vt:lpstr>Out-of-Period D-2.12</vt:lpstr>
      <vt:lpstr>Non-Recoverable D-2.13</vt:lpstr>
      <vt:lpstr>D-3</vt:lpstr>
      <vt:lpstr>D-4</vt:lpstr>
      <vt:lpstr>D-5</vt:lpstr>
      <vt:lpstr>Income Taxes Index E</vt:lpstr>
      <vt:lpstr>Fed &amp; State Income Taxes E-1.1</vt:lpstr>
      <vt:lpstr>Develop Fed &amp; State Inc Tax E-2</vt:lpstr>
      <vt:lpstr>Other Expenses Index F</vt:lpstr>
      <vt:lpstr>Payroll Cost Analysis Index G</vt:lpstr>
      <vt:lpstr>Gross Conversion Factor Index H</vt:lpstr>
      <vt:lpstr>Gross Conversion Factor H-1</vt:lpstr>
      <vt:lpstr>Statisical Data Index I</vt:lpstr>
      <vt:lpstr>Cost of Capital Index J</vt:lpstr>
      <vt:lpstr>Cost of Capital Summary J-1</vt:lpstr>
      <vt:lpstr>Avg Base Period  Cap Str J-1.1</vt:lpstr>
      <vt:lpstr>Embedded Cost of STD J-2</vt:lpstr>
      <vt:lpstr>Embedded Cost of LTD J-3</vt:lpstr>
      <vt:lpstr>Embedded Cost of Pre Stock J-4</vt:lpstr>
      <vt:lpstr>Financial Data Index K</vt:lpstr>
      <vt:lpstr>Rates &amp; Tariffs Index L</vt:lpstr>
      <vt:lpstr>Sch. L</vt:lpstr>
      <vt:lpstr>'Comparative Bal Sheets B-8'!\p</vt:lpstr>
      <vt:lpstr>'Gross Conversion Factor H-1'!\p</vt:lpstr>
      <vt:lpstr>'PP&amp;E Add. Retire. Trans. B-2.3'!\p</vt:lpstr>
      <vt:lpstr>'Rate Base Summary Sch B-1'!\p</vt:lpstr>
      <vt:lpstr>HEAD</vt:lpstr>
      <vt:lpstr>'Adj to PP&amp;E B-2.2'!PAGE1</vt:lpstr>
      <vt:lpstr>'Allowance for Work Capital B-5'!PAGE1</vt:lpstr>
      <vt:lpstr>'B-7'!PAGE1</vt:lpstr>
      <vt:lpstr>'Comparative Bal Sheets B-8'!PAGE1</vt:lpstr>
      <vt:lpstr>'CWIP B-4'!PAGE1</vt:lpstr>
      <vt:lpstr>'D-3'!PAGE1</vt:lpstr>
      <vt:lpstr>'Def Cr &amp; Accum Def Inc Tax B-6'!PAGE1</vt:lpstr>
      <vt:lpstr>'Gross Conversion Factor H-1'!PAGE1</vt:lpstr>
      <vt:lpstr>'Leased Property B-2.5'!PAGE1</vt:lpstr>
      <vt:lpstr>'Plant in Service B-2'!PAGE1</vt:lpstr>
      <vt:lpstr>'PP&amp;E  by Accounts B-2.1'!PAGE1</vt:lpstr>
      <vt:lpstr>'PP&amp;E Add. Retire. Trans. B-2.3'!PAGE1</vt:lpstr>
      <vt:lpstr>'PP&amp;E by Accts by Type B-2.1a'!PAGE1</vt:lpstr>
      <vt:lpstr>'PP&amp;E Prop Merged Acquired B-2.4'!PAGE1</vt:lpstr>
      <vt:lpstr>'Property Excluded B-2.7'!PAGE1</vt:lpstr>
      <vt:lpstr>'Property for Future Use B-2.6'!PAGE1</vt:lpstr>
      <vt:lpstr>'WC Comp 13 Mon Avg Bal B-5.1'!PAGE1</vt:lpstr>
      <vt:lpstr>'WC Comp 1-8 O&amp;M Exp  B-5.2'!PAGE1</vt:lpstr>
      <vt:lpstr>PAGE1</vt:lpstr>
      <vt:lpstr>'Comparative Bal Sheets B-8'!PAGE2</vt:lpstr>
      <vt:lpstr>'D-3'!PAGE2</vt:lpstr>
      <vt:lpstr>'PP&amp;E  by Accounts B-2.1'!PAGE2</vt:lpstr>
      <vt:lpstr>'PP&amp;E Add. Retire. Trans. B-2.3'!PAGE2</vt:lpstr>
      <vt:lpstr>'PP&amp;E by Accts by Type B-2.1a'!PAGE2</vt:lpstr>
      <vt:lpstr>'PP&amp;E Add. Retire. Trans. B-2.3'!PAGE3</vt:lpstr>
      <vt:lpstr>'Acct. 190'!Print_Area</vt:lpstr>
      <vt:lpstr>'Acct. 282 pg 1'!Print_Area</vt:lpstr>
      <vt:lpstr>'Accum Depr &amp; Amort Summary B-3'!Print_Area</vt:lpstr>
      <vt:lpstr>'Adj to Operating Income Index D'!Print_Area</vt:lpstr>
      <vt:lpstr>'Adj to PP&amp;E B-2.2'!Print_Area</vt:lpstr>
      <vt:lpstr>'Adj. to Accum Dep &amp; Amort B-3.1'!Print_Area</vt:lpstr>
      <vt:lpstr>'Allowance for Work Capital B-5'!Print_Area</vt:lpstr>
      <vt:lpstr>'Ann of Sales Rev D-2.1, Sht 1-6'!Print_Area</vt:lpstr>
      <vt:lpstr>'Attachment CYL - 1'!Print_Area</vt:lpstr>
      <vt:lpstr>'Avg Base Period  Cap Str J-1.1'!Print_Area</vt:lpstr>
      <vt:lpstr>'B-7'!Print_Area</vt:lpstr>
      <vt:lpstr>'B-7.1'!Print_Area</vt:lpstr>
      <vt:lpstr>'B-7.2'!Print_Area</vt:lpstr>
      <vt:lpstr>'Benefits Adj D-2.4'!Print_Area</vt:lpstr>
      <vt:lpstr>'Bonus Accrual-Incen Comp  D-2.3'!Print_Area</vt:lpstr>
      <vt:lpstr>'Comparative Bal Sheets B-8'!Print_Area</vt:lpstr>
      <vt:lpstr>'Corporate Insurance  D-2.9'!Print_Area</vt:lpstr>
      <vt:lpstr>'Cost of Capital Index J'!Print_Area</vt:lpstr>
      <vt:lpstr>'Cost of Capital Summary J-1'!Print_Area</vt:lpstr>
      <vt:lpstr>'CWIP B-4'!Print_Area</vt:lpstr>
      <vt:lpstr>'D-3'!Print_Area</vt:lpstr>
      <vt:lpstr>'D-4'!Print_Area</vt:lpstr>
      <vt:lpstr>'D-5'!Print_Area</vt:lpstr>
      <vt:lpstr>'Def Cr &amp; Accum Def Inc Tax B-6'!Print_Area</vt:lpstr>
      <vt:lpstr>'Dep Accur Rates &amp; Acc Bal B-3.2'!Print_Area</vt:lpstr>
      <vt:lpstr>'Depr Exp Adj D-2.6'!Print_Area</vt:lpstr>
      <vt:lpstr>'Depr Exp Adj D-2.6 p2'!Print_Area</vt:lpstr>
      <vt:lpstr>'Develop Fed &amp; State Inc Tax E-2'!Print_Area</vt:lpstr>
      <vt:lpstr>'Embedded Cost of LTD J-3'!Print_Area</vt:lpstr>
      <vt:lpstr>'Embedded Cost of Pre Stock J-4'!Print_Area</vt:lpstr>
      <vt:lpstr>'Embedded Cost of STD J-2'!Print_Area</vt:lpstr>
      <vt:lpstr>'Fed &amp; State Income Taxes E-1.1'!Print_Area</vt:lpstr>
      <vt:lpstr>'Fin Sum Index A'!Print_Area</vt:lpstr>
      <vt:lpstr>'Financial Data Index K'!Print_Area</vt:lpstr>
      <vt:lpstr>'Gross Conversion Factor H-1'!Print_Area</vt:lpstr>
      <vt:lpstr>'Gross Conversion Factor Index H'!Print_Area</vt:lpstr>
      <vt:lpstr>'Income Taxes Index E'!Print_Area</vt:lpstr>
      <vt:lpstr>'Labor Adj D-2.2'!Print_Area</vt:lpstr>
      <vt:lpstr>'Leased Property B-2.5'!Print_Area</vt:lpstr>
      <vt:lpstr>'NCSC D-2.8 p1'!Print_Area</vt:lpstr>
      <vt:lpstr>'NCSC D-2.8 p2 '!Print_Area</vt:lpstr>
      <vt:lpstr>'NCSC D-2.8 p3'!Print_Area</vt:lpstr>
      <vt:lpstr>'NCSC D-2.8 p4'!Print_Area</vt:lpstr>
      <vt:lpstr>'NCSC D-2.8 p6'!Print_Area</vt:lpstr>
      <vt:lpstr>'Non-Recoverable D-2.13'!Print_Area</vt:lpstr>
      <vt:lpstr>'Oper Rev&amp;Exp by Accts C2.1p1-2'!Print_Area</vt:lpstr>
      <vt:lpstr>'Operating Income Sum Index C'!Print_Area</vt:lpstr>
      <vt:lpstr>'Operating Income Summary C-1'!Print_Area</vt:lpstr>
      <vt:lpstr>'Other Expenses Index F'!Print_Area</vt:lpstr>
      <vt:lpstr>'Overall Fin Sum Sch-A'!Print_Area</vt:lpstr>
      <vt:lpstr>'Payroll Cost Analysis Index G'!Print_Area</vt:lpstr>
      <vt:lpstr>'Payroll Tax Adj D-2.10'!Print_Area</vt:lpstr>
      <vt:lpstr>'Plant in Service B-2'!Print_Area</vt:lpstr>
      <vt:lpstr>'Postage D-2.5'!Print_Area</vt:lpstr>
      <vt:lpstr>'PP&amp;E  by Accounts B-2.1'!Print_Area</vt:lpstr>
      <vt:lpstr>'PP&amp;E Add. Retire. Trans. B-2.3'!Print_Area</vt:lpstr>
      <vt:lpstr>'PP&amp;E by Accts by Type B-2.1a'!Print_Area</vt:lpstr>
      <vt:lpstr>'PP&amp;E Prop Merged Acquired B-2.4'!Print_Area</vt:lpstr>
      <vt:lpstr>'Property Excluded B-2.7'!Print_Area</vt:lpstr>
      <vt:lpstr>'Property for Future Use B-2.6'!Print_Area</vt:lpstr>
      <vt:lpstr>'Property Tax Adj D-2.11'!Print_Area</vt:lpstr>
      <vt:lpstr>'Rate Base Index B'!Print_Area</vt:lpstr>
      <vt:lpstr>'Rate Case Expense D-2.7'!Print_Area</vt:lpstr>
      <vt:lpstr>'Rates &amp; Tariffs Index L'!Print_Area</vt:lpstr>
      <vt:lpstr>'Sch. L'!Print_Area</vt:lpstr>
      <vt:lpstr>'Statisical Data Index I'!Print_Area</vt:lpstr>
      <vt:lpstr>'Sum Adj  Oper Inc D-1, Sht 1-2'!Print_Area</vt:lpstr>
      <vt:lpstr>'Total Co Accts Activ C2.2p1-11'!Print_Area</vt:lpstr>
      <vt:lpstr>'WC Comp 13 Mon Avg Bal B-5.1'!Print_Area</vt:lpstr>
      <vt:lpstr>'WC Comp 1-8 O&amp;M Exp  B-5.2'!Print_Area</vt:lpstr>
      <vt:lpstr>'WPB-5.1 MIS WC'!Print_Area</vt:lpstr>
      <vt:lpstr>'WPB-6 Acct. 101, 252, 255, 283'!Print_Area</vt:lpstr>
      <vt:lpstr>'Acct. 190'!Print_Area_MI</vt:lpstr>
      <vt:lpstr>'Acct. 282 pg 1'!Print_Area_MI</vt:lpstr>
      <vt:lpstr>'Accum Depr &amp; Amort Summary B-3'!Print_Area_MI</vt:lpstr>
      <vt:lpstr>'Adj. to Accum Dep &amp; Amort B-3.1'!Print_Area_MI</vt:lpstr>
      <vt:lpstr>'Comparative Bal Sheets B-8'!Print_Area_MI</vt:lpstr>
      <vt:lpstr>'Cost of Capital Index J'!Print_Area_MI</vt:lpstr>
      <vt:lpstr>'D-3'!Print_Area_MI</vt:lpstr>
      <vt:lpstr>'Dep Accur Rates &amp; Acc Bal B-3.2'!Print_Area_MI</vt:lpstr>
      <vt:lpstr>'Develop Fed &amp; State Inc Tax E-2'!Print_Area_MI</vt:lpstr>
      <vt:lpstr>'Fin Sum Index A'!Print_Area_MI</vt:lpstr>
      <vt:lpstr>'Financial Data Index K'!Print_Area_MI</vt:lpstr>
      <vt:lpstr>'Gross Conversion Factor H-1'!Print_Area_MI</vt:lpstr>
      <vt:lpstr>'Gross Conversion Factor Index H'!Print_Area_MI</vt:lpstr>
      <vt:lpstr>'Income Taxes Index E'!Print_Area_MI</vt:lpstr>
      <vt:lpstr>'Other Expenses Index F'!Print_Area_MI</vt:lpstr>
      <vt:lpstr>'Overall Fin Sum Sch-A'!Print_Area_MI</vt:lpstr>
      <vt:lpstr>'Payroll Cost Analysis Index G'!Print_Area_MI</vt:lpstr>
      <vt:lpstr>'Rate Base Index B'!Print_Area_MI</vt:lpstr>
      <vt:lpstr>'Rates &amp; Tariffs Index L'!Print_Area_MI</vt:lpstr>
      <vt:lpstr>'Statisical Data Index I'!Print_Area_MI</vt:lpstr>
      <vt:lpstr>'WPB-5.1 MIS WC'!Print_Area_MI</vt:lpstr>
      <vt:lpstr>Print_Area_MI</vt:lpstr>
      <vt:lpstr>SCHEDA</vt:lpstr>
    </vt:vector>
  </TitlesOfParts>
  <Company>Columbia Energy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Scott Nowicki</dc:creator>
  <cp:lastModifiedBy>Chun Lai</cp:lastModifiedBy>
  <cp:lastPrinted>2018-03-15T19:23:09Z</cp:lastPrinted>
  <dcterms:created xsi:type="dcterms:W3CDTF">2002-01-09T19:02:53Z</dcterms:created>
  <dcterms:modified xsi:type="dcterms:W3CDTF">2018-03-15T19:23:57Z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