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4130" windowHeight="4380" activeTab="3"/>
  </bookViews>
  <sheets>
    <sheet name="Item 2" sheetId="3" r:id="rId1"/>
    <sheet name="Item 3" sheetId="2" r:id="rId2"/>
    <sheet name="Item 4" sheetId="1" r:id="rId3"/>
    <sheet name="Item 5" sheetId="6" r:id="rId4"/>
    <sheet name="Item 6" sheetId="7" r:id="rId5"/>
    <sheet name="Item 7" sheetId="15" r:id="rId6"/>
    <sheet name="Item 8.1" sheetId="9" r:id="rId7"/>
    <sheet name="Item 8.2" sheetId="17" r:id="rId8"/>
    <sheet name="Item 9.1" sheetId="8" r:id="rId9"/>
    <sheet name="Item 9.2" sheetId="10" r:id="rId10"/>
    <sheet name="Item 10.1" sheetId="12" r:id="rId11"/>
    <sheet name="Item 10.2" sheetId="13" r:id="rId12"/>
    <sheet name="Item 11" sheetId="11" r:id="rId13"/>
  </sheets>
  <calcPr calcId="145621"/>
</workbook>
</file>

<file path=xl/calcChain.xml><?xml version="1.0" encoding="utf-8"?>
<calcChain xmlns="http://schemas.openxmlformats.org/spreadsheetml/2006/main">
  <c r="C19" i="17" l="1"/>
  <c r="C16" i="17" l="1"/>
  <c r="F24" i="11" l="1"/>
  <c r="D68" i="15" l="1"/>
  <c r="D69" i="15" s="1"/>
  <c r="C69" i="15"/>
  <c r="B69" i="15"/>
  <c r="D67" i="15"/>
  <c r="B67" i="15"/>
  <c r="B66" i="15"/>
  <c r="C12" i="17"/>
  <c r="C34" i="9"/>
  <c r="I39" i="9"/>
  <c r="E39" i="9"/>
  <c r="D66" i="15" l="1"/>
  <c r="C15" i="17"/>
  <c r="K39" i="9"/>
  <c r="E19" i="9" l="1"/>
  <c r="I19" i="9" l="1"/>
  <c r="I16" i="9" l="1"/>
  <c r="E16" i="9"/>
  <c r="I18" i="9"/>
  <c r="E18" i="9"/>
  <c r="I17" i="9"/>
  <c r="E17" i="9"/>
  <c r="D10" i="6"/>
  <c r="D34" i="6"/>
  <c r="E34" i="6" s="1"/>
  <c r="E35" i="6"/>
  <c r="K18" i="9" l="1"/>
  <c r="K17" i="9"/>
  <c r="K16" i="9"/>
  <c r="C10" i="2" l="1"/>
  <c r="E63" i="15" l="1"/>
  <c r="E62" i="15"/>
  <c r="E61" i="15"/>
  <c r="E60" i="15"/>
  <c r="E59" i="15"/>
  <c r="E58" i="15"/>
  <c r="E57" i="15"/>
  <c r="E56" i="15"/>
  <c r="E55" i="15"/>
  <c r="E54" i="15"/>
  <c r="E53" i="15"/>
  <c r="E52" i="15"/>
  <c r="E51" i="15"/>
  <c r="E50" i="15"/>
  <c r="E49" i="15"/>
  <c r="E48" i="15"/>
  <c r="E47" i="15"/>
  <c r="E46" i="15"/>
  <c r="E45" i="15"/>
  <c r="E44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C64" i="15"/>
  <c r="B64" i="15"/>
  <c r="H63" i="15"/>
  <c r="D63" i="15"/>
  <c r="J63" i="15" s="1"/>
  <c r="H62" i="15"/>
  <c r="J62" i="15" s="1"/>
  <c r="D62" i="15"/>
  <c r="H61" i="15"/>
  <c r="D61" i="15"/>
  <c r="H60" i="15"/>
  <c r="D60" i="15"/>
  <c r="J60" i="15" s="1"/>
  <c r="H59" i="15"/>
  <c r="D59" i="15"/>
  <c r="J58" i="15"/>
  <c r="H58" i="15"/>
  <c r="D58" i="15"/>
  <c r="H57" i="15"/>
  <c r="D57" i="15"/>
  <c r="H56" i="15"/>
  <c r="D56" i="15"/>
  <c r="J56" i="15" s="1"/>
  <c r="H55" i="15"/>
  <c r="D55" i="15"/>
  <c r="J54" i="15"/>
  <c r="H54" i="15"/>
  <c r="D54" i="15"/>
  <c r="H53" i="15"/>
  <c r="D53" i="15"/>
  <c r="H52" i="15"/>
  <c r="D52" i="15"/>
  <c r="J52" i="15" s="1"/>
  <c r="H51" i="15"/>
  <c r="D51" i="15"/>
  <c r="J50" i="15"/>
  <c r="H50" i="15"/>
  <c r="D50" i="15"/>
  <c r="H49" i="15"/>
  <c r="D49" i="15"/>
  <c r="H48" i="15"/>
  <c r="D48" i="15"/>
  <c r="J48" i="15" s="1"/>
  <c r="H47" i="15"/>
  <c r="D47" i="15"/>
  <c r="J46" i="15"/>
  <c r="H46" i="15"/>
  <c r="D46" i="15"/>
  <c r="H45" i="15"/>
  <c r="D45" i="15"/>
  <c r="H44" i="15"/>
  <c r="D44" i="15"/>
  <c r="J44" i="15" s="1"/>
  <c r="H43" i="15"/>
  <c r="D43" i="15"/>
  <c r="J42" i="15"/>
  <c r="H42" i="15"/>
  <c r="D42" i="15"/>
  <c r="H41" i="15"/>
  <c r="D41" i="15"/>
  <c r="H40" i="15"/>
  <c r="D40" i="15"/>
  <c r="J40" i="15" s="1"/>
  <c r="H39" i="15"/>
  <c r="D39" i="15"/>
  <c r="J38" i="15"/>
  <c r="H38" i="15"/>
  <c r="D38" i="15"/>
  <c r="H37" i="15"/>
  <c r="D37" i="15"/>
  <c r="H36" i="15"/>
  <c r="D36" i="15"/>
  <c r="J36" i="15" s="1"/>
  <c r="H35" i="15"/>
  <c r="D35" i="15"/>
  <c r="J34" i="15"/>
  <c r="H34" i="15"/>
  <c r="D34" i="15"/>
  <c r="H33" i="15"/>
  <c r="D33" i="15"/>
  <c r="H32" i="15"/>
  <c r="D32" i="15"/>
  <c r="J32" i="15" s="1"/>
  <c r="H31" i="15"/>
  <c r="D31" i="15"/>
  <c r="J30" i="15"/>
  <c r="H30" i="15"/>
  <c r="D30" i="15"/>
  <c r="H29" i="15"/>
  <c r="D29" i="15"/>
  <c r="H28" i="15"/>
  <c r="D28" i="15"/>
  <c r="J28" i="15" s="1"/>
  <c r="H27" i="15"/>
  <c r="D27" i="15"/>
  <c r="J26" i="15"/>
  <c r="H26" i="15"/>
  <c r="D26" i="15"/>
  <c r="H25" i="15"/>
  <c r="D25" i="15"/>
  <c r="H24" i="15"/>
  <c r="D24" i="15"/>
  <c r="J24" i="15" s="1"/>
  <c r="H23" i="15"/>
  <c r="D23" i="15"/>
  <c r="J22" i="15"/>
  <c r="H22" i="15"/>
  <c r="D22" i="15"/>
  <c r="H21" i="15"/>
  <c r="D21" i="15"/>
  <c r="H20" i="15"/>
  <c r="D20" i="15"/>
  <c r="J20" i="15" s="1"/>
  <c r="H19" i="15"/>
  <c r="D19" i="15"/>
  <c r="J18" i="15"/>
  <c r="H18" i="15"/>
  <c r="D18" i="15"/>
  <c r="H17" i="15"/>
  <c r="D17" i="15"/>
  <c r="H16" i="15"/>
  <c r="D16" i="15"/>
  <c r="J16" i="15" s="1"/>
  <c r="H15" i="15"/>
  <c r="D15" i="15"/>
  <c r="J14" i="15"/>
  <c r="H14" i="15"/>
  <c r="D14" i="15"/>
  <c r="H13" i="15"/>
  <c r="D13" i="15"/>
  <c r="H12" i="15"/>
  <c r="D12" i="15"/>
  <c r="J12" i="15" s="1"/>
  <c r="H11" i="15"/>
  <c r="D11" i="15"/>
  <c r="J10" i="15"/>
  <c r="H10" i="15"/>
  <c r="D10" i="15"/>
  <c r="H9" i="15"/>
  <c r="D9" i="15"/>
  <c r="D64" i="15" s="1"/>
  <c r="K24" i="15" l="1"/>
  <c r="K52" i="15"/>
  <c r="K60" i="15"/>
  <c r="J11" i="15"/>
  <c r="J15" i="15"/>
  <c r="J19" i="15"/>
  <c r="J23" i="15"/>
  <c r="J27" i="15"/>
  <c r="J31" i="15"/>
  <c r="J35" i="15"/>
  <c r="J39" i="15"/>
  <c r="J43" i="15"/>
  <c r="J47" i="15"/>
  <c r="J51" i="15"/>
  <c r="J55" i="15"/>
  <c r="J59" i="15"/>
  <c r="K16" i="15"/>
  <c r="K28" i="15"/>
  <c r="K32" i="15"/>
  <c r="K48" i="15"/>
  <c r="K56" i="15"/>
  <c r="K10" i="15"/>
  <c r="K14" i="15"/>
  <c r="K18" i="15"/>
  <c r="K22" i="15"/>
  <c r="K26" i="15"/>
  <c r="K30" i="15"/>
  <c r="K34" i="15"/>
  <c r="K38" i="15"/>
  <c r="K42" i="15"/>
  <c r="K46" i="15"/>
  <c r="K50" i="15"/>
  <c r="K54" i="15"/>
  <c r="K58" i="15"/>
  <c r="K12" i="15"/>
  <c r="K20" i="15"/>
  <c r="K36" i="15"/>
  <c r="K40" i="15"/>
  <c r="K44" i="15"/>
  <c r="K62" i="15"/>
  <c r="J9" i="15"/>
  <c r="K11" i="15"/>
  <c r="J13" i="15"/>
  <c r="K13" i="15" s="1"/>
  <c r="J17" i="15"/>
  <c r="K17" i="15" s="1"/>
  <c r="K19" i="15"/>
  <c r="J21" i="15"/>
  <c r="K21" i="15" s="1"/>
  <c r="K23" i="15"/>
  <c r="J25" i="15"/>
  <c r="K25" i="15" s="1"/>
  <c r="K27" i="15"/>
  <c r="J29" i="15"/>
  <c r="K29" i="15" s="1"/>
  <c r="J33" i="15"/>
  <c r="K33" i="15" s="1"/>
  <c r="K35" i="15"/>
  <c r="J37" i="15"/>
  <c r="K37" i="15" s="1"/>
  <c r="K39" i="15"/>
  <c r="J41" i="15"/>
  <c r="K41" i="15" s="1"/>
  <c r="K43" i="15"/>
  <c r="J45" i="15"/>
  <c r="K45" i="15" s="1"/>
  <c r="J49" i="15"/>
  <c r="K49" i="15" s="1"/>
  <c r="K51" i="15"/>
  <c r="J53" i="15"/>
  <c r="K53" i="15" s="1"/>
  <c r="K55" i="15"/>
  <c r="J57" i="15"/>
  <c r="K57" i="15" s="1"/>
  <c r="K59" i="15"/>
  <c r="J61" i="15"/>
  <c r="K61" i="15" s="1"/>
  <c r="K63" i="15"/>
  <c r="K9" i="15"/>
  <c r="K47" i="15" l="1"/>
  <c r="K31" i="15"/>
  <c r="K15" i="15"/>
  <c r="K64" i="15" s="1"/>
  <c r="F27" i="11" l="1"/>
  <c r="F26" i="11"/>
  <c r="F25" i="11"/>
  <c r="D27" i="11"/>
  <c r="D26" i="11"/>
  <c r="D25" i="11"/>
  <c r="D24" i="11"/>
  <c r="C28" i="11"/>
  <c r="C15" i="11"/>
  <c r="D14" i="11" s="1"/>
  <c r="D12" i="11"/>
  <c r="D13" i="11" l="1"/>
  <c r="D11" i="11" s="1"/>
  <c r="E10" i="6" l="1"/>
  <c r="E14" i="6" s="1"/>
  <c r="E15" i="6" s="1"/>
  <c r="F28" i="11"/>
  <c r="C13" i="9"/>
  <c r="I13" i="9" s="1"/>
  <c r="I20" i="3"/>
  <c r="C27" i="11"/>
  <c r="C26" i="11"/>
  <c r="C25" i="11"/>
  <c r="C24" i="11"/>
  <c r="I15" i="9"/>
  <c r="E15" i="9"/>
  <c r="I38" i="9"/>
  <c r="E38" i="9"/>
  <c r="I37" i="9"/>
  <c r="E37" i="9"/>
  <c r="I36" i="9"/>
  <c r="E36" i="9"/>
  <c r="I14" i="9"/>
  <c r="E14" i="9"/>
  <c r="E21" i="9" s="1"/>
  <c r="I32" i="9"/>
  <c r="E32" i="9"/>
  <c r="I40" i="9"/>
  <c r="E40" i="9"/>
  <c r="I35" i="9"/>
  <c r="E35" i="9"/>
  <c r="E34" i="9"/>
  <c r="I34" i="9"/>
  <c r="I33" i="9"/>
  <c r="E33" i="9"/>
  <c r="I31" i="9"/>
  <c r="E31" i="9"/>
  <c r="I30" i="9"/>
  <c r="E30" i="9"/>
  <c r="I21" i="9" l="1"/>
  <c r="E17" i="6"/>
  <c r="E18" i="6" s="1"/>
  <c r="E24" i="6" s="1"/>
  <c r="K35" i="9"/>
  <c r="K36" i="9"/>
  <c r="E41" i="9"/>
  <c r="I41" i="9"/>
  <c r="I47" i="9" s="1"/>
  <c r="K38" i="9"/>
  <c r="K15" i="9"/>
  <c r="D14" i="6"/>
  <c r="D15" i="6" s="1"/>
  <c r="D38" i="6"/>
  <c r="D39" i="6" s="1"/>
  <c r="K40" i="9"/>
  <c r="K14" i="9"/>
  <c r="K37" i="9"/>
  <c r="F15" i="11"/>
  <c r="K31" i="9"/>
  <c r="K33" i="9"/>
  <c r="K34" i="9"/>
  <c r="K30" i="9"/>
  <c r="K32" i="9"/>
  <c r="E38" i="6" l="1"/>
  <c r="K41" i="9"/>
  <c r="K13" i="9"/>
  <c r="K21" i="9" s="1"/>
  <c r="K47" i="9" l="1"/>
  <c r="K23" i="9"/>
  <c r="E15" i="8" s="1"/>
  <c r="E39" i="6"/>
  <c r="E41" i="6" s="1"/>
  <c r="E42" i="6" s="1"/>
  <c r="K43" i="9"/>
  <c r="K45" i="9"/>
  <c r="E16" i="12" l="1"/>
  <c r="E16" i="10"/>
  <c r="E16" i="13"/>
  <c r="E17" i="10"/>
  <c r="E17" i="13"/>
  <c r="E16" i="8"/>
  <c r="E18" i="8" s="1"/>
  <c r="E17" i="12"/>
  <c r="H15" i="7"/>
  <c r="D15" i="7"/>
  <c r="L15" i="7" s="1"/>
  <c r="D11" i="7"/>
  <c r="H11" i="7" s="1"/>
  <c r="E48" i="6"/>
  <c r="E50" i="6" s="1"/>
  <c r="E20" i="6"/>
  <c r="E22" i="6" s="1"/>
  <c r="F17" i="7" s="1"/>
  <c r="E26" i="6"/>
  <c r="C14" i="2"/>
  <c r="H14" i="1" s="1"/>
  <c r="D14" i="1"/>
  <c r="E26" i="2"/>
  <c r="C22" i="2"/>
  <c r="E22" i="2" s="1"/>
  <c r="I28" i="3"/>
  <c r="I32" i="3"/>
  <c r="E19" i="13" l="1"/>
  <c r="E19" i="10"/>
  <c r="E19" i="12"/>
  <c r="E28" i="2"/>
  <c r="H10" i="1" s="1"/>
  <c r="L11" i="7"/>
  <c r="E44" i="6"/>
  <c r="E46" i="6" s="1"/>
  <c r="J17" i="7" s="1"/>
  <c r="E20" i="10" s="1"/>
  <c r="I22" i="3"/>
  <c r="I34" i="3" s="1"/>
  <c r="C11" i="10" s="1"/>
  <c r="E11" i="10" s="1"/>
  <c r="G22" i="10" l="1"/>
  <c r="E20" i="13"/>
  <c r="G22" i="13" s="1"/>
  <c r="E20" i="12"/>
  <c r="G22" i="12" s="1"/>
  <c r="E19" i="8"/>
  <c r="G21" i="8" s="1"/>
  <c r="C10" i="8"/>
  <c r="D16" i="1"/>
  <c r="F8" i="1" l="1"/>
  <c r="E11" i="13"/>
  <c r="C11" i="13"/>
  <c r="E11" i="12"/>
  <c r="C11" i="12"/>
  <c r="E10" i="8"/>
  <c r="F14" i="1"/>
  <c r="J14" i="1" s="1"/>
  <c r="D17" i="7" s="1"/>
  <c r="F12" i="1"/>
  <c r="F10" i="1"/>
  <c r="J10" i="1" s="1"/>
  <c r="D13" i="7" s="1"/>
  <c r="H13" i="7" l="1"/>
  <c r="L13" i="7"/>
  <c r="D19" i="7"/>
  <c r="H17" i="7"/>
  <c r="L17" i="7"/>
  <c r="J16" i="1"/>
  <c r="F16" i="1"/>
  <c r="L19" i="7" l="1"/>
  <c r="E12" i="10" s="1"/>
  <c r="E14" i="10" s="1"/>
  <c r="H19" i="7"/>
  <c r="C12" i="10" s="1"/>
  <c r="C14" i="10" s="1"/>
  <c r="E12" i="13" l="1"/>
  <c r="E14" i="13" s="1"/>
  <c r="G14" i="10"/>
  <c r="G24" i="10" s="1"/>
  <c r="E28" i="11" s="1"/>
  <c r="E12" i="12"/>
  <c r="E14" i="12" s="1"/>
  <c r="E11" i="8"/>
  <c r="E13" i="8" s="1"/>
  <c r="C12" i="13"/>
  <c r="C14" i="13" s="1"/>
  <c r="G14" i="13" s="1"/>
  <c r="G24" i="13" s="1"/>
  <c r="C12" i="12"/>
  <c r="C14" i="12" s="1"/>
  <c r="C11" i="8"/>
  <c r="C13" i="8" s="1"/>
  <c r="G13" i="8" l="1"/>
  <c r="G23" i="8" s="1"/>
  <c r="E15" i="11" s="1"/>
  <c r="E12" i="11" s="1"/>
  <c r="G12" i="11" s="1"/>
  <c r="G14" i="12"/>
  <c r="G24" i="12" s="1"/>
  <c r="E27" i="11"/>
  <c r="G27" i="11" s="1"/>
  <c r="E26" i="11"/>
  <c r="G26" i="11" s="1"/>
  <c r="E25" i="11"/>
  <c r="G25" i="11" s="1"/>
  <c r="E14" i="11" l="1"/>
  <c r="G14" i="11" s="1"/>
  <c r="E13" i="11"/>
  <c r="G13" i="11" s="1"/>
  <c r="E24" i="11"/>
  <c r="G24" i="11" s="1"/>
  <c r="E11" i="11" l="1"/>
  <c r="G11" i="11" s="1"/>
</calcChain>
</file>

<file path=xl/sharedStrings.xml><?xml version="1.0" encoding="utf-8"?>
<sst xmlns="http://schemas.openxmlformats.org/spreadsheetml/2006/main" count="427" uniqueCount="252">
  <si>
    <t xml:space="preserve">Component of </t>
  </si>
  <si>
    <t>Capitalization</t>
  </si>
  <si>
    <t>Per Books</t>
  </si>
  <si>
    <t>Ratios</t>
  </si>
  <si>
    <t>Actual</t>
  </si>
  <si>
    <t>Rates</t>
  </si>
  <si>
    <t>Average</t>
  </si>
  <si>
    <t>Weighted</t>
  </si>
  <si>
    <t>Cost</t>
  </si>
  <si>
    <t>Short-Term Debt</t>
  </si>
  <si>
    <t>Long-Term Debt</t>
  </si>
  <si>
    <t>Preferred Stock</t>
  </si>
  <si>
    <t>Common Equity</t>
  </si>
  <si>
    <t>Total Capitalization</t>
  </si>
  <si>
    <t>NA</t>
  </si>
  <si>
    <t>Balance</t>
  </si>
  <si>
    <t>Line Number</t>
  </si>
  <si>
    <t>Total utility plant in service per books</t>
  </si>
  <si>
    <t xml:space="preserve">Add:  </t>
  </si>
  <si>
    <t>Materials and supplies (13 mo avg)</t>
  </si>
  <si>
    <t>Prepayments (13 mo avg)</t>
  </si>
  <si>
    <t>Less:  KPSC prepaid</t>
  </si>
  <si>
    <t>Gas in storage (13 mo avg)</t>
  </si>
  <si>
    <t>Unamortized debt expense per books</t>
  </si>
  <si>
    <t>Cash working capital allowance (1/8 O&amp;M)</t>
  </si>
  <si>
    <t>Subtotal</t>
  </si>
  <si>
    <t>Deduct:</t>
  </si>
  <si>
    <t>Accumulated depreciation per books</t>
  </si>
  <si>
    <t>Cost of removal</t>
  </si>
  <si>
    <t>Customer advance for construction</t>
  </si>
  <si>
    <t>Rate base</t>
  </si>
  <si>
    <t>Debt Expense Amortization</t>
  </si>
  <si>
    <t>Rate</t>
  </si>
  <si>
    <t>Item 3. a. - Actual Return on Equity</t>
  </si>
  <si>
    <t>Actual Return on Equity</t>
  </si>
  <si>
    <t>Item 3. b. - Average Cost of Long-Term Debt</t>
  </si>
  <si>
    <t xml:space="preserve">Beginning </t>
  </si>
  <si>
    <t>Ending</t>
  </si>
  <si>
    <t>Total Cost of Long-Term Debt</t>
  </si>
  <si>
    <t>Operating Revenue</t>
  </si>
  <si>
    <t>Less: Uncollectible Expense</t>
  </si>
  <si>
    <t>Less: PSC Assessment</t>
  </si>
  <si>
    <t>Less: Production Activities Deduction State</t>
  </si>
  <si>
    <t>State Income Tax</t>
  </si>
  <si>
    <t>Income Before Federal Income Tax</t>
  </si>
  <si>
    <t>Federal Income Tax</t>
  </si>
  <si>
    <t>Operating Income Percentage (Line 9 - Line 10)</t>
  </si>
  <si>
    <t>Gross Revenue Conversion FACTOR (Line 1 / Line 12)</t>
  </si>
  <si>
    <t>Composite Income Tax Rate (Line 7 + Line 10)</t>
  </si>
  <si>
    <t>Common Equity Gross-Up (Line 16 / (1 - Line 16))</t>
  </si>
  <si>
    <t>State</t>
  </si>
  <si>
    <t>Federal</t>
  </si>
  <si>
    <t>Line #</t>
  </si>
  <si>
    <t>Description</t>
  </si>
  <si>
    <t>Income Before State Income Tax</t>
  </si>
  <si>
    <t>Equity Gross-Up</t>
  </si>
  <si>
    <t>Adj. Cost</t>
  </si>
  <si>
    <t xml:space="preserve">Adjusted Weighted Cost of </t>
  </si>
  <si>
    <t>Capital to Reflect 21% Fed. Tax Rate</t>
  </si>
  <si>
    <t>Line</t>
  </si>
  <si>
    <t>No.</t>
  </si>
  <si>
    <t>Income Tax Rate</t>
  </si>
  <si>
    <t>21% Federal</t>
  </si>
  <si>
    <t>34% Federal</t>
  </si>
  <si>
    <t>Revenue</t>
  </si>
  <si>
    <t>Impact</t>
  </si>
  <si>
    <t>Net Investment Rate Base</t>
  </si>
  <si>
    <t>Returns Adjusted for Income Taxes</t>
  </si>
  <si>
    <t>Required Annual Operating Income Before Taxes (Line 1 x line 2)</t>
  </si>
  <si>
    <t>Amortization of Excess ADIT (Unprotected)</t>
  </si>
  <si>
    <t>Total Amortization of Excess ADIT (Line 6 + Line 7)</t>
  </si>
  <si>
    <t>Gross-Up Factor Using 21% Federal Tax Rate</t>
  </si>
  <si>
    <t>Total Reduction in Deferred Income Tax Expense (Line 9 x Line 10)</t>
  </si>
  <si>
    <t>Total Reduction in Revenue Requirements (Line 4 + Line 12)</t>
  </si>
  <si>
    <t xml:space="preserve">Delta Natural Gas Company, Inc. </t>
  </si>
  <si>
    <t>Estimated</t>
  </si>
  <si>
    <t>Cumulative</t>
  </si>
  <si>
    <t>Deferred</t>
  </si>
  <si>
    <t>New</t>
  </si>
  <si>
    <t>Remeasured</t>
  </si>
  <si>
    <t>Excess</t>
  </si>
  <si>
    <t>Timing</t>
  </si>
  <si>
    <t>Statutory</t>
  </si>
  <si>
    <t>Difference</t>
  </si>
  <si>
    <t>at New Rate</t>
  </si>
  <si>
    <t>Taxes</t>
  </si>
  <si>
    <t>1.242.13 DEF INC TAX DEFERRED GAS COST</t>
  </si>
  <si>
    <t>1.242.14 DEF INC TAX BAD DEBT RESERVE</t>
  </si>
  <si>
    <t>1.242.19 DEF INC TAX PROFESSIONAL FEES</t>
  </si>
  <si>
    <t>1.282.02 DEF INC TAX PENSION PLAN</t>
  </si>
  <si>
    <t>1.282.06 DEF INC TAX ANNUAL LEAVE PLAN</t>
  </si>
  <si>
    <t>1.283.03 DEF INC TAX SUPPLEMENTAL RETIREMENT PLAN</t>
  </si>
  <si>
    <t>1.242.16 DEF INC TAX PREPAID INS</t>
  </si>
  <si>
    <t>1.282.01 DEF INC TAX ACCEL DEPR - FEDERAL</t>
  </si>
  <si>
    <t>1.282.01 DEF INC TAX ACCEL DEPR - STATE</t>
  </si>
  <si>
    <t>1.282.07 DEF INC TAX CONSTRUCTION CONTRIBUTIONS</t>
  </si>
  <si>
    <t>1.282.10 DEF INC TAX DEBT EXPENSE</t>
  </si>
  <si>
    <t>1.282.12 DEF INC TAX STORAGE GAS</t>
  </si>
  <si>
    <t>1.282.14 DEF INC TAX ASSET RETIREMENT OBLIGATION</t>
  </si>
  <si>
    <t>1.282.18 DEF INC TAX COST OF REMOVAL</t>
  </si>
  <si>
    <t>1.283.06 DEF INC TAX ARO REG ASSET</t>
  </si>
  <si>
    <t>1.283.07 DEF INC TAX ARC DEPRECIATION</t>
  </si>
  <si>
    <t>Protected</t>
  </si>
  <si>
    <t>Unprotected</t>
  </si>
  <si>
    <t>Case No. 2018-00040</t>
  </si>
  <si>
    <t>Monthly</t>
  </si>
  <si>
    <t>Allocated</t>
  </si>
  <si>
    <t>for the 12 months</t>
  </si>
  <si>
    <t>per Customer</t>
  </si>
  <si>
    <t>Class</t>
  </si>
  <si>
    <t>Tax</t>
  </si>
  <si>
    <t>ended</t>
  </si>
  <si>
    <t>Tax Reduction</t>
  </si>
  <si>
    <t>Allocation</t>
  </si>
  <si>
    <t>Adjustment</t>
  </si>
  <si>
    <t>Residential</t>
  </si>
  <si>
    <t>Small Non-Residential</t>
  </si>
  <si>
    <t>Large Non-Residential</t>
  </si>
  <si>
    <t>Interruptible</t>
  </si>
  <si>
    <t>Rate Reduction, 15-year amortization for Unprotected Differences</t>
  </si>
  <si>
    <t>Rate Reduction, 5-year amortization for Unprotected Differences</t>
  </si>
  <si>
    <t>December 31, 2017</t>
  </si>
  <si>
    <t>Item 9</t>
  </si>
  <si>
    <t>12/31/17
Amount</t>
  </si>
  <si>
    <t xml:space="preserve">Delta Natural Gas Company </t>
  </si>
  <si>
    <t>Item 2</t>
  </si>
  <si>
    <t>Item 3</t>
  </si>
  <si>
    <t>Item 4</t>
  </si>
  <si>
    <t>Item 5</t>
  </si>
  <si>
    <t>Item 6</t>
  </si>
  <si>
    <t>Item 8</t>
  </si>
  <si>
    <t>2017 Revenue</t>
  </si>
  <si>
    <t>Schedule I</t>
  </si>
  <si>
    <t>Schedule II</t>
  </si>
  <si>
    <t>Item 10</t>
  </si>
  <si>
    <t>Revenue Impact - Rate Base and 5-year Amortization of Unprotected</t>
  </si>
  <si>
    <t>Revenue Impact - Capitalization and 15-year Amortization of Unprotected</t>
  </si>
  <si>
    <t>Revenue Impact - Capitalization and 5-year Amortization of Unprotected</t>
  </si>
  <si>
    <t>Item 11</t>
  </si>
  <si>
    <t>Impact on Customer Rates</t>
  </si>
  <si>
    <t>Calculation of Excess Deferred Income Taxes</t>
  </si>
  <si>
    <t>Weighted Cost of Capital</t>
  </si>
  <si>
    <t>Capital Structure</t>
  </si>
  <si>
    <t>Rate Base</t>
  </si>
  <si>
    <t>Amortization of Excess ADIT (Protected) - Reverse South Georgia</t>
  </si>
  <si>
    <t>Item 7</t>
  </si>
  <si>
    <t>Calculation of Amortization Period for Reverse South Georgia Method</t>
  </si>
  <si>
    <t>Captial Recovery</t>
  </si>
  <si>
    <t>% of Total</t>
  </si>
  <si>
    <t>Depreciation</t>
  </si>
  <si>
    <t>Annualized</t>
  </si>
  <si>
    <t>Remaining</t>
  </si>
  <si>
    <t>Plant Account</t>
  </si>
  <si>
    <t>Reserve</t>
  </si>
  <si>
    <t>Value</t>
  </si>
  <si>
    <t>Net Book Value</t>
  </si>
  <si>
    <t>Remaining Life</t>
  </si>
  <si>
    <t>301.00 - ORGANIZATION</t>
  </si>
  <si>
    <t>325.00 - GATHERING LAND &amp; RIGHTS</t>
  </si>
  <si>
    <t>327.00 - GATHERING COMP STAT STRUCT</t>
  </si>
  <si>
    <t>331.00 - NATURAL GAS WELL EQUIPMENT</t>
  </si>
  <si>
    <t>332.00 - GATHERING LINES</t>
  </si>
  <si>
    <t>333.00 - GATHERING COMP STAT EQUIPM</t>
  </si>
  <si>
    <t>334.00 - GATHR MEAS &amp; REGLTR STAT E</t>
  </si>
  <si>
    <t>350.01 - STORAGE LAND</t>
  </si>
  <si>
    <t>350.02 - STORAGE - RIGHT OF WAY</t>
  </si>
  <si>
    <t>350.05 - GAS RIGHTS WELLS</t>
  </si>
  <si>
    <t>351.00 - STORAGE STURCTURES &amp; IMPRO</t>
  </si>
  <si>
    <t>352.00 - STORAGE WELLS</t>
  </si>
  <si>
    <t>352.01 - STORAGE RIGHTS</t>
  </si>
  <si>
    <t>352.02 - STORAGE RESERVOIRS</t>
  </si>
  <si>
    <t>352.03 - NONRECOVERABLE NATURAL GAS</t>
  </si>
  <si>
    <t>353.00 - STORAGE LINES</t>
  </si>
  <si>
    <t>354.00 - STORAGE COMPRESSOR STATION</t>
  </si>
  <si>
    <t>355.00 - STORAGE MEASURING &amp; REGULA</t>
  </si>
  <si>
    <t>356.00 - PURIFICATION EQUIPMENT</t>
  </si>
  <si>
    <t>357.00 - STORAGE OTHER EQUIPMENT</t>
  </si>
  <si>
    <t>365.01 - TRAN LAND &amp; LAND RIGHTS</t>
  </si>
  <si>
    <t>365.02 - TRAN RIGHTS OF WAY</t>
  </si>
  <si>
    <t>365.03 - LAND RIGHTS DEPRECIABLE</t>
  </si>
  <si>
    <t>366.00 - TRAN STRUCTURES &amp; IMPROVEM</t>
  </si>
  <si>
    <t>367.00 - TRANSMISSION MAINS</t>
  </si>
  <si>
    <t xml:space="preserve">367.01 - TRANSMISSION MAINS - HP </t>
  </si>
  <si>
    <t>368.00 - TRANSM COMPRESSOR STAT EQU</t>
  </si>
  <si>
    <t>369.00 - TRANSMISSION MEAS &amp; REG EQ</t>
  </si>
  <si>
    <t>371.00 - TRANSMISSION OTHER EQUIPME</t>
  </si>
  <si>
    <t>374.00 - DISTRIBUTION RIGHT OF WAYS</t>
  </si>
  <si>
    <t>374.01 - DISTRIBUTION LAND</t>
  </si>
  <si>
    <t>375.00 - DIST STRUCTURES &amp; IMPROVEM</t>
  </si>
  <si>
    <t>376.00 - DISTRIBUTION MAINS</t>
  </si>
  <si>
    <t>378.00 - DIST GENERAL REG STATIONS</t>
  </si>
  <si>
    <t>379.00 - DIST CITY GATE REG STATION</t>
  </si>
  <si>
    <t>380.00 - DISTRIBUTION SERVICES</t>
  </si>
  <si>
    <t>381.00 - DISTRIBUTION METERS</t>
  </si>
  <si>
    <t>382.00 - DIST METER &amp; REG INSTALLAT</t>
  </si>
  <si>
    <t>383.00 - DIST REGULATORS</t>
  </si>
  <si>
    <t>385.00 - DIST INDUSTRIAL METER SET</t>
  </si>
  <si>
    <t>389.00 - GEN LAND &amp; LAND RIGHTS</t>
  </si>
  <si>
    <t>390.00 - GEN STRUCTURES &amp; IMPROVEME</t>
  </si>
  <si>
    <t>391.00 - OFFICE FURNITURE &amp; EQUIPME</t>
  </si>
  <si>
    <t>392.00 - TRANSPORTATION EQUIPMENT</t>
  </si>
  <si>
    <t>393.00 - STORES EQUIPMENT</t>
  </si>
  <si>
    <t>394.00 - TOOLS, SHOP &amp; GARAGE EQUIP</t>
  </si>
  <si>
    <t>394.01 - COMPRESSED NAT GAS STAT&amp; E</t>
  </si>
  <si>
    <t>395.00 - LABORATORY EQUIPMENT</t>
  </si>
  <si>
    <t>396.00 - POWER OPERATED EQUIPMENT</t>
  </si>
  <si>
    <t>397.00 - COMMUNICATION EQUIPMENT</t>
  </si>
  <si>
    <t>398.00 - MISCELLANEOUS EQUIPMENT</t>
  </si>
  <si>
    <t>399.01 - MAPPING COSTS</t>
  </si>
  <si>
    <t>399.02 - COMPUTER SOFTWARE</t>
  </si>
  <si>
    <t>399.03 - COMPUTER HARDWARE</t>
  </si>
  <si>
    <t>399.031 - COMPUTERIZED OFFICE EQUIP</t>
  </si>
  <si>
    <t xml:space="preserve"> Net Book</t>
  </si>
  <si>
    <t>Life (years)</t>
  </si>
  <si>
    <t>Annual Amortization (22.49 years)</t>
  </si>
  <si>
    <t>Annual Amortization (15-years)</t>
  </si>
  <si>
    <t>Annual Amortization (5-years)</t>
  </si>
  <si>
    <t>Less: Net Income from Non-Regulated Subsidiaries</t>
  </si>
  <si>
    <t>Delta Net Income Available to Common Shareholders</t>
  </si>
  <si>
    <t>Accumulated deferred income taxes on rate base items</t>
  </si>
  <si>
    <t>Interest Expense on Long-Term Debt</t>
  </si>
  <si>
    <t>Capital to Reflect 34% Fed. Tax Rate</t>
  </si>
  <si>
    <t>Revenue Impact - Rate Base and 15-year Amortization of Unprotected</t>
  </si>
  <si>
    <t>1.283.00 DEF INC TAX UNRECOVERED PENSION EXPENSE</t>
  </si>
  <si>
    <t xml:space="preserve">1.283.10 DEF INC TAX - 2005 KY RATE CHANGE </t>
  </si>
  <si>
    <t>Remeasurement of Regulatory Liability for 2005 Rate Change</t>
  </si>
  <si>
    <t>Gross excess deferred taxes on 2005 KY rate change</t>
  </si>
  <si>
    <t>Less: amortization to date</t>
  </si>
  <si>
    <t>Excess deferred taxes, net of amortization</t>
  </si>
  <si>
    <t>Regulatory liability</t>
  </si>
  <si>
    <t>(excess deferred taxes, net / (1 - 37.96%)</t>
  </si>
  <si>
    <t xml:space="preserve">Deferred income taxes on </t>
  </si>
  <si>
    <t>2005 KY reg liability, at new rates</t>
  </si>
  <si>
    <t>{2}</t>
  </si>
  <si>
    <t>see Item 8, Schedule II for calculation of deferred tax balance</t>
  </si>
  <si>
    <t xml:space="preserve">1.283.20 DEF INC TAX - 2018 FED RATE CHANGE </t>
  </si>
  <si>
    <t>Total Utility Plant</t>
  </si>
  <si>
    <t>Add:</t>
  </si>
  <si>
    <t>Asset Retirement Costs</t>
  </si>
  <si>
    <t>Acquisition Adjustments</t>
  </si>
  <si>
    <t>Construction Work in Process</t>
  </si>
  <si>
    <t>Per PSC Report 110</t>
  </si>
  <si>
    <t>{3}</t>
  </si>
  <si>
    <t>Net Income, per PSC Report page 116</t>
  </si>
  <si>
    <t>Total Deferred Taxes and Excess Deferred Taxes</t>
  </si>
  <si>
    <t># of Customers bills</t>
  </si>
  <si>
    <t>Item 3. c. - Average Cost of Short-Term Debt</t>
  </si>
  <si>
    <t xml:space="preserve">Delta had no short-term debt outstanding during 2017. </t>
  </si>
  <si>
    <t>(excess deferred taxes, net / (1 - 24.95%)</t>
  </si>
  <si>
    <t>Deferred taxes on 2018 regulatory liability =  24.95% * ( $15,061,276 / (1 - 24.95%))</t>
  </si>
  <si>
    <t>Item 5. a. - Gross Revenue Conversion Factor (34% Federal Income Tax Rate, 5% Kentucky Income Tax Rate)</t>
  </si>
  <si>
    <t>Item 5. b. - Gross Revenue Conversion Factor (21% Federal Income Tax Rate, 5% KY Income Tax Tax Rate)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</si>
</sst>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[$$-409]* #,##0_);_([$$-409]* \(#,##0\);_([$$-409]* &quot;-&quot;??_);_(@_)"/>
    <numFmt numFmtId="166" formatCode="_(* #,##0_);_(* \(#,##0\);_(* &quot;-&quot;??_);_(@_)"/>
    <numFmt numFmtId="167" formatCode="0.00000%"/>
    <numFmt numFmtId="168" formatCode="0.0%"/>
    <numFmt numFmtId="169" formatCode="0.000%"/>
    <numFmt numFmtId="170" formatCode="0.0000%"/>
    <numFmt numFmtId="171" formatCode="0.000000%"/>
    <numFmt numFmtId="172" formatCode="_(* #,##0.00000_);_(* \(#,##0.000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u val="singleAccounting"/>
      <sz val="12"/>
      <name val="Times New Roman"/>
      <family val="1"/>
    </font>
    <font>
      <u val="doubleAccounting"/>
      <sz val="12"/>
      <name val="Times New Roman"/>
      <family val="1"/>
    </font>
    <font>
      <sz val="10"/>
      <name val="Courier"/>
      <family val="3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4" tint="-0.249977111117893"/>
      <name val="Times New Roman"/>
      <family val="1"/>
    </font>
    <font>
      <b/>
      <i/>
      <sz val="12"/>
      <name val="Times New Roman"/>
      <family val="1"/>
    </font>
    <font>
      <sz val="9"/>
      <color theme="1"/>
      <name val="Times New Roman"/>
      <family val="1"/>
    </font>
    <font>
      <b/>
      <sz val="11"/>
      <color rgb="FFC00000"/>
      <name val="Times New Roman"/>
      <family val="1"/>
    </font>
    <font>
      <i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10" fillId="0" borderId="0"/>
    <xf numFmtId="0" fontId="1" fillId="0" borderId="0"/>
    <xf numFmtId="44" fontId="3" fillId="0" borderId="0" applyFont="0" applyFill="0" applyBorder="0" applyAlignment="0" applyProtection="0"/>
    <xf numFmtId="37" fontId="7" fillId="0" borderId="0"/>
    <xf numFmtId="37" fontId="7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185">
    <xf numFmtId="0" fontId="0" fillId="0" borderId="0" xfId="0"/>
    <xf numFmtId="0" fontId="2" fillId="0" borderId="0" xfId="4"/>
    <xf numFmtId="166" fontId="4" fillId="0" borderId="0" xfId="5" applyNumberFormat="1" applyFont="1"/>
    <xf numFmtId="166" fontId="5" fillId="0" borderId="0" xfId="5" applyNumberFormat="1" applyFont="1"/>
    <xf numFmtId="43" fontId="5" fillId="0" borderId="0" xfId="5" applyFont="1" applyAlignment="1">
      <alignment horizontal="center" wrapText="1"/>
    </xf>
    <xf numFmtId="166" fontId="5" fillId="0" borderId="0" xfId="5" applyNumberFormat="1" applyFont="1" applyAlignment="1">
      <alignment horizontal="center" wrapText="1"/>
    </xf>
    <xf numFmtId="43" fontId="5" fillId="0" borderId="0" xfId="5" applyFont="1"/>
    <xf numFmtId="166" fontId="4" fillId="0" borderId="0" xfId="5" applyNumberFormat="1" applyFont="1" applyBorder="1"/>
    <xf numFmtId="166" fontId="4" fillId="0" borderId="0" xfId="5" applyNumberFormat="1" applyFont="1" applyFill="1"/>
    <xf numFmtId="166" fontId="5" fillId="0" borderId="0" xfId="5" applyNumberFormat="1" applyFont="1" applyFill="1"/>
    <xf numFmtId="0" fontId="4" fillId="0" borderId="0" xfId="10" applyFont="1"/>
    <xf numFmtId="0" fontId="4" fillId="0" borderId="0" xfId="10" applyFont="1" applyAlignment="1">
      <alignment horizontal="center"/>
    </xf>
    <xf numFmtId="0" fontId="4" fillId="0" borderId="0" xfId="10" applyFont="1" applyFill="1" applyAlignment="1">
      <alignment horizontal="center"/>
    </xf>
    <xf numFmtId="0" fontId="4" fillId="0" borderId="0" xfId="10" applyFont="1" applyFill="1"/>
    <xf numFmtId="166" fontId="6" fillId="0" borderId="0" xfId="5" applyNumberFormat="1" applyFont="1" applyFill="1"/>
    <xf numFmtId="166" fontId="4" fillId="0" borderId="0" xfId="5" applyNumberFormat="1" applyFont="1" applyFill="1"/>
    <xf numFmtId="0" fontId="11" fillId="0" borderId="0" xfId="0" applyFont="1"/>
    <xf numFmtId="0" fontId="4" fillId="0" borderId="0" xfId="4" applyFont="1"/>
    <xf numFmtId="166" fontId="4" fillId="0" borderId="0" xfId="5" applyNumberFormat="1" applyFont="1"/>
    <xf numFmtId="166" fontId="5" fillId="0" borderId="0" xfId="5" applyNumberFormat="1" applyFont="1"/>
    <xf numFmtId="166" fontId="6" fillId="0" borderId="0" xfId="5" applyNumberFormat="1" applyFont="1"/>
    <xf numFmtId="169" fontId="6" fillId="0" borderId="0" xfId="6" applyNumberFormat="1" applyFont="1"/>
    <xf numFmtId="0" fontId="4" fillId="0" borderId="0" xfId="4" applyFont="1" applyAlignment="1">
      <alignment horizontal="center"/>
    </xf>
    <xf numFmtId="169" fontId="4" fillId="0" borderId="0" xfId="6" applyNumberFormat="1" applyFont="1"/>
    <xf numFmtId="166" fontId="5" fillId="0" borderId="0" xfId="5" applyNumberFormat="1" applyFont="1" applyFill="1"/>
    <xf numFmtId="169" fontId="4" fillId="0" borderId="0" xfId="4" applyNumberFormat="1" applyFont="1"/>
    <xf numFmtId="0" fontId="9" fillId="0" borderId="0" xfId="0" applyFont="1"/>
    <xf numFmtId="166" fontId="9" fillId="0" borderId="0" xfId="12" applyNumberFormat="1" applyFont="1" applyBorder="1"/>
    <xf numFmtId="166" fontId="11" fillId="0" borderId="0" xfId="1" applyNumberFormat="1" applyFont="1"/>
    <xf numFmtId="10" fontId="11" fillId="0" borderId="0" xfId="3" applyNumberFormat="1" applyFont="1"/>
    <xf numFmtId="166" fontId="9" fillId="0" borderId="0" xfId="1" applyNumberFormat="1" applyFont="1"/>
    <xf numFmtId="10" fontId="9" fillId="0" borderId="0" xfId="3" applyNumberFormat="1" applyFont="1"/>
    <xf numFmtId="0" fontId="9" fillId="0" borderId="0" xfId="0" applyFont="1" applyAlignment="1">
      <alignment horizontal="center"/>
    </xf>
    <xf numFmtId="166" fontId="9" fillId="0" borderId="1" xfId="1" applyNumberFormat="1" applyFont="1" applyBorder="1"/>
    <xf numFmtId="166" fontId="4" fillId="0" borderId="0" xfId="1" applyNumberFormat="1" applyFont="1"/>
    <xf numFmtId="166" fontId="4" fillId="0" borderId="1" xfId="1" applyNumberFormat="1" applyFont="1" applyBorder="1"/>
    <xf numFmtId="170" fontId="4" fillId="0" borderId="0" xfId="3" applyNumberFormat="1" applyFont="1"/>
    <xf numFmtId="170" fontId="9" fillId="0" borderId="0" xfId="3" applyNumberFormat="1" applyFont="1"/>
    <xf numFmtId="0" fontId="12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4" fontId="12" fillId="0" borderId="1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4" fontId="13" fillId="0" borderId="1" xfId="0" applyNumberFormat="1" applyFont="1" applyBorder="1" applyAlignment="1">
      <alignment horizontal="center"/>
    </xf>
    <xf numFmtId="165" fontId="9" fillId="0" borderId="0" xfId="3" applyNumberFormat="1" applyFont="1"/>
    <xf numFmtId="167" fontId="9" fillId="0" borderId="0" xfId="3" applyNumberFormat="1" applyFont="1"/>
    <xf numFmtId="0" fontId="9" fillId="0" borderId="2" xfId="0" applyFont="1" applyBorder="1"/>
    <xf numFmtId="164" fontId="9" fillId="0" borderId="2" xfId="2" applyNumberFormat="1" applyFont="1" applyBorder="1"/>
    <xf numFmtId="10" fontId="9" fillId="0" borderId="2" xfId="3" applyNumberFormat="1" applyFont="1" applyBorder="1"/>
    <xf numFmtId="167" fontId="9" fillId="0" borderId="2" xfId="3" applyNumberFormat="1" applyFont="1" applyBorder="1"/>
    <xf numFmtId="170" fontId="9" fillId="0" borderId="0" xfId="3" applyNumberFormat="1" applyFont="1" applyFill="1"/>
    <xf numFmtId="0" fontId="12" fillId="0" borderId="0" xfId="0" applyFont="1"/>
    <xf numFmtId="0" fontId="13" fillId="0" borderId="3" xfId="0" applyFont="1" applyBorder="1" applyAlignment="1">
      <alignment horizontal="center"/>
    </xf>
    <xf numFmtId="0" fontId="13" fillId="0" borderId="0" xfId="0" applyFont="1"/>
    <xf numFmtId="170" fontId="9" fillId="0" borderId="2" xfId="3" applyNumberFormat="1" applyFont="1" applyBorder="1"/>
    <xf numFmtId="0" fontId="9" fillId="0" borderId="1" xfId="0" applyFont="1" applyBorder="1" applyAlignment="1">
      <alignment horizontal="center"/>
    </xf>
    <xf numFmtId="171" fontId="9" fillId="0" borderId="0" xfId="3" applyNumberFormat="1" applyFont="1"/>
    <xf numFmtId="170" fontId="9" fillId="0" borderId="1" xfId="3" applyNumberFormat="1" applyFont="1" applyFill="1" applyBorder="1"/>
    <xf numFmtId="170" fontId="9" fillId="0" borderId="0" xfId="0" applyNumberFormat="1" applyFont="1"/>
    <xf numFmtId="0" fontId="11" fillId="0" borderId="0" xfId="0" applyFont="1" applyFill="1"/>
    <xf numFmtId="0" fontId="14" fillId="0" borderId="0" xfId="0" applyFont="1"/>
    <xf numFmtId="1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14" fontId="12" fillId="0" borderId="0" xfId="0" applyNumberFormat="1" applyFont="1" applyBorder="1" applyAlignment="1">
      <alignment horizontal="center"/>
    </xf>
    <xf numFmtId="0" fontId="14" fillId="0" borderId="0" xfId="0" applyFont="1" applyBorder="1"/>
    <xf numFmtId="166" fontId="11" fillId="0" borderId="0" xfId="1" applyNumberFormat="1" applyFont="1" applyBorder="1"/>
    <xf numFmtId="166" fontId="11" fillId="0" borderId="0" xfId="0" applyNumberFormat="1" applyFont="1"/>
    <xf numFmtId="166" fontId="11" fillId="0" borderId="0" xfId="1" applyNumberFormat="1" applyFont="1" applyFill="1"/>
    <xf numFmtId="166" fontId="11" fillId="0" borderId="1" xfId="1" applyNumberFormat="1" applyFont="1" applyBorder="1"/>
    <xf numFmtId="10" fontId="11" fillId="0" borderId="1" xfId="3" applyNumberFormat="1" applyFont="1" applyBorder="1"/>
    <xf numFmtId="166" fontId="12" fillId="0" borderId="0" xfId="0" applyNumberFormat="1" applyFont="1" applyBorder="1" applyAlignment="1">
      <alignment horizontal="center"/>
    </xf>
    <xf numFmtId="0" fontId="11" fillId="0" borderId="0" xfId="0" applyFont="1" applyFill="1" applyBorder="1"/>
    <xf numFmtId="10" fontId="11" fillId="0" borderId="0" xfId="3" applyNumberFormat="1" applyFont="1" applyBorder="1"/>
    <xf numFmtId="166" fontId="11" fillId="0" borderId="0" xfId="0" applyNumberFormat="1" applyFont="1" applyBorder="1"/>
    <xf numFmtId="166" fontId="11" fillId="0" borderId="1" xfId="0" applyNumberFormat="1" applyFont="1" applyBorder="1"/>
    <xf numFmtId="166" fontId="12" fillId="0" borderId="0" xfId="1" applyNumberFormat="1" applyFont="1"/>
    <xf numFmtId="0" fontId="12" fillId="0" borderId="0" xfId="0" applyFont="1" applyAlignment="1">
      <alignment horizontal="right"/>
    </xf>
    <xf numFmtId="166" fontId="12" fillId="0" borderId="0" xfId="0" applyNumberFormat="1" applyFont="1" applyAlignment="1">
      <alignment horizontal="right"/>
    </xf>
    <xf numFmtId="165" fontId="9" fillId="0" borderId="0" xfId="1" applyNumberFormat="1" applyFont="1"/>
    <xf numFmtId="167" fontId="9" fillId="0" borderId="1" xfId="3" applyNumberFormat="1" applyFont="1" applyBorder="1"/>
    <xf numFmtId="164" fontId="9" fillId="0" borderId="0" xfId="2" applyNumberFormat="1" applyFont="1"/>
    <xf numFmtId="164" fontId="9" fillId="0" borderId="0" xfId="0" applyNumberFormat="1" applyFont="1"/>
    <xf numFmtId="164" fontId="9" fillId="0" borderId="4" xfId="0" applyNumberFormat="1" applyFont="1" applyBorder="1"/>
    <xf numFmtId="0" fontId="15" fillId="0" borderId="0" xfId="0" applyFont="1"/>
    <xf numFmtId="0" fontId="9" fillId="0" borderId="0" xfId="0" applyFont="1" applyAlignment="1">
      <alignment horizontal="right"/>
    </xf>
    <xf numFmtId="166" fontId="13" fillId="0" borderId="0" xfId="1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quotePrefix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1" xfId="0" quotePrefix="1" applyFont="1" applyFill="1" applyBorder="1" applyAlignment="1">
      <alignment horizontal="center"/>
    </xf>
    <xf numFmtId="0" fontId="9" fillId="0" borderId="0" xfId="0" applyFont="1" applyFill="1"/>
    <xf numFmtId="0" fontId="9" fillId="0" borderId="0" xfId="0" applyFont="1" applyFill="1" applyAlignment="1">
      <alignment horizontal="right"/>
    </xf>
    <xf numFmtId="168" fontId="9" fillId="0" borderId="0" xfId="3" applyNumberFormat="1" applyFont="1" applyFill="1"/>
    <xf numFmtId="164" fontId="9" fillId="0" borderId="0" xfId="0" applyNumberFormat="1" applyFont="1" applyFill="1"/>
    <xf numFmtId="44" fontId="9" fillId="0" borderId="0" xfId="0" applyNumberFormat="1" applyFont="1" applyFill="1"/>
    <xf numFmtId="43" fontId="9" fillId="0" borderId="0" xfId="0" applyNumberFormat="1" applyFont="1"/>
    <xf numFmtId="164" fontId="9" fillId="0" borderId="0" xfId="1" applyNumberFormat="1" applyFont="1" applyFill="1"/>
    <xf numFmtId="43" fontId="9" fillId="0" borderId="0" xfId="1" applyFont="1" applyFill="1"/>
    <xf numFmtId="164" fontId="9" fillId="0" borderId="0" xfId="1" applyNumberFormat="1" applyFont="1" applyFill="1" applyBorder="1"/>
    <xf numFmtId="43" fontId="9" fillId="0" borderId="0" xfId="1" applyFont="1" applyFill="1" applyBorder="1"/>
    <xf numFmtId="164" fontId="9" fillId="0" borderId="1" xfId="1" applyNumberFormat="1" applyFont="1" applyFill="1" applyBorder="1"/>
    <xf numFmtId="43" fontId="9" fillId="0" borderId="1" xfId="1" applyFont="1" applyFill="1" applyBorder="1"/>
    <xf numFmtId="164" fontId="9" fillId="0" borderId="0" xfId="2" applyNumberFormat="1" applyFont="1" applyFill="1"/>
    <xf numFmtId="166" fontId="9" fillId="0" borderId="0" xfId="1" applyNumberFormat="1" applyFont="1" applyFill="1"/>
    <xf numFmtId="0" fontId="13" fillId="0" borderId="0" xfId="0" applyFont="1" applyAlignment="1">
      <alignment horizontal="center"/>
    </xf>
    <xf numFmtId="164" fontId="16" fillId="0" borderId="0" xfId="2" applyNumberFormat="1" applyFont="1" applyFill="1"/>
    <xf numFmtId="166" fontId="16" fillId="0" borderId="0" xfId="1" applyNumberFormat="1" applyFont="1" applyFill="1"/>
    <xf numFmtId="166" fontId="16" fillId="0" borderId="0" xfId="1" applyNumberFormat="1" applyFont="1" applyFill="1" applyBorder="1"/>
    <xf numFmtId="166" fontId="16" fillId="0" borderId="1" xfId="1" applyNumberFormat="1" applyFont="1" applyFill="1" applyBorder="1"/>
    <xf numFmtId="0" fontId="8" fillId="0" borderId="0" xfId="10" applyFont="1"/>
    <xf numFmtId="164" fontId="4" fillId="0" borderId="0" xfId="2" applyNumberFormat="1" applyFont="1" applyFill="1"/>
    <xf numFmtId="166" fontId="4" fillId="0" borderId="0" xfId="1" applyNumberFormat="1" applyFont="1" applyFill="1"/>
    <xf numFmtId="166" fontId="4" fillId="0" borderId="0" xfId="1" applyNumberFormat="1" applyFont="1" applyFill="1" applyBorder="1"/>
    <xf numFmtId="166" fontId="4" fillId="0" borderId="1" xfId="1" applyNumberFormat="1" applyFont="1" applyFill="1" applyBorder="1"/>
    <xf numFmtId="168" fontId="9" fillId="0" borderId="0" xfId="3" applyNumberFormat="1" applyFont="1" applyFill="1" applyBorder="1"/>
    <xf numFmtId="168" fontId="9" fillId="0" borderId="1" xfId="3" applyNumberFormat="1" applyFont="1" applyFill="1" applyBorder="1"/>
    <xf numFmtId="0" fontId="4" fillId="0" borderId="0" xfId="4" applyFont="1" applyAlignment="1">
      <alignment horizontal="left" indent="2"/>
    </xf>
    <xf numFmtId="0" fontId="17" fillId="0" borderId="0" xfId="10" applyFont="1"/>
    <xf numFmtId="0" fontId="17" fillId="0" borderId="0" xfId="4" applyFont="1"/>
    <xf numFmtId="166" fontId="8" fillId="0" borderId="0" xfId="1" applyNumberFormat="1" applyFont="1" applyBorder="1"/>
    <xf numFmtId="166" fontId="8" fillId="0" borderId="0" xfId="1" applyNumberFormat="1" applyFont="1" applyBorder="1" applyAlignment="1">
      <alignment horizontal="center"/>
    </xf>
    <xf numFmtId="10" fontId="8" fillId="0" borderId="0" xfId="3" applyNumberFormat="1" applyFont="1" applyBorder="1"/>
    <xf numFmtId="10" fontId="8" fillId="0" borderId="0" xfId="3" applyNumberFormat="1" applyFont="1" applyBorder="1" applyAlignment="1">
      <alignment horizontal="center"/>
    </xf>
    <xf numFmtId="0" fontId="8" fillId="0" borderId="0" xfId="0" applyFont="1"/>
    <xf numFmtId="166" fontId="8" fillId="0" borderId="1" xfId="1" applyNumberFormat="1" applyFont="1" applyBorder="1" applyAlignment="1">
      <alignment horizontal="center"/>
    </xf>
    <xf numFmtId="10" fontId="8" fillId="0" borderId="1" xfId="3" applyNumberFormat="1" applyFont="1" applyBorder="1" applyAlignment="1">
      <alignment horizontal="center"/>
    </xf>
    <xf numFmtId="43" fontId="9" fillId="0" borderId="0" xfId="1" applyFont="1"/>
    <xf numFmtId="10" fontId="9" fillId="0" borderId="0" xfId="3" applyNumberFormat="1" applyFont="1" applyFill="1"/>
    <xf numFmtId="0" fontId="9" fillId="0" borderId="0" xfId="0" applyFont="1" applyFill="1" applyBorder="1"/>
    <xf numFmtId="166" fontId="9" fillId="0" borderId="0" xfId="1" applyNumberFormat="1" applyFont="1" applyFill="1" applyBorder="1"/>
    <xf numFmtId="166" fontId="9" fillId="0" borderId="0" xfId="1" applyNumberFormat="1" applyFont="1" applyBorder="1"/>
    <xf numFmtId="10" fontId="9" fillId="0" borderId="0" xfId="3" applyNumberFormat="1" applyFont="1" applyBorder="1"/>
    <xf numFmtId="43" fontId="9" fillId="0" borderId="0" xfId="1" applyFont="1" applyBorder="1"/>
    <xf numFmtId="0" fontId="9" fillId="0" borderId="1" xfId="0" applyFont="1" applyFill="1" applyBorder="1"/>
    <xf numFmtId="166" fontId="9" fillId="0" borderId="1" xfId="1" applyNumberFormat="1" applyFont="1" applyFill="1" applyBorder="1"/>
    <xf numFmtId="10" fontId="9" fillId="0" borderId="1" xfId="3" applyNumberFormat="1" applyFont="1" applyBorder="1"/>
    <xf numFmtId="43" fontId="9" fillId="0" borderId="1" xfId="1" applyFont="1" applyBorder="1"/>
    <xf numFmtId="166" fontId="8" fillId="0" borderId="0" xfId="1" applyNumberFormat="1" applyFont="1"/>
    <xf numFmtId="43" fontId="8" fillId="0" borderId="0" xfId="1" applyFont="1"/>
    <xf numFmtId="166" fontId="8" fillId="0" borderId="0" xfId="1" applyNumberFormat="1" applyFont="1" applyAlignment="1">
      <alignment horizontal="center"/>
    </xf>
    <xf numFmtId="10" fontId="8" fillId="0" borderId="0" xfId="3" applyNumberFormat="1" applyFont="1" applyAlignment="1">
      <alignment horizontal="center"/>
    </xf>
    <xf numFmtId="0" fontId="9" fillId="0" borderId="0" xfId="0" applyFont="1" applyBorder="1"/>
    <xf numFmtId="172" fontId="9" fillId="0" borderId="0" xfId="1" applyNumberFormat="1" applyFont="1"/>
    <xf numFmtId="9" fontId="9" fillId="0" borderId="0" xfId="3" applyFont="1"/>
    <xf numFmtId="0" fontId="11" fillId="0" borderId="1" xfId="0" applyFont="1" applyBorder="1" applyAlignment="1">
      <alignment horizontal="center"/>
    </xf>
    <xf numFmtId="166" fontId="9" fillId="0" borderId="0" xfId="12" applyNumberFormat="1" applyFont="1"/>
    <xf numFmtId="166" fontId="9" fillId="0" borderId="1" xfId="12" applyNumberFormat="1" applyFont="1" applyBorder="1"/>
    <xf numFmtId="0" fontId="9" fillId="0" borderId="0" xfId="0" applyFont="1" applyAlignment="1">
      <alignment horizontal="left" indent="2"/>
    </xf>
    <xf numFmtId="0" fontId="9" fillId="0" borderId="0" xfId="0" applyFont="1" applyAlignment="1">
      <alignment horizontal="left" indent="1"/>
    </xf>
    <xf numFmtId="166" fontId="9" fillId="0" borderId="0" xfId="0" applyNumberFormat="1" applyFont="1"/>
    <xf numFmtId="166" fontId="4" fillId="0" borderId="0" xfId="1" applyNumberFormat="1" applyFont="1" applyAlignment="1">
      <alignment horizontal="center"/>
    </xf>
    <xf numFmtId="0" fontId="9" fillId="0" borderId="1" xfId="0" applyFont="1" applyBorder="1"/>
    <xf numFmtId="166" fontId="9" fillId="0" borderId="1" xfId="0" applyNumberFormat="1" applyFont="1" applyBorder="1"/>
    <xf numFmtId="0" fontId="18" fillId="0" borderId="0" xfId="0" applyFont="1" applyAlignment="1">
      <alignment horizontal="center"/>
    </xf>
    <xf numFmtId="166" fontId="11" fillId="0" borderId="0" xfId="1" applyNumberFormat="1" applyFont="1" applyFill="1" applyBorder="1"/>
    <xf numFmtId="166" fontId="11" fillId="0" borderId="1" xfId="1" applyNumberFormat="1" applyFont="1" applyFill="1" applyBorder="1"/>
    <xf numFmtId="166" fontId="11" fillId="0" borderId="0" xfId="0" applyNumberFormat="1" applyFont="1" applyFill="1" applyBorder="1"/>
    <xf numFmtId="0" fontId="12" fillId="0" borderId="0" xfId="0" applyFont="1" applyFill="1" applyBorder="1" applyAlignment="1">
      <alignment horizontal="center"/>
    </xf>
    <xf numFmtId="166" fontId="12" fillId="0" borderId="0" xfId="0" applyNumberFormat="1" applyFont="1" applyFill="1" applyBorder="1" applyAlignment="1">
      <alignment horizontal="center"/>
    </xf>
    <xf numFmtId="166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66" fontId="12" fillId="0" borderId="0" xfId="1" applyNumberFormat="1" applyFont="1" applyFill="1"/>
    <xf numFmtId="10" fontId="19" fillId="0" borderId="0" xfId="3" applyNumberFormat="1" applyFont="1" applyBorder="1" applyAlignment="1">
      <alignment horizontal="center"/>
    </xf>
    <xf numFmtId="43" fontId="11" fillId="0" borderId="0" xfId="0" applyNumberFormat="1" applyFont="1"/>
    <xf numFmtId="10" fontId="19" fillId="0" borderId="1" xfId="3" applyNumberFormat="1" applyFont="1" applyBorder="1" applyAlignment="1">
      <alignment horizontal="center"/>
    </xf>
    <xf numFmtId="10" fontId="19" fillId="0" borderId="0" xfId="3" applyNumberFormat="1" applyFont="1" applyBorder="1" applyAlignment="1">
      <alignment horizontal="right"/>
    </xf>
    <xf numFmtId="166" fontId="12" fillId="0" borderId="2" xfId="0" applyNumberFormat="1" applyFont="1" applyBorder="1" applyAlignment="1">
      <alignment horizontal="right"/>
    </xf>
    <xf numFmtId="0" fontId="12" fillId="0" borderId="2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66" fontId="14" fillId="0" borderId="0" xfId="0" applyNumberFormat="1" applyFont="1" applyFill="1" applyBorder="1" applyAlignment="1">
      <alignment horizontal="right"/>
    </xf>
    <xf numFmtId="166" fontId="14" fillId="0" borderId="0" xfId="0" applyNumberFormat="1" applyFont="1" applyBorder="1" applyAlignment="1">
      <alignment horizontal="center"/>
    </xf>
    <xf numFmtId="0" fontId="20" fillId="0" borderId="0" xfId="0" applyFont="1" applyBorder="1"/>
    <xf numFmtId="0" fontId="14" fillId="0" borderId="0" xfId="0" applyFont="1" applyAlignment="1">
      <alignment horizontal="right"/>
    </xf>
    <xf numFmtId="166" fontId="14" fillId="0" borderId="0" xfId="0" applyNumberFormat="1" applyFont="1" applyAlignment="1">
      <alignment horizontal="right"/>
    </xf>
    <xf numFmtId="0" fontId="8" fillId="0" borderId="0" xfId="4" applyFont="1" applyAlignment="1">
      <alignment horizontal="center"/>
    </xf>
    <xf numFmtId="0" fontId="4" fillId="0" borderId="1" xfId="4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14" fontId="8" fillId="0" borderId="1" xfId="1" applyNumberFormat="1" applyFont="1" applyBorder="1" applyAlignment="1">
      <alignment horizontal="center"/>
    </xf>
  </cellXfs>
  <cellStyles count="21">
    <cellStyle name="Comma" xfId="1" builtinId="3"/>
    <cellStyle name="Comma 2" xfId="8"/>
    <cellStyle name="Comma 2 2" xfId="20"/>
    <cellStyle name="Comma 3" xfId="12"/>
    <cellStyle name="Comma 4" xfId="5"/>
    <cellStyle name="Currency" xfId="2" builtinId="4"/>
    <cellStyle name="Currency 2" xfId="15"/>
    <cellStyle name="Currency 3" xfId="18"/>
    <cellStyle name="Normal" xfId="0" builtinId="0"/>
    <cellStyle name="Normal 2" xfId="7"/>
    <cellStyle name="Normal 2 2" xfId="13"/>
    <cellStyle name="Normal 2 3" xfId="19"/>
    <cellStyle name="Normal 3" xfId="10"/>
    <cellStyle name="Normal 4" xfId="11"/>
    <cellStyle name="Normal 5" xfId="14"/>
    <cellStyle name="Normal 6" xfId="4"/>
    <cellStyle name="Normal 86" xfId="16"/>
    <cellStyle name="Normal 86 2" xfId="17"/>
    <cellStyle name="Percent" xfId="3" builtinId="5"/>
    <cellStyle name="Percent 2" xfId="9"/>
    <cellStyle name="Percent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workbookViewId="0">
      <selection activeCell="N8" sqref="N8"/>
    </sheetView>
  </sheetViews>
  <sheetFormatPr defaultRowHeight="15" x14ac:dyDescent="0.25"/>
  <cols>
    <col min="2" max="2" width="5.5703125" customWidth="1"/>
    <col min="3" max="4" width="2.5703125" customWidth="1"/>
    <col min="7" max="7" width="19.42578125" customWidth="1"/>
    <col min="9" max="9" width="17.28515625" bestFit="1" customWidth="1"/>
  </cols>
  <sheetData>
    <row r="1" spans="1:9" ht="15.75" x14ac:dyDescent="0.25">
      <c r="A1" s="111" t="s">
        <v>124</v>
      </c>
    </row>
    <row r="2" spans="1:9" ht="15.75" x14ac:dyDescent="0.25">
      <c r="A2" s="111" t="s">
        <v>104</v>
      </c>
    </row>
    <row r="3" spans="1:9" ht="15.75" x14ac:dyDescent="0.25">
      <c r="A3" s="111" t="s">
        <v>125</v>
      </c>
    </row>
    <row r="4" spans="1:9" ht="15.75" x14ac:dyDescent="0.25">
      <c r="A4" s="119" t="s">
        <v>143</v>
      </c>
    </row>
    <row r="5" spans="1:9" ht="15.75" x14ac:dyDescent="0.25">
      <c r="A5" s="111"/>
    </row>
    <row r="7" spans="1:9" ht="36" x14ac:dyDescent="0.4">
      <c r="A7" s="4" t="s">
        <v>16</v>
      </c>
      <c r="B7" s="6"/>
      <c r="C7" s="6"/>
      <c r="D7" s="6"/>
      <c r="E7" s="6"/>
      <c r="F7" s="6"/>
      <c r="G7" s="6"/>
      <c r="I7" s="5" t="s">
        <v>123</v>
      </c>
    </row>
    <row r="8" spans="1:9" ht="18" x14ac:dyDescent="0.4">
      <c r="A8" s="11">
        <v>1</v>
      </c>
      <c r="B8" s="10" t="s">
        <v>17</v>
      </c>
      <c r="C8" s="1"/>
      <c r="D8" s="1"/>
      <c r="E8" s="1"/>
      <c r="F8" s="1"/>
      <c r="G8" s="1"/>
      <c r="I8" s="24">
        <v>248831458</v>
      </c>
    </row>
    <row r="9" spans="1:9" x14ac:dyDescent="0.25">
      <c r="A9" s="1"/>
      <c r="B9" s="1"/>
      <c r="C9" s="1"/>
      <c r="D9" s="1"/>
      <c r="E9" s="1"/>
      <c r="F9" s="1"/>
      <c r="G9" s="1"/>
      <c r="I9" s="1"/>
    </row>
    <row r="10" spans="1:9" ht="15.75" x14ac:dyDescent="0.25">
      <c r="A10" s="11">
        <v>2</v>
      </c>
      <c r="B10" s="10" t="s">
        <v>18</v>
      </c>
      <c r="C10" s="1"/>
      <c r="D10" s="10" t="s">
        <v>19</v>
      </c>
      <c r="E10" s="1"/>
      <c r="F10" s="1"/>
      <c r="G10" s="1"/>
      <c r="I10" s="2">
        <v>601873.09230769228</v>
      </c>
    </row>
    <row r="11" spans="1:9" ht="18" x14ac:dyDescent="0.4">
      <c r="A11" s="1"/>
      <c r="B11" s="1"/>
      <c r="C11" s="1"/>
      <c r="D11" s="1"/>
      <c r="E11" s="1"/>
      <c r="F11" s="1"/>
      <c r="G11" s="1"/>
      <c r="I11" s="3"/>
    </row>
    <row r="12" spans="1:9" ht="15.75" x14ac:dyDescent="0.25">
      <c r="A12" s="11">
        <v>3</v>
      </c>
      <c r="B12" s="1"/>
      <c r="C12" s="1"/>
      <c r="D12" s="10" t="s">
        <v>20</v>
      </c>
      <c r="E12" s="1"/>
      <c r="F12" s="1"/>
      <c r="G12" s="1"/>
      <c r="I12" s="2">
        <v>1606090.5807692308</v>
      </c>
    </row>
    <row r="13" spans="1:9" x14ac:dyDescent="0.25">
      <c r="A13" s="1"/>
      <c r="B13" s="1"/>
      <c r="C13" s="1"/>
      <c r="D13" s="1"/>
      <c r="E13" s="1"/>
      <c r="F13" s="1"/>
      <c r="G13" s="1"/>
      <c r="I13" s="1"/>
    </row>
    <row r="14" spans="1:9" ht="15.75" x14ac:dyDescent="0.25">
      <c r="A14" s="11">
        <v>4</v>
      </c>
      <c r="B14" s="1"/>
      <c r="C14" s="1"/>
      <c r="D14" s="1"/>
      <c r="E14" s="10" t="s">
        <v>21</v>
      </c>
      <c r="F14" s="1"/>
      <c r="G14" s="1"/>
      <c r="I14" s="15">
        <v>-50734.923076923078</v>
      </c>
    </row>
    <row r="15" spans="1:9" x14ac:dyDescent="0.25">
      <c r="A15" s="1"/>
      <c r="B15" s="1"/>
      <c r="C15" s="1"/>
      <c r="D15" s="1"/>
      <c r="E15" s="1"/>
      <c r="F15" s="1"/>
      <c r="G15" s="1"/>
      <c r="I15" s="1"/>
    </row>
    <row r="16" spans="1:9" ht="15.75" x14ac:dyDescent="0.25">
      <c r="A16" s="11">
        <v>5</v>
      </c>
      <c r="B16" s="1"/>
      <c r="C16" s="1"/>
      <c r="D16" s="10" t="s">
        <v>22</v>
      </c>
      <c r="E16" s="1"/>
      <c r="F16" s="1"/>
      <c r="G16" s="1"/>
      <c r="I16" s="2">
        <v>2649117.5238461541</v>
      </c>
    </row>
    <row r="17" spans="1:9" x14ac:dyDescent="0.25">
      <c r="A17" s="1"/>
      <c r="B17" s="1"/>
      <c r="C17" s="1"/>
      <c r="D17" s="1"/>
      <c r="E17" s="1"/>
      <c r="F17" s="1"/>
      <c r="G17" s="1"/>
      <c r="I17" s="1"/>
    </row>
    <row r="18" spans="1:9" ht="15.75" x14ac:dyDescent="0.25">
      <c r="A18" s="11">
        <v>6</v>
      </c>
      <c r="B18" s="1"/>
      <c r="C18" s="1"/>
      <c r="D18" s="10" t="s">
        <v>23</v>
      </c>
      <c r="E18" s="1"/>
      <c r="F18" s="1"/>
      <c r="G18" s="1"/>
      <c r="I18" s="7">
        <v>2427460</v>
      </c>
    </row>
    <row r="19" spans="1:9" ht="18" x14ac:dyDescent="0.4">
      <c r="A19" s="1"/>
      <c r="B19" s="1"/>
      <c r="C19" s="1"/>
      <c r="D19" s="1"/>
      <c r="E19" s="1"/>
      <c r="F19" s="1"/>
      <c r="G19" s="1"/>
      <c r="I19" s="3"/>
    </row>
    <row r="20" spans="1:9" ht="18" x14ac:dyDescent="0.4">
      <c r="A20" s="11">
        <v>7</v>
      </c>
      <c r="B20" s="1"/>
      <c r="C20" s="1"/>
      <c r="D20" s="10" t="s">
        <v>24</v>
      </c>
      <c r="E20" s="1"/>
      <c r="F20" s="1"/>
      <c r="G20" s="1"/>
      <c r="I20" s="24">
        <f>(12327787+790741)/8</f>
        <v>1639816</v>
      </c>
    </row>
    <row r="21" spans="1:9" ht="15.75" x14ac:dyDescent="0.25">
      <c r="A21" s="12"/>
      <c r="B21" s="13"/>
      <c r="C21" s="13"/>
      <c r="D21" s="13"/>
      <c r="E21" s="13"/>
      <c r="F21" s="13"/>
      <c r="G21" s="13"/>
      <c r="I21" s="8"/>
    </row>
    <row r="22" spans="1:9" ht="18" x14ac:dyDescent="0.4">
      <c r="A22" s="12">
        <v>8</v>
      </c>
      <c r="B22" s="13"/>
      <c r="C22" s="13"/>
      <c r="D22" s="13"/>
      <c r="E22" s="13" t="s">
        <v>25</v>
      </c>
      <c r="F22" s="13"/>
      <c r="G22" s="13"/>
      <c r="I22" s="9">
        <f>SUM(I8:I20)</f>
        <v>257705080.27384615</v>
      </c>
    </row>
    <row r="23" spans="1:9" ht="15.75" x14ac:dyDescent="0.25">
      <c r="A23" s="12"/>
      <c r="B23" s="13"/>
      <c r="C23" s="13"/>
      <c r="D23" s="13"/>
      <c r="E23" s="13"/>
      <c r="F23" s="13"/>
      <c r="G23" s="13"/>
      <c r="I23" s="8"/>
    </row>
    <row r="24" spans="1:9" ht="15.75" x14ac:dyDescent="0.25">
      <c r="A24" s="12">
        <v>9</v>
      </c>
      <c r="B24" s="13" t="s">
        <v>26</v>
      </c>
      <c r="C24" s="13"/>
      <c r="D24" s="13" t="s">
        <v>27</v>
      </c>
      <c r="E24" s="13"/>
      <c r="F24" s="13"/>
      <c r="G24" s="13"/>
      <c r="I24" s="8">
        <v>-109174722</v>
      </c>
    </row>
    <row r="25" spans="1:9" ht="18" x14ac:dyDescent="0.4">
      <c r="A25" s="12"/>
      <c r="B25" s="13"/>
      <c r="C25" s="13"/>
      <c r="D25" s="13"/>
      <c r="E25" s="13"/>
      <c r="F25" s="13"/>
      <c r="G25" s="13"/>
      <c r="I25" s="9"/>
    </row>
    <row r="26" spans="1:9" ht="15.75" x14ac:dyDescent="0.25">
      <c r="A26" s="12">
        <v>11</v>
      </c>
      <c r="B26" s="13"/>
      <c r="C26" s="13"/>
      <c r="D26" s="13" t="s">
        <v>28</v>
      </c>
      <c r="F26" s="13"/>
      <c r="G26" s="13"/>
      <c r="I26" s="8">
        <v>2312080</v>
      </c>
    </row>
    <row r="27" spans="1:9" ht="15.75" x14ac:dyDescent="0.25">
      <c r="A27" s="12"/>
      <c r="B27" s="13"/>
      <c r="C27" s="13"/>
      <c r="D27" s="13"/>
      <c r="E27" s="13"/>
      <c r="F27" s="13"/>
      <c r="G27" s="13"/>
      <c r="I27" s="8"/>
    </row>
    <row r="28" spans="1:9" ht="15.75" x14ac:dyDescent="0.25">
      <c r="A28" s="12">
        <v>12</v>
      </c>
      <c r="B28" s="13"/>
      <c r="C28" s="13"/>
      <c r="D28" s="13" t="s">
        <v>29</v>
      </c>
      <c r="E28" s="13"/>
      <c r="F28" s="13"/>
      <c r="G28" s="13"/>
      <c r="I28" s="8">
        <f>-646879+602514</f>
        <v>-44365</v>
      </c>
    </row>
    <row r="29" spans="1:9" ht="18" x14ac:dyDescent="0.4">
      <c r="A29" s="12"/>
      <c r="B29" s="13"/>
      <c r="C29" s="13"/>
      <c r="D29" s="13"/>
      <c r="E29" s="13"/>
      <c r="F29" s="13"/>
      <c r="G29" s="13"/>
      <c r="I29" s="14"/>
    </row>
    <row r="30" spans="1:9" ht="18" x14ac:dyDescent="0.4">
      <c r="A30" s="12">
        <v>13</v>
      </c>
      <c r="B30" s="13"/>
      <c r="C30" s="13"/>
      <c r="D30" s="13" t="s">
        <v>219</v>
      </c>
      <c r="E30" s="13"/>
      <c r="F30" s="13"/>
      <c r="G30" s="13"/>
      <c r="I30" s="24">
        <v>-42810629</v>
      </c>
    </row>
    <row r="31" spans="1:9" ht="15.75" x14ac:dyDescent="0.25">
      <c r="A31" s="12"/>
      <c r="B31" s="13"/>
      <c r="C31" s="13"/>
      <c r="D31" s="13"/>
      <c r="E31" s="13"/>
      <c r="F31" s="13"/>
      <c r="G31" s="13"/>
      <c r="I31" s="8"/>
    </row>
    <row r="32" spans="1:9" ht="18" x14ac:dyDescent="0.4">
      <c r="A32" s="12">
        <v>14</v>
      </c>
      <c r="B32" s="13"/>
      <c r="C32" s="13"/>
      <c r="D32" s="13"/>
      <c r="E32" s="13" t="s">
        <v>25</v>
      </c>
      <c r="F32" s="13"/>
      <c r="G32" s="13"/>
      <c r="I32" s="9">
        <f>SUM(I24:I30)</f>
        <v>-149717636</v>
      </c>
    </row>
    <row r="33" spans="1:9" ht="15.75" x14ac:dyDescent="0.25">
      <c r="A33" s="12"/>
      <c r="B33" s="13"/>
      <c r="C33" s="13"/>
      <c r="D33" s="13"/>
      <c r="E33" s="13"/>
      <c r="F33" s="13"/>
      <c r="G33" s="13"/>
      <c r="I33" s="8"/>
    </row>
    <row r="34" spans="1:9" ht="15.75" x14ac:dyDescent="0.25">
      <c r="A34" s="12">
        <v>15</v>
      </c>
      <c r="B34" s="13" t="s">
        <v>30</v>
      </c>
      <c r="C34" s="13"/>
      <c r="D34" s="13"/>
      <c r="E34" s="13"/>
      <c r="F34" s="13"/>
      <c r="G34" s="13"/>
      <c r="I34" s="8">
        <f>I32+I22</f>
        <v>107987444.27384615</v>
      </c>
    </row>
  </sheetData>
  <pageMargins left="0.7" right="0.7" top="0.75" bottom="0.75" header="0.3" footer="0.3"/>
  <pageSetup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workbookViewId="0">
      <selection activeCell="E20" sqref="E20"/>
    </sheetView>
  </sheetViews>
  <sheetFormatPr defaultColWidth="9" defaultRowHeight="15.75" x14ac:dyDescent="0.25"/>
  <cols>
    <col min="1" max="1" width="9" style="26"/>
    <col min="2" max="2" width="61.5703125" style="26" bestFit="1" customWidth="1"/>
    <col min="3" max="3" width="16.5703125" style="26" customWidth="1"/>
    <col min="4" max="4" width="2.5703125" style="26" customWidth="1"/>
    <col min="5" max="5" width="16.5703125" style="26" customWidth="1"/>
    <col min="6" max="6" width="2.5703125" style="26" customWidth="1"/>
    <col min="7" max="7" width="16.5703125" style="26" customWidth="1"/>
    <col min="8" max="16384" width="9" style="26"/>
  </cols>
  <sheetData>
    <row r="1" spans="1:7" x14ac:dyDescent="0.25">
      <c r="A1" s="111" t="s">
        <v>124</v>
      </c>
    </row>
    <row r="2" spans="1:7" x14ac:dyDescent="0.25">
      <c r="A2" s="111" t="s">
        <v>104</v>
      </c>
    </row>
    <row r="3" spans="1:7" x14ac:dyDescent="0.25">
      <c r="A3" s="111" t="s">
        <v>122</v>
      </c>
    </row>
    <row r="4" spans="1:7" x14ac:dyDescent="0.25">
      <c r="A4" s="111" t="s">
        <v>133</v>
      </c>
    </row>
    <row r="5" spans="1:7" x14ac:dyDescent="0.25">
      <c r="A5" s="119" t="s">
        <v>135</v>
      </c>
    </row>
    <row r="6" spans="1:7" x14ac:dyDescent="0.25">
      <c r="A6" s="111"/>
    </row>
    <row r="7" spans="1:7" x14ac:dyDescent="0.25">
      <c r="A7" s="111"/>
    </row>
    <row r="9" spans="1:7" x14ac:dyDescent="0.25">
      <c r="A9" s="41" t="s">
        <v>59</v>
      </c>
      <c r="B9" s="41"/>
      <c r="C9" s="41" t="s">
        <v>63</v>
      </c>
      <c r="D9" s="41"/>
      <c r="E9" s="41" t="s">
        <v>62</v>
      </c>
      <c r="F9" s="41"/>
      <c r="G9" s="41" t="s">
        <v>64</v>
      </c>
    </row>
    <row r="10" spans="1:7" x14ac:dyDescent="0.25">
      <c r="A10" s="42" t="s">
        <v>60</v>
      </c>
      <c r="B10" s="42" t="s">
        <v>53</v>
      </c>
      <c r="C10" s="42" t="s">
        <v>61</v>
      </c>
      <c r="D10" s="42"/>
      <c r="E10" s="42" t="s">
        <v>61</v>
      </c>
      <c r="F10" s="42"/>
      <c r="G10" s="42" t="s">
        <v>65</v>
      </c>
    </row>
    <row r="11" spans="1:7" x14ac:dyDescent="0.25">
      <c r="A11" s="26">
        <v>1</v>
      </c>
      <c r="B11" s="26" t="s">
        <v>66</v>
      </c>
      <c r="C11" s="80">
        <f>'Item 2'!I34</f>
        <v>107987444.27384615</v>
      </c>
      <c r="D11" s="80"/>
      <c r="E11" s="80">
        <f>C11</f>
        <v>107987444.27384615</v>
      </c>
    </row>
    <row r="12" spans="1:7" x14ac:dyDescent="0.25">
      <c r="A12" s="26">
        <v>2</v>
      </c>
      <c r="B12" s="26" t="s">
        <v>67</v>
      </c>
      <c r="C12" s="81">
        <f>'Item 6'!H19</f>
        <v>4.7536479292281983E-2</v>
      </c>
      <c r="D12" s="45"/>
      <c r="E12" s="81">
        <f>'Item 6'!L19</f>
        <v>4.2710903376712461E-2</v>
      </c>
    </row>
    <row r="13" spans="1:7" x14ac:dyDescent="0.25">
      <c r="A13" s="26">
        <v>3</v>
      </c>
    </row>
    <row r="14" spans="1:7" x14ac:dyDescent="0.25">
      <c r="A14" s="26">
        <v>4</v>
      </c>
      <c r="B14" s="26" t="s">
        <v>68</v>
      </c>
      <c r="C14" s="82">
        <f>C11*C12</f>
        <v>5133342.9085501423</v>
      </c>
      <c r="D14" s="82"/>
      <c r="E14" s="82">
        <f>E11*E12</f>
        <v>4612241.2982783644</v>
      </c>
      <c r="G14" s="83">
        <f>E14-C14</f>
        <v>-521101.61027177796</v>
      </c>
    </row>
    <row r="15" spans="1:7" x14ac:dyDescent="0.25">
      <c r="A15" s="26">
        <v>5</v>
      </c>
    </row>
    <row r="16" spans="1:7" x14ac:dyDescent="0.25">
      <c r="A16" s="26">
        <v>6</v>
      </c>
      <c r="B16" s="26" t="s">
        <v>144</v>
      </c>
      <c r="E16" s="30">
        <f>'Item 8.1'!K23</f>
        <v>-635572.65451311704</v>
      </c>
    </row>
    <row r="17" spans="1:7" x14ac:dyDescent="0.25">
      <c r="A17" s="26">
        <v>7</v>
      </c>
      <c r="B17" s="26" t="s">
        <v>69</v>
      </c>
      <c r="E17" s="33">
        <f>'Item 8.1'!K45</f>
        <v>-153449.4</v>
      </c>
    </row>
    <row r="18" spans="1:7" x14ac:dyDescent="0.25">
      <c r="A18" s="26">
        <v>8</v>
      </c>
    </row>
    <row r="19" spans="1:7" x14ac:dyDescent="0.25">
      <c r="A19" s="26">
        <v>9</v>
      </c>
      <c r="B19" s="26" t="s">
        <v>70</v>
      </c>
      <c r="E19" s="30">
        <f>E16+E17</f>
        <v>-789022.05451311707</v>
      </c>
    </row>
    <row r="20" spans="1:7" x14ac:dyDescent="0.25">
      <c r="A20" s="26">
        <v>10</v>
      </c>
      <c r="B20" s="26" t="s">
        <v>71</v>
      </c>
      <c r="E20" s="144">
        <f>'Item 6'!J17</f>
        <v>1.33756255096222</v>
      </c>
    </row>
    <row r="21" spans="1:7" x14ac:dyDescent="0.25">
      <c r="A21" s="26">
        <v>11</v>
      </c>
    </row>
    <row r="22" spans="1:7" x14ac:dyDescent="0.25">
      <c r="A22" s="26">
        <v>12</v>
      </c>
      <c r="B22" s="26" t="s">
        <v>72</v>
      </c>
      <c r="G22" s="33">
        <f>E19*E20</f>
        <v>-1055366.3520000167</v>
      </c>
    </row>
    <row r="23" spans="1:7" x14ac:dyDescent="0.25">
      <c r="A23" s="26">
        <v>13</v>
      </c>
    </row>
    <row r="24" spans="1:7" ht="16.5" thickBot="1" x14ac:dyDescent="0.3">
      <c r="A24" s="26">
        <v>14</v>
      </c>
      <c r="B24" s="26" t="s">
        <v>73</v>
      </c>
      <c r="G24" s="84">
        <f>G14+G22</f>
        <v>-1576467.9622717947</v>
      </c>
    </row>
    <row r="25" spans="1:7" ht="16.5" thickTop="1" x14ac:dyDescent="0.25"/>
  </sheetData>
  <pageMargins left="0.7" right="0.7" top="0.75" bottom="0.75" header="0.3" footer="0.3"/>
  <pageSetup scale="72" fitToHeight="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workbookViewId="0">
      <selection activeCell="E20" sqref="E20"/>
    </sheetView>
  </sheetViews>
  <sheetFormatPr defaultColWidth="9" defaultRowHeight="15.75" x14ac:dyDescent="0.25"/>
  <cols>
    <col min="1" max="1" width="9" style="26"/>
    <col min="2" max="2" width="61.5703125" style="26" bestFit="1" customWidth="1"/>
    <col min="3" max="3" width="16.5703125" style="26" customWidth="1"/>
    <col min="4" max="4" width="2.5703125" style="26" customWidth="1"/>
    <col min="5" max="5" width="16.5703125" style="26" customWidth="1"/>
    <col min="6" max="6" width="2.5703125" style="26" customWidth="1"/>
    <col min="7" max="7" width="16.5703125" style="26" customWidth="1"/>
    <col min="8" max="16384" width="9" style="26"/>
  </cols>
  <sheetData>
    <row r="1" spans="1:7" x14ac:dyDescent="0.25">
      <c r="A1" s="111" t="s">
        <v>124</v>
      </c>
    </row>
    <row r="2" spans="1:7" x14ac:dyDescent="0.25">
      <c r="A2" s="111" t="s">
        <v>104</v>
      </c>
    </row>
    <row r="3" spans="1:7" x14ac:dyDescent="0.25">
      <c r="A3" s="111" t="s">
        <v>134</v>
      </c>
    </row>
    <row r="4" spans="1:7" x14ac:dyDescent="0.25">
      <c r="A4" s="111" t="s">
        <v>132</v>
      </c>
    </row>
    <row r="5" spans="1:7" x14ac:dyDescent="0.25">
      <c r="A5" s="119" t="s">
        <v>136</v>
      </c>
    </row>
    <row r="6" spans="1:7" x14ac:dyDescent="0.25">
      <c r="A6" s="111"/>
    </row>
    <row r="7" spans="1:7" x14ac:dyDescent="0.25">
      <c r="A7" s="111"/>
    </row>
    <row r="8" spans="1:7" x14ac:dyDescent="0.25">
      <c r="A8" s="111"/>
    </row>
    <row r="9" spans="1:7" x14ac:dyDescent="0.25">
      <c r="A9" s="41" t="s">
        <v>59</v>
      </c>
      <c r="B9" s="41"/>
      <c r="C9" s="41" t="s">
        <v>63</v>
      </c>
      <c r="D9" s="41"/>
      <c r="E9" s="41" t="s">
        <v>62</v>
      </c>
      <c r="F9" s="41"/>
      <c r="G9" s="41" t="s">
        <v>64</v>
      </c>
    </row>
    <row r="10" spans="1:7" x14ac:dyDescent="0.25">
      <c r="A10" s="42" t="s">
        <v>60</v>
      </c>
      <c r="B10" s="42" t="s">
        <v>53</v>
      </c>
      <c r="C10" s="42" t="s">
        <v>61</v>
      </c>
      <c r="D10" s="42"/>
      <c r="E10" s="42" t="s">
        <v>61</v>
      </c>
      <c r="F10" s="42"/>
      <c r="G10" s="42" t="s">
        <v>65</v>
      </c>
    </row>
    <row r="11" spans="1:7" x14ac:dyDescent="0.25">
      <c r="A11" s="26">
        <v>1</v>
      </c>
      <c r="B11" s="26" t="s">
        <v>1</v>
      </c>
      <c r="C11" s="80">
        <f>'Item 4'!D16</f>
        <v>118749836</v>
      </c>
      <c r="D11" s="80"/>
      <c r="E11" s="80">
        <f>'Item 4'!D16</f>
        <v>118749836</v>
      </c>
    </row>
    <row r="12" spans="1:7" x14ac:dyDescent="0.25">
      <c r="A12" s="26">
        <v>2</v>
      </c>
      <c r="B12" s="26" t="s">
        <v>67</v>
      </c>
      <c r="C12" s="81">
        <f>'Item 6'!H19</f>
        <v>4.7536479292281983E-2</v>
      </c>
      <c r="D12" s="45"/>
      <c r="E12" s="81">
        <f>'Item 6'!L19</f>
        <v>4.2710903376712461E-2</v>
      </c>
    </row>
    <row r="13" spans="1:7" x14ac:dyDescent="0.25">
      <c r="A13" s="26">
        <v>3</v>
      </c>
    </row>
    <row r="14" spans="1:7" x14ac:dyDescent="0.25">
      <c r="A14" s="26">
        <v>4</v>
      </c>
      <c r="B14" s="26" t="s">
        <v>68</v>
      </c>
      <c r="C14" s="82">
        <f>C11*C12</f>
        <v>5644949.1199758817</v>
      </c>
      <c r="D14" s="82"/>
      <c r="E14" s="82">
        <f>E11*E12</f>
        <v>5071912.7713964507</v>
      </c>
      <c r="G14" s="83">
        <f>E14-C14</f>
        <v>-573036.34857943095</v>
      </c>
    </row>
    <row r="15" spans="1:7" x14ac:dyDescent="0.25">
      <c r="A15" s="26">
        <v>5</v>
      </c>
    </row>
    <row r="16" spans="1:7" x14ac:dyDescent="0.25">
      <c r="A16" s="26">
        <v>6</v>
      </c>
      <c r="B16" s="26" t="s">
        <v>144</v>
      </c>
      <c r="E16" s="30">
        <f>'Item 8.1'!K23</f>
        <v>-635572.65451311704</v>
      </c>
    </row>
    <row r="17" spans="1:7" x14ac:dyDescent="0.25">
      <c r="A17" s="26">
        <v>7</v>
      </c>
      <c r="B17" s="26" t="s">
        <v>69</v>
      </c>
      <c r="E17" s="33">
        <f>'Item 8.1'!K43</f>
        <v>-51149.8</v>
      </c>
    </row>
    <row r="18" spans="1:7" x14ac:dyDescent="0.25">
      <c r="A18" s="26">
        <v>8</v>
      </c>
    </row>
    <row r="19" spans="1:7" x14ac:dyDescent="0.25">
      <c r="A19" s="26">
        <v>9</v>
      </c>
      <c r="B19" s="26" t="s">
        <v>70</v>
      </c>
      <c r="E19" s="30">
        <f>E16+E17</f>
        <v>-686722.45451311709</v>
      </c>
    </row>
    <row r="20" spans="1:7" x14ac:dyDescent="0.25">
      <c r="A20" s="26">
        <v>10</v>
      </c>
      <c r="B20" s="26" t="s">
        <v>71</v>
      </c>
      <c r="E20" s="144">
        <f>'Item 6'!J17</f>
        <v>1.33756255096222</v>
      </c>
    </row>
    <row r="21" spans="1:7" x14ac:dyDescent="0.25">
      <c r="A21" s="26">
        <v>11</v>
      </c>
    </row>
    <row r="22" spans="1:7" x14ac:dyDescent="0.25">
      <c r="A22" s="26">
        <v>12</v>
      </c>
      <c r="B22" s="26" t="s">
        <v>72</v>
      </c>
      <c r="G22" s="33">
        <f>E19*E20</f>
        <v>-918534.23806160199</v>
      </c>
    </row>
    <row r="23" spans="1:7" x14ac:dyDescent="0.25">
      <c r="A23" s="26">
        <v>13</v>
      </c>
    </row>
    <row r="24" spans="1:7" ht="16.5" thickBot="1" x14ac:dyDescent="0.3">
      <c r="A24" s="26">
        <v>14</v>
      </c>
      <c r="B24" s="26" t="s">
        <v>73</v>
      </c>
      <c r="G24" s="84">
        <f>G14+G22</f>
        <v>-1491570.5866410329</v>
      </c>
    </row>
    <row r="25" spans="1:7" ht="16.5" thickTop="1" x14ac:dyDescent="0.25"/>
  </sheetData>
  <pageMargins left="0.7" right="0.7" top="0.75" bottom="0.75" header="0.3" footer="0.3"/>
  <pageSetup scale="72" fitToHeight="0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workbookViewId="0">
      <selection activeCell="E24" sqref="E24"/>
    </sheetView>
  </sheetViews>
  <sheetFormatPr defaultColWidth="9" defaultRowHeight="15.75" x14ac:dyDescent="0.25"/>
  <cols>
    <col min="1" max="1" width="9" style="26"/>
    <col min="2" max="2" width="61.5703125" style="26" bestFit="1" customWidth="1"/>
    <col min="3" max="3" width="16.5703125" style="26" customWidth="1"/>
    <col min="4" max="4" width="2.5703125" style="26" customWidth="1"/>
    <col min="5" max="5" width="16.5703125" style="26" customWidth="1"/>
    <col min="6" max="6" width="2.5703125" style="26" customWidth="1"/>
    <col min="7" max="7" width="16.5703125" style="26" customWidth="1"/>
    <col min="8" max="16384" width="9" style="26"/>
  </cols>
  <sheetData>
    <row r="1" spans="1:7" x14ac:dyDescent="0.25">
      <c r="A1" s="111" t="s">
        <v>124</v>
      </c>
    </row>
    <row r="2" spans="1:7" x14ac:dyDescent="0.25">
      <c r="A2" s="111" t="s">
        <v>104</v>
      </c>
    </row>
    <row r="3" spans="1:7" x14ac:dyDescent="0.25">
      <c r="A3" s="111" t="s">
        <v>134</v>
      </c>
    </row>
    <row r="4" spans="1:7" x14ac:dyDescent="0.25">
      <c r="A4" s="111" t="s">
        <v>133</v>
      </c>
    </row>
    <row r="5" spans="1:7" x14ac:dyDescent="0.25">
      <c r="A5" s="119" t="s">
        <v>137</v>
      </c>
    </row>
    <row r="6" spans="1:7" x14ac:dyDescent="0.25">
      <c r="A6" s="111"/>
    </row>
    <row r="7" spans="1:7" x14ac:dyDescent="0.25">
      <c r="A7" s="111"/>
    </row>
    <row r="8" spans="1:7" x14ac:dyDescent="0.25">
      <c r="A8" s="111"/>
    </row>
    <row r="9" spans="1:7" x14ac:dyDescent="0.25">
      <c r="A9" s="41" t="s">
        <v>59</v>
      </c>
      <c r="B9" s="41"/>
      <c r="C9" s="41" t="s">
        <v>63</v>
      </c>
      <c r="D9" s="41"/>
      <c r="E9" s="41" t="s">
        <v>62</v>
      </c>
      <c r="F9" s="41"/>
      <c r="G9" s="41" t="s">
        <v>64</v>
      </c>
    </row>
    <row r="10" spans="1:7" x14ac:dyDescent="0.25">
      <c r="A10" s="42" t="s">
        <v>60</v>
      </c>
      <c r="B10" s="42" t="s">
        <v>53</v>
      </c>
      <c r="C10" s="42" t="s">
        <v>61</v>
      </c>
      <c r="D10" s="42"/>
      <c r="E10" s="42" t="s">
        <v>61</v>
      </c>
      <c r="F10" s="42"/>
      <c r="G10" s="42" t="s">
        <v>65</v>
      </c>
    </row>
    <row r="11" spans="1:7" x14ac:dyDescent="0.25">
      <c r="A11" s="26">
        <v>1</v>
      </c>
      <c r="B11" s="26" t="s">
        <v>1</v>
      </c>
      <c r="C11" s="80">
        <f>'Item 4'!D16</f>
        <v>118749836</v>
      </c>
      <c r="D11" s="80"/>
      <c r="E11" s="80">
        <f>'Item 4'!D16</f>
        <v>118749836</v>
      </c>
    </row>
    <row r="12" spans="1:7" x14ac:dyDescent="0.25">
      <c r="A12" s="26">
        <v>2</v>
      </c>
      <c r="B12" s="26" t="s">
        <v>67</v>
      </c>
      <c r="C12" s="81">
        <f>'Item 6'!H19</f>
        <v>4.7536479292281983E-2</v>
      </c>
      <c r="D12" s="45"/>
      <c r="E12" s="81">
        <f>'Item 6'!L19</f>
        <v>4.2710903376712461E-2</v>
      </c>
    </row>
    <row r="13" spans="1:7" x14ac:dyDescent="0.25">
      <c r="A13" s="26">
        <v>3</v>
      </c>
    </row>
    <row r="14" spans="1:7" x14ac:dyDescent="0.25">
      <c r="A14" s="26">
        <v>4</v>
      </c>
      <c r="B14" s="26" t="s">
        <v>68</v>
      </c>
      <c r="C14" s="82">
        <f>C11*C12</f>
        <v>5644949.1199758817</v>
      </c>
      <c r="D14" s="82"/>
      <c r="E14" s="82">
        <f>E11*E12</f>
        <v>5071912.7713964507</v>
      </c>
      <c r="G14" s="83">
        <f>E14-C14</f>
        <v>-573036.34857943095</v>
      </c>
    </row>
    <row r="15" spans="1:7" x14ac:dyDescent="0.25">
      <c r="A15" s="26">
        <v>5</v>
      </c>
    </row>
    <row r="16" spans="1:7" x14ac:dyDescent="0.25">
      <c r="A16" s="26">
        <v>6</v>
      </c>
      <c r="B16" s="26" t="s">
        <v>144</v>
      </c>
      <c r="E16" s="30">
        <f>'Item 8.1'!K23</f>
        <v>-635572.65451311704</v>
      </c>
    </row>
    <row r="17" spans="1:7" x14ac:dyDescent="0.25">
      <c r="A17" s="26">
        <v>7</v>
      </c>
      <c r="B17" s="26" t="s">
        <v>69</v>
      </c>
      <c r="E17" s="33">
        <f>'Item 8.1'!K45</f>
        <v>-153449.4</v>
      </c>
    </row>
    <row r="18" spans="1:7" x14ac:dyDescent="0.25">
      <c r="A18" s="26">
        <v>8</v>
      </c>
    </row>
    <row r="19" spans="1:7" x14ac:dyDescent="0.25">
      <c r="A19" s="26">
        <v>9</v>
      </c>
      <c r="B19" s="26" t="s">
        <v>70</v>
      </c>
      <c r="E19" s="30">
        <f>E16+E17</f>
        <v>-789022.05451311707</v>
      </c>
    </row>
    <row r="20" spans="1:7" x14ac:dyDescent="0.25">
      <c r="A20" s="26">
        <v>10</v>
      </c>
      <c r="B20" s="26" t="s">
        <v>71</v>
      </c>
      <c r="E20" s="144">
        <f>'Item 6'!J17</f>
        <v>1.33756255096222</v>
      </c>
    </row>
    <row r="21" spans="1:7" x14ac:dyDescent="0.25">
      <c r="A21" s="26">
        <v>11</v>
      </c>
    </row>
    <row r="22" spans="1:7" x14ac:dyDescent="0.25">
      <c r="A22" s="26">
        <v>12</v>
      </c>
      <c r="B22" s="26" t="s">
        <v>72</v>
      </c>
      <c r="G22" s="33">
        <f>E19*E20</f>
        <v>-1055366.3520000167</v>
      </c>
    </row>
    <row r="23" spans="1:7" x14ac:dyDescent="0.25">
      <c r="A23" s="26">
        <v>13</v>
      </c>
    </row>
    <row r="24" spans="1:7" ht="16.5" thickBot="1" x14ac:dyDescent="0.3">
      <c r="A24" s="26">
        <v>14</v>
      </c>
      <c r="B24" s="26" t="s">
        <v>73</v>
      </c>
      <c r="G24" s="84">
        <f>G14+G22</f>
        <v>-1628402.7005794477</v>
      </c>
    </row>
    <row r="25" spans="1:7" ht="16.5" thickTop="1" x14ac:dyDescent="0.25"/>
  </sheetData>
  <pageMargins left="0.7" right="0.7" top="0.75" bottom="0.75" header="0.3" footer="0.3"/>
  <pageSetup scale="72" fitToHeight="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>
      <selection activeCell="C33" sqref="C33"/>
    </sheetView>
  </sheetViews>
  <sheetFormatPr defaultColWidth="9.140625" defaultRowHeight="15.75" x14ac:dyDescent="0.25"/>
  <cols>
    <col min="1" max="1" width="3.5703125" style="26" customWidth="1"/>
    <col min="2" max="2" width="25.28515625" style="26" customWidth="1"/>
    <col min="3" max="3" width="35.140625" style="26" customWidth="1"/>
    <col min="4" max="4" width="24.140625" style="30" bestFit="1" customWidth="1"/>
    <col min="5" max="8" width="20.7109375" style="26" customWidth="1"/>
    <col min="9" max="16384" width="9.140625" style="26"/>
  </cols>
  <sheetData>
    <row r="1" spans="1:8" x14ac:dyDescent="0.25">
      <c r="A1" s="53" t="s">
        <v>74</v>
      </c>
    </row>
    <row r="2" spans="1:8" x14ac:dyDescent="0.25">
      <c r="A2" s="53" t="s">
        <v>104</v>
      </c>
    </row>
    <row r="3" spans="1:8" x14ac:dyDescent="0.25">
      <c r="A3" s="53" t="s">
        <v>138</v>
      </c>
    </row>
    <row r="4" spans="1:8" x14ac:dyDescent="0.25">
      <c r="A4" s="85" t="s">
        <v>139</v>
      </c>
    </row>
    <row r="6" spans="1:8" x14ac:dyDescent="0.25">
      <c r="A6" s="26" t="s">
        <v>119</v>
      </c>
      <c r="D6" s="26"/>
    </row>
    <row r="7" spans="1:8" x14ac:dyDescent="0.25">
      <c r="B7" s="86"/>
      <c r="D7" s="26"/>
      <c r="F7" s="87" t="s">
        <v>245</v>
      </c>
      <c r="G7" s="87" t="s">
        <v>105</v>
      </c>
    </row>
    <row r="8" spans="1:8" x14ac:dyDescent="0.25">
      <c r="B8" s="86"/>
      <c r="C8" s="87"/>
      <c r="D8" s="87"/>
      <c r="E8" s="87" t="s">
        <v>106</v>
      </c>
      <c r="F8" s="88" t="s">
        <v>107</v>
      </c>
      <c r="G8" s="87" t="s">
        <v>108</v>
      </c>
    </row>
    <row r="9" spans="1:8" x14ac:dyDescent="0.25">
      <c r="B9" s="86"/>
      <c r="C9" s="89"/>
      <c r="D9" s="88" t="s">
        <v>109</v>
      </c>
      <c r="E9" s="88" t="s">
        <v>110</v>
      </c>
      <c r="F9" s="87" t="s">
        <v>111</v>
      </c>
      <c r="G9" s="88" t="s">
        <v>112</v>
      </c>
    </row>
    <row r="10" spans="1:8" x14ac:dyDescent="0.25">
      <c r="B10" s="86"/>
      <c r="C10" s="90" t="s">
        <v>131</v>
      </c>
      <c r="D10" s="90" t="s">
        <v>113</v>
      </c>
      <c r="E10" s="90" t="s">
        <v>114</v>
      </c>
      <c r="F10" s="91" t="s">
        <v>121</v>
      </c>
      <c r="G10" s="90" t="s">
        <v>32</v>
      </c>
    </row>
    <row r="11" spans="1:8" x14ac:dyDescent="0.25">
      <c r="A11" s="92"/>
      <c r="B11" s="93" t="s">
        <v>115</v>
      </c>
      <c r="C11" s="107">
        <v>22577547</v>
      </c>
      <c r="D11" s="94">
        <f>D15-SUM(D12:D14)</f>
        <v>0.52100000000000013</v>
      </c>
      <c r="E11" s="95">
        <f>E15-SUM(E12:E14)</f>
        <v>-750049.84833337995</v>
      </c>
      <c r="F11" s="108">
        <v>355470</v>
      </c>
      <c r="G11" s="96">
        <f>E11/F11</f>
        <v>-2.1100229227034064</v>
      </c>
      <c r="H11" s="97"/>
    </row>
    <row r="12" spans="1:8" x14ac:dyDescent="0.25">
      <c r="A12" s="92"/>
      <c r="B12" s="93" t="s">
        <v>116</v>
      </c>
      <c r="C12" s="108">
        <v>6811830</v>
      </c>
      <c r="D12" s="94">
        <f>ROUND(C12/C15,3)</f>
        <v>0.157</v>
      </c>
      <c r="E12" s="98">
        <f>ROUND(E$15*$D12,0)</f>
        <v>-226023</v>
      </c>
      <c r="F12" s="108">
        <v>50246</v>
      </c>
      <c r="G12" s="99">
        <f t="shared" ref="G12:G14" si="0">E12/F12</f>
        <v>-4.4983282251323491</v>
      </c>
      <c r="H12" s="97"/>
    </row>
    <row r="13" spans="1:8" x14ac:dyDescent="0.25">
      <c r="A13" s="92"/>
      <c r="B13" s="93" t="s">
        <v>117</v>
      </c>
      <c r="C13" s="109">
        <v>12290412</v>
      </c>
      <c r="D13" s="116">
        <f>ROUND(C13/C15,3)</f>
        <v>0.28399999999999997</v>
      </c>
      <c r="E13" s="100">
        <f>ROUND(E$15*$D13,0)</f>
        <v>-408857</v>
      </c>
      <c r="F13" s="109">
        <v>11780</v>
      </c>
      <c r="G13" s="101">
        <f t="shared" si="0"/>
        <v>-34.707724957555179</v>
      </c>
      <c r="H13" s="97"/>
    </row>
    <row r="14" spans="1:8" x14ac:dyDescent="0.25">
      <c r="A14" s="92"/>
      <c r="B14" s="93" t="s">
        <v>118</v>
      </c>
      <c r="C14" s="110">
        <v>1660864</v>
      </c>
      <c r="D14" s="117">
        <f>ROUND(C14/C15,3)</f>
        <v>3.7999999999999999E-2</v>
      </c>
      <c r="E14" s="102">
        <f>ROUND(E$15*$D14,0)</f>
        <v>-54706</v>
      </c>
      <c r="F14" s="110">
        <v>373</v>
      </c>
      <c r="G14" s="103">
        <f t="shared" si="0"/>
        <v>-146.66487935656838</v>
      </c>
      <c r="H14" s="97"/>
    </row>
    <row r="15" spans="1:8" x14ac:dyDescent="0.25">
      <c r="A15" s="92"/>
      <c r="B15" s="86"/>
      <c r="C15" s="104">
        <f>SUM(C11:C14)</f>
        <v>43340653</v>
      </c>
      <c r="D15" s="94">
        <v>1</v>
      </c>
      <c r="E15" s="95">
        <f>'Item 9.1'!G23</f>
        <v>-1439635.84833338</v>
      </c>
      <c r="F15" s="105">
        <f>SUM(F11:F14)</f>
        <v>417869</v>
      </c>
      <c r="G15" s="96"/>
    </row>
    <row r="16" spans="1:8" x14ac:dyDescent="0.25">
      <c r="D16" s="26"/>
      <c r="E16" s="106" t="s">
        <v>122</v>
      </c>
    </row>
    <row r="17" spans="1:8" x14ac:dyDescent="0.25">
      <c r="D17" s="26"/>
      <c r="E17" s="83"/>
      <c r="H17" s="83"/>
    </row>
    <row r="18" spans="1:8" x14ac:dyDescent="0.25">
      <c r="B18" s="30"/>
      <c r="C18" s="30"/>
      <c r="D18" s="26"/>
      <c r="F18" s="83"/>
    </row>
    <row r="19" spans="1:8" x14ac:dyDescent="0.25">
      <c r="A19" s="26" t="s">
        <v>120</v>
      </c>
      <c r="B19" s="30"/>
      <c r="C19" s="30"/>
      <c r="D19" s="26"/>
      <c r="F19" s="83"/>
    </row>
    <row r="20" spans="1:8" x14ac:dyDescent="0.25">
      <c r="B20" s="30"/>
      <c r="C20" s="30"/>
      <c r="D20" s="26"/>
      <c r="F20" s="87" t="s">
        <v>245</v>
      </c>
    </row>
    <row r="21" spans="1:8" x14ac:dyDescent="0.25">
      <c r="B21" s="86"/>
      <c r="C21" s="87"/>
      <c r="D21" s="87"/>
      <c r="E21" s="87" t="s">
        <v>106</v>
      </c>
      <c r="F21" s="88" t="s">
        <v>107</v>
      </c>
      <c r="G21" s="87" t="s">
        <v>108</v>
      </c>
    </row>
    <row r="22" spans="1:8" x14ac:dyDescent="0.25">
      <c r="B22" s="86"/>
      <c r="C22" s="89"/>
      <c r="D22" s="88" t="s">
        <v>109</v>
      </c>
      <c r="E22" s="88" t="s">
        <v>110</v>
      </c>
      <c r="F22" s="87" t="s">
        <v>111</v>
      </c>
      <c r="G22" s="88" t="s">
        <v>112</v>
      </c>
    </row>
    <row r="23" spans="1:8" x14ac:dyDescent="0.25">
      <c r="B23" s="86"/>
      <c r="C23" s="90" t="s">
        <v>131</v>
      </c>
      <c r="D23" s="90" t="s">
        <v>113</v>
      </c>
      <c r="E23" s="90" t="s">
        <v>114</v>
      </c>
      <c r="F23" s="91" t="s">
        <v>121</v>
      </c>
      <c r="G23" s="90" t="s">
        <v>32</v>
      </c>
    </row>
    <row r="24" spans="1:8" x14ac:dyDescent="0.25">
      <c r="B24" s="93" t="s">
        <v>115</v>
      </c>
      <c r="C24" s="112">
        <f>C11</f>
        <v>22577547</v>
      </c>
      <c r="D24" s="94">
        <f>D11</f>
        <v>0.52100000000000013</v>
      </c>
      <c r="E24" s="95">
        <f>E28-SUM(E25:E27)</f>
        <v>-821339.96227179468</v>
      </c>
      <c r="F24" s="113">
        <f>F11</f>
        <v>355470</v>
      </c>
      <c r="G24" s="96">
        <f>E24/F24</f>
        <v>-2.310574625908782</v>
      </c>
    </row>
    <row r="25" spans="1:8" x14ac:dyDescent="0.25">
      <c r="B25" s="93" t="s">
        <v>116</v>
      </c>
      <c r="C25" s="113">
        <f t="shared" ref="C25:D27" si="1">C12</f>
        <v>6811830</v>
      </c>
      <c r="D25" s="94">
        <f t="shared" si="1"/>
        <v>0.157</v>
      </c>
      <c r="E25" s="98">
        <f>ROUND(E$28*$D25,0)</f>
        <v>-247505</v>
      </c>
      <c r="F25" s="113">
        <f t="shared" ref="F25:F27" si="2">F12</f>
        <v>50246</v>
      </c>
      <c r="G25" s="99">
        <f t="shared" ref="G25:G27" si="3">E25/F25</f>
        <v>-4.9258647454523743</v>
      </c>
    </row>
    <row r="26" spans="1:8" x14ac:dyDescent="0.25">
      <c r="B26" s="93" t="s">
        <v>117</v>
      </c>
      <c r="C26" s="114">
        <f t="shared" si="1"/>
        <v>12290412</v>
      </c>
      <c r="D26" s="116">
        <f t="shared" si="1"/>
        <v>0.28399999999999997</v>
      </c>
      <c r="E26" s="100">
        <f>ROUND(E$28*$D26,0)</f>
        <v>-447717</v>
      </c>
      <c r="F26" s="114">
        <f t="shared" si="2"/>
        <v>11780</v>
      </c>
      <c r="G26" s="101">
        <f t="shared" si="3"/>
        <v>-38.006536502546687</v>
      </c>
    </row>
    <row r="27" spans="1:8" x14ac:dyDescent="0.25">
      <c r="B27" s="93" t="s">
        <v>118</v>
      </c>
      <c r="C27" s="115">
        <f t="shared" si="1"/>
        <v>1660864</v>
      </c>
      <c r="D27" s="117">
        <f t="shared" si="1"/>
        <v>3.7999999999999999E-2</v>
      </c>
      <c r="E27" s="102">
        <f>ROUND(E$28*$D27,0)</f>
        <v>-59906</v>
      </c>
      <c r="F27" s="115">
        <f t="shared" si="2"/>
        <v>373</v>
      </c>
      <c r="G27" s="103">
        <f t="shared" si="3"/>
        <v>-160.60589812332441</v>
      </c>
    </row>
    <row r="28" spans="1:8" x14ac:dyDescent="0.25">
      <c r="B28" s="86"/>
      <c r="C28" s="104">
        <f>SUM(C24:C27)</f>
        <v>43340653</v>
      </c>
      <c r="D28" s="94">
        <v>1</v>
      </c>
      <c r="E28" s="95">
        <f>'Item 9.2'!G24</f>
        <v>-1576467.9622717947</v>
      </c>
      <c r="F28" s="105">
        <f>SUM(F24:F27)</f>
        <v>417869</v>
      </c>
      <c r="G28" s="96"/>
    </row>
    <row r="29" spans="1:8" x14ac:dyDescent="0.25">
      <c r="E29" s="106" t="s">
        <v>122</v>
      </c>
    </row>
  </sheetData>
  <pageMargins left="0.7" right="0.7" top="0.75" bottom="0.75" header="0.3" footer="0.3"/>
  <pageSetup scale="81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opLeftCell="A10" workbookViewId="0">
      <selection activeCell="C14" sqref="C14"/>
    </sheetView>
  </sheetViews>
  <sheetFormatPr defaultColWidth="9" defaultRowHeight="15.75" x14ac:dyDescent="0.25"/>
  <cols>
    <col min="1" max="1" width="9" style="26"/>
    <col min="2" max="2" width="49" style="26" bestFit="1" customWidth="1"/>
    <col min="3" max="4" width="15.7109375" style="26" bestFit="1" customWidth="1"/>
    <col min="5" max="5" width="14.5703125" style="26" bestFit="1" customWidth="1"/>
    <col min="6" max="6" width="10.140625" style="26" customWidth="1"/>
    <col min="7" max="7" width="11.85546875" style="26" bestFit="1" customWidth="1"/>
    <col min="8" max="8" width="10.7109375" style="26" bestFit="1" customWidth="1"/>
    <col min="9" max="16384" width="9" style="26"/>
  </cols>
  <sheetData>
    <row r="1" spans="1:7" x14ac:dyDescent="0.25">
      <c r="A1" s="111" t="s">
        <v>124</v>
      </c>
    </row>
    <row r="2" spans="1:7" x14ac:dyDescent="0.25">
      <c r="A2" s="111" t="s">
        <v>104</v>
      </c>
    </row>
    <row r="3" spans="1:7" x14ac:dyDescent="0.25">
      <c r="A3" s="111" t="s">
        <v>126</v>
      </c>
    </row>
    <row r="4" spans="1:7" x14ac:dyDescent="0.25">
      <c r="A4" s="111"/>
    </row>
    <row r="5" spans="1:7" x14ac:dyDescent="0.25">
      <c r="A5" s="111"/>
    </row>
    <row r="6" spans="1:7" x14ac:dyDescent="0.25">
      <c r="A6" s="85" t="s">
        <v>33</v>
      </c>
    </row>
    <row r="7" spans="1:7" x14ac:dyDescent="0.25">
      <c r="E7" s="32"/>
      <c r="F7" s="32"/>
      <c r="G7" s="32"/>
    </row>
    <row r="8" spans="1:7" x14ac:dyDescent="0.25">
      <c r="B8" s="26" t="s">
        <v>243</v>
      </c>
      <c r="C8" s="30">
        <v>3032974</v>
      </c>
      <c r="E8" s="32"/>
      <c r="F8" s="32"/>
      <c r="G8" s="32"/>
    </row>
    <row r="9" spans="1:7" x14ac:dyDescent="0.25">
      <c r="B9" s="26" t="s">
        <v>217</v>
      </c>
      <c r="C9" s="33">
        <v>-990000</v>
      </c>
      <c r="E9" s="32"/>
      <c r="F9" s="32"/>
      <c r="G9" s="32"/>
    </row>
    <row r="10" spans="1:7" x14ac:dyDescent="0.25">
      <c r="B10" s="26" t="s">
        <v>218</v>
      </c>
      <c r="C10" s="30">
        <f>C8+C9</f>
        <v>2042974</v>
      </c>
    </row>
    <row r="12" spans="1:7" x14ac:dyDescent="0.25">
      <c r="B12" s="26" t="s">
        <v>12</v>
      </c>
      <c r="C12" s="33">
        <v>69749836</v>
      </c>
    </row>
    <row r="14" spans="1:7" x14ac:dyDescent="0.25">
      <c r="B14" s="26" t="s">
        <v>34</v>
      </c>
      <c r="C14" s="37">
        <f>ROUND(C10/C12,6)</f>
        <v>2.929E-2</v>
      </c>
    </row>
    <row r="17" spans="1:8" ht="18" x14ac:dyDescent="0.4">
      <c r="A17" s="17"/>
      <c r="B17" s="17"/>
      <c r="C17" s="17"/>
      <c r="D17" s="17"/>
      <c r="E17" s="20"/>
      <c r="F17" s="18"/>
      <c r="G17" s="18"/>
      <c r="H17" s="21"/>
    </row>
    <row r="18" spans="1:8" ht="18" x14ac:dyDescent="0.4">
      <c r="A18" s="120" t="s">
        <v>35</v>
      </c>
      <c r="B18" s="17"/>
      <c r="C18" s="17"/>
      <c r="D18" s="17"/>
      <c r="E18" s="20"/>
      <c r="F18" s="18"/>
      <c r="G18" s="18"/>
      <c r="H18" s="21"/>
    </row>
    <row r="19" spans="1:8" x14ac:dyDescent="0.25">
      <c r="A19" s="17"/>
      <c r="B19" s="180"/>
      <c r="C19" s="180"/>
      <c r="D19" s="180"/>
      <c r="E19" s="180"/>
      <c r="F19" s="180"/>
      <c r="G19" s="180"/>
      <c r="H19" s="180"/>
    </row>
    <row r="20" spans="1:8" x14ac:dyDescent="0.25">
      <c r="A20" s="17"/>
      <c r="B20" s="17"/>
      <c r="C20" s="181" t="s">
        <v>15</v>
      </c>
      <c r="D20" s="181"/>
      <c r="E20" s="181"/>
      <c r="F20" s="17"/>
      <c r="G20" s="18"/>
      <c r="H20" s="17"/>
    </row>
    <row r="21" spans="1:8" x14ac:dyDescent="0.25">
      <c r="A21" s="17"/>
      <c r="B21" s="17"/>
      <c r="C21" s="22" t="s">
        <v>36</v>
      </c>
      <c r="D21" s="22" t="s">
        <v>37</v>
      </c>
      <c r="E21" s="22" t="s">
        <v>6</v>
      </c>
      <c r="F21" s="17"/>
      <c r="G21" s="18"/>
      <c r="H21" s="17"/>
    </row>
    <row r="22" spans="1:8" x14ac:dyDescent="0.25">
      <c r="A22" s="22"/>
      <c r="B22" s="25" t="s">
        <v>10</v>
      </c>
      <c r="C22" s="34">
        <f>50500000</f>
        <v>50500000</v>
      </c>
      <c r="D22" s="34">
        <v>49000000</v>
      </c>
      <c r="E22" s="30">
        <f>AVERAGE(C22:D22)</f>
        <v>49750000</v>
      </c>
      <c r="H22" s="18"/>
    </row>
    <row r="23" spans="1:8" x14ac:dyDescent="0.25">
      <c r="A23" s="22"/>
      <c r="B23" s="23"/>
      <c r="C23" s="34"/>
      <c r="D23" s="30"/>
      <c r="E23" s="34"/>
      <c r="F23" s="17"/>
      <c r="G23" s="18"/>
      <c r="H23" s="18"/>
    </row>
    <row r="24" spans="1:8" ht="18" x14ac:dyDescent="0.4">
      <c r="A24" s="22"/>
      <c r="B24" s="23" t="s">
        <v>220</v>
      </c>
      <c r="C24" s="34"/>
      <c r="D24" s="30"/>
      <c r="E24" s="34">
        <v>2151300</v>
      </c>
      <c r="F24" s="17"/>
      <c r="G24" s="19"/>
      <c r="H24" s="19"/>
    </row>
    <row r="25" spans="1:8" x14ac:dyDescent="0.25">
      <c r="A25" s="22"/>
      <c r="B25" s="17" t="s">
        <v>31</v>
      </c>
      <c r="C25" s="34"/>
      <c r="D25" s="30"/>
      <c r="E25" s="35">
        <v>223800</v>
      </c>
      <c r="F25" s="17"/>
      <c r="G25" s="17"/>
      <c r="H25" s="18"/>
    </row>
    <row r="26" spans="1:8" ht="18" x14ac:dyDescent="0.4">
      <c r="A26" s="22"/>
      <c r="B26" s="118" t="s">
        <v>38</v>
      </c>
      <c r="C26" s="34"/>
      <c r="D26" s="30"/>
      <c r="E26" s="34">
        <f>E25+E24</f>
        <v>2375100</v>
      </c>
      <c r="F26" s="17"/>
      <c r="G26" s="18"/>
      <c r="H26" s="19"/>
    </row>
    <row r="27" spans="1:8" ht="18" x14ac:dyDescent="0.4">
      <c r="A27" s="22"/>
      <c r="B27" s="17"/>
      <c r="C27" s="34"/>
      <c r="D27" s="30"/>
      <c r="E27" s="34"/>
      <c r="F27" s="17"/>
      <c r="G27" s="18"/>
      <c r="H27" s="19"/>
    </row>
    <row r="28" spans="1:8" ht="18" x14ac:dyDescent="0.4">
      <c r="A28" s="22"/>
      <c r="B28" s="17" t="s">
        <v>32</v>
      </c>
      <c r="C28" s="17"/>
      <c r="E28" s="36">
        <f>ROUND(E26/E22,6)</f>
        <v>4.7740999999999999E-2</v>
      </c>
      <c r="F28" s="17"/>
      <c r="G28" s="20"/>
      <c r="H28" s="21"/>
    </row>
    <row r="29" spans="1:8" x14ac:dyDescent="0.25">
      <c r="C29" s="97"/>
      <c r="D29" s="97"/>
    </row>
    <row r="30" spans="1:8" x14ac:dyDescent="0.25">
      <c r="D30" s="97"/>
    </row>
    <row r="32" spans="1:8" x14ac:dyDescent="0.25">
      <c r="A32" s="120" t="s">
        <v>246</v>
      </c>
    </row>
    <row r="34" spans="2:2" x14ac:dyDescent="0.25">
      <c r="B34" s="26" t="s">
        <v>247</v>
      </c>
    </row>
  </sheetData>
  <mergeCells count="2">
    <mergeCell ref="B19:H19"/>
    <mergeCell ref="C20:E20"/>
  </mergeCells>
  <pageMargins left="0.7" right="0.7" top="0.75" bottom="0.75" header="0.3" footer="0.3"/>
  <pageSetup scale="66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workbookViewId="0">
      <selection activeCell="F38" sqref="F38"/>
    </sheetView>
  </sheetViews>
  <sheetFormatPr defaultColWidth="9" defaultRowHeight="15.75" x14ac:dyDescent="0.25"/>
  <cols>
    <col min="1" max="1" width="9" style="26"/>
    <col min="2" max="2" width="17.7109375" style="26" bestFit="1" customWidth="1"/>
    <col min="3" max="3" width="2.5703125" style="26" customWidth="1"/>
    <col min="4" max="4" width="15.140625" style="26" bestFit="1" customWidth="1"/>
    <col min="5" max="5" width="2.5703125" style="26" customWidth="1"/>
    <col min="6" max="6" width="14.5703125" style="26" customWidth="1"/>
    <col min="7" max="7" width="2.5703125" style="26" customWidth="1"/>
    <col min="8" max="8" width="14.5703125" style="26" customWidth="1"/>
    <col min="9" max="9" width="2.5703125" style="26" customWidth="1"/>
    <col min="10" max="10" width="14.5703125" style="26" customWidth="1"/>
    <col min="11" max="16384" width="9" style="26"/>
  </cols>
  <sheetData>
    <row r="1" spans="1:10" x14ac:dyDescent="0.25">
      <c r="A1" s="111" t="s">
        <v>124</v>
      </c>
    </row>
    <row r="2" spans="1:10" x14ac:dyDescent="0.25">
      <c r="A2" s="111" t="s">
        <v>104</v>
      </c>
    </row>
    <row r="3" spans="1:10" x14ac:dyDescent="0.25">
      <c r="A3" s="111" t="s">
        <v>127</v>
      </c>
    </row>
    <row r="4" spans="1:10" x14ac:dyDescent="0.25">
      <c r="A4" s="85" t="s">
        <v>142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x14ac:dyDescent="0.25">
      <c r="B5" s="41"/>
      <c r="C5" s="41"/>
      <c r="D5" s="41"/>
      <c r="E5" s="41"/>
      <c r="F5" s="41"/>
      <c r="G5" s="41"/>
      <c r="H5" s="41"/>
      <c r="I5" s="41"/>
      <c r="J5" s="41" t="s">
        <v>6</v>
      </c>
    </row>
    <row r="6" spans="1:10" x14ac:dyDescent="0.25">
      <c r="B6" s="41" t="s">
        <v>0</v>
      </c>
      <c r="C6" s="41"/>
      <c r="D6" s="41" t="s">
        <v>2</v>
      </c>
      <c r="E6" s="41"/>
      <c r="F6" s="41"/>
      <c r="G6" s="41"/>
      <c r="H6" s="41" t="s">
        <v>4</v>
      </c>
      <c r="I6" s="41"/>
      <c r="J6" s="41" t="s">
        <v>7</v>
      </c>
    </row>
    <row r="7" spans="1:10" x14ac:dyDescent="0.25">
      <c r="B7" s="42" t="s">
        <v>1</v>
      </c>
      <c r="C7" s="42"/>
      <c r="D7" s="43">
        <v>43100</v>
      </c>
      <c r="E7" s="42"/>
      <c r="F7" s="42" t="s">
        <v>3</v>
      </c>
      <c r="G7" s="42"/>
      <c r="H7" s="42" t="s">
        <v>5</v>
      </c>
      <c r="I7" s="42"/>
      <c r="J7" s="42" t="s">
        <v>8</v>
      </c>
    </row>
    <row r="8" spans="1:10" x14ac:dyDescent="0.25">
      <c r="B8" s="26" t="s">
        <v>9</v>
      </c>
      <c r="D8" s="44">
        <v>0</v>
      </c>
      <c r="F8" s="31">
        <f>D8/D16</f>
        <v>0</v>
      </c>
      <c r="H8" s="32" t="s">
        <v>14</v>
      </c>
      <c r="J8" s="45">
        <v>0</v>
      </c>
    </row>
    <row r="9" spans="1:10" x14ac:dyDescent="0.25">
      <c r="F9" s="31"/>
      <c r="J9" s="45"/>
    </row>
    <row r="10" spans="1:10" x14ac:dyDescent="0.25">
      <c r="B10" s="26" t="s">
        <v>10</v>
      </c>
      <c r="D10" s="30">
        <v>49000000</v>
      </c>
      <c r="F10" s="31">
        <f>D10/D16</f>
        <v>0.41263214881408339</v>
      </c>
      <c r="H10" s="37">
        <f>'Item 3'!E28</f>
        <v>4.7740999999999999E-2</v>
      </c>
      <c r="J10" s="45">
        <f>F10*H10</f>
        <v>1.9699471416533155E-2</v>
      </c>
    </row>
    <row r="11" spans="1:10" x14ac:dyDescent="0.25">
      <c r="D11" s="30"/>
      <c r="F11" s="31"/>
      <c r="J11" s="45"/>
    </row>
    <row r="12" spans="1:10" x14ac:dyDescent="0.25">
      <c r="B12" s="26" t="s">
        <v>11</v>
      </c>
      <c r="D12" s="30">
        <v>0</v>
      </c>
      <c r="F12" s="31">
        <f>D12/D16</f>
        <v>0</v>
      </c>
      <c r="H12" s="32" t="s">
        <v>14</v>
      </c>
      <c r="J12" s="45">
        <v>0</v>
      </c>
    </row>
    <row r="13" spans="1:10" x14ac:dyDescent="0.25">
      <c r="D13" s="30"/>
      <c r="F13" s="31"/>
      <c r="J13" s="45"/>
    </row>
    <row r="14" spans="1:10" x14ac:dyDescent="0.25">
      <c r="B14" s="26" t="s">
        <v>12</v>
      </c>
      <c r="D14" s="30">
        <f>'Item 3'!C12</f>
        <v>69749836</v>
      </c>
      <c r="F14" s="31">
        <f>D14/D16</f>
        <v>0.58736785118591661</v>
      </c>
      <c r="H14" s="50">
        <f>'Item 3'!C14</f>
        <v>2.929E-2</v>
      </c>
      <c r="J14" s="45">
        <f>H14*F14</f>
        <v>1.7204004361235498E-2</v>
      </c>
    </row>
    <row r="15" spans="1:10" x14ac:dyDescent="0.25">
      <c r="D15" s="30"/>
      <c r="F15" s="31"/>
      <c r="J15" s="45"/>
    </row>
    <row r="16" spans="1:10" ht="16.5" thickBot="1" x14ac:dyDescent="0.3">
      <c r="B16" s="46" t="s">
        <v>13</v>
      </c>
      <c r="C16" s="46"/>
      <c r="D16" s="47">
        <f>SUM(D8:D14)</f>
        <v>118749836</v>
      </c>
      <c r="E16" s="46"/>
      <c r="F16" s="48">
        <f>SUM(F8:F14)</f>
        <v>1</v>
      </c>
      <c r="G16" s="46"/>
      <c r="H16" s="46"/>
      <c r="I16" s="46"/>
      <c r="J16" s="49">
        <f>SUM(J8:J14)</f>
        <v>3.6903475777768653E-2</v>
      </c>
    </row>
    <row r="17" ht="16.5" thickTop="1" x14ac:dyDescent="0.25"/>
  </sheetData>
  <pageMargins left="0.7" right="0.7" top="0.75" bottom="0.75" header="0.3" footer="0.3"/>
  <pageSetup scale="94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tabSelected="1" workbookViewId="0">
      <selection activeCell="D60" sqref="D60"/>
    </sheetView>
  </sheetViews>
  <sheetFormatPr defaultColWidth="9" defaultRowHeight="15.75" x14ac:dyDescent="0.25"/>
  <cols>
    <col min="1" max="1" width="9" style="26"/>
    <col min="2" max="2" width="42.28515625" style="26" bestFit="1" customWidth="1"/>
    <col min="3" max="3" width="12.5703125" style="26" bestFit="1" customWidth="1"/>
    <col min="4" max="4" width="13.85546875" style="26" bestFit="1" customWidth="1"/>
    <col min="5" max="5" width="17.42578125" style="26" bestFit="1" customWidth="1"/>
    <col min="6" max="16384" width="9" style="26"/>
  </cols>
  <sheetData>
    <row r="1" spans="1:5" x14ac:dyDescent="0.25">
      <c r="A1" s="111" t="s">
        <v>124</v>
      </c>
    </row>
    <row r="2" spans="1:5" x14ac:dyDescent="0.25">
      <c r="A2" s="111" t="s">
        <v>104</v>
      </c>
    </row>
    <row r="3" spans="1:5" x14ac:dyDescent="0.25">
      <c r="A3" s="111" t="s">
        <v>128</v>
      </c>
    </row>
    <row r="6" spans="1:5" x14ac:dyDescent="0.25">
      <c r="A6" s="85" t="s">
        <v>250</v>
      </c>
    </row>
    <row r="8" spans="1:5" x14ac:dyDescent="0.25">
      <c r="A8" s="55" t="s">
        <v>52</v>
      </c>
      <c r="B8" s="55" t="s">
        <v>53</v>
      </c>
      <c r="C8" s="55" t="s">
        <v>5</v>
      </c>
      <c r="D8" s="55" t="s">
        <v>50</v>
      </c>
      <c r="E8" s="55" t="s">
        <v>51</v>
      </c>
    </row>
    <row r="9" spans="1:5" x14ac:dyDescent="0.25">
      <c r="A9" s="26">
        <v>1</v>
      </c>
      <c r="B9" s="26" t="s">
        <v>39</v>
      </c>
      <c r="C9" s="56"/>
      <c r="D9" s="50">
        <v>1</v>
      </c>
      <c r="E9" s="50">
        <v>1</v>
      </c>
    </row>
    <row r="10" spans="1:5" x14ac:dyDescent="0.25">
      <c r="A10" s="26">
        <v>2</v>
      </c>
      <c r="B10" s="26" t="s">
        <v>40</v>
      </c>
      <c r="C10" s="56"/>
      <c r="D10" s="50">
        <f>-ROUND(84827/46351353,6)</f>
        <v>-1.83E-3</v>
      </c>
      <c r="E10" s="50">
        <f>D10</f>
        <v>-1.83E-3</v>
      </c>
    </row>
    <row r="11" spans="1:5" x14ac:dyDescent="0.25">
      <c r="A11" s="26">
        <v>3</v>
      </c>
      <c r="B11" s="26" t="s">
        <v>41</v>
      </c>
      <c r="C11" s="56"/>
      <c r="D11" s="50">
        <v>-1.9959999999999999E-3</v>
      </c>
      <c r="E11" s="50">
        <v>-1.9959999999999999E-3</v>
      </c>
    </row>
    <row r="12" spans="1:5" x14ac:dyDescent="0.25">
      <c r="A12" s="26">
        <v>4</v>
      </c>
      <c r="B12" s="26" t="s">
        <v>42</v>
      </c>
      <c r="C12" s="56"/>
      <c r="D12" s="57">
        <v>0</v>
      </c>
      <c r="E12" s="57">
        <v>0</v>
      </c>
    </row>
    <row r="13" spans="1:5" x14ac:dyDescent="0.25">
      <c r="A13" s="26">
        <v>5</v>
      </c>
      <c r="C13" s="56"/>
      <c r="D13" s="37"/>
      <c r="E13" s="37"/>
    </row>
    <row r="14" spans="1:5" x14ac:dyDescent="0.25">
      <c r="A14" s="26">
        <v>6</v>
      </c>
      <c r="B14" s="26" t="s">
        <v>54</v>
      </c>
      <c r="C14" s="56"/>
      <c r="D14" s="37">
        <f>SUM(D9:D12)</f>
        <v>0.996174</v>
      </c>
      <c r="E14" s="37">
        <f>SUM(E9:E12)</f>
        <v>0.996174</v>
      </c>
    </row>
    <row r="15" spans="1:5" x14ac:dyDescent="0.25">
      <c r="A15" s="26">
        <v>7</v>
      </c>
      <c r="B15" s="26" t="s">
        <v>43</v>
      </c>
      <c r="C15" s="145">
        <v>0.06</v>
      </c>
      <c r="D15" s="37">
        <f>D14*C15</f>
        <v>5.9770440000000001E-2</v>
      </c>
      <c r="E15" s="37">
        <f>E14*C15</f>
        <v>5.9770440000000001E-2</v>
      </c>
    </row>
    <row r="16" spans="1:5" x14ac:dyDescent="0.25">
      <c r="A16" s="26">
        <v>8</v>
      </c>
      <c r="C16" s="145"/>
      <c r="D16" s="37"/>
      <c r="E16" s="37"/>
    </row>
    <row r="17" spans="1:5" x14ac:dyDescent="0.25">
      <c r="A17" s="26">
        <v>9</v>
      </c>
      <c r="B17" s="26" t="s">
        <v>44</v>
      </c>
      <c r="C17" s="145"/>
      <c r="D17" s="37"/>
      <c r="E17" s="37">
        <f>E14-E15</f>
        <v>0.93640356000000002</v>
      </c>
    </row>
    <row r="18" spans="1:5" x14ac:dyDescent="0.25">
      <c r="A18" s="26">
        <v>10</v>
      </c>
      <c r="B18" s="26" t="s">
        <v>45</v>
      </c>
      <c r="C18" s="145">
        <v>0.34</v>
      </c>
      <c r="D18" s="37"/>
      <c r="E18" s="37">
        <f>E17*C18</f>
        <v>0.31837721040000005</v>
      </c>
    </row>
    <row r="19" spans="1:5" x14ac:dyDescent="0.25">
      <c r="A19" s="26">
        <v>11</v>
      </c>
      <c r="C19" s="56"/>
      <c r="D19" s="37"/>
      <c r="E19" s="37"/>
    </row>
    <row r="20" spans="1:5" x14ac:dyDescent="0.25">
      <c r="A20" s="26">
        <v>12</v>
      </c>
      <c r="B20" s="26" t="s">
        <v>46</v>
      </c>
      <c r="C20" s="56"/>
      <c r="D20" s="37"/>
      <c r="E20" s="37">
        <f>E17-E18</f>
        <v>0.61802634960000002</v>
      </c>
    </row>
    <row r="21" spans="1:5" x14ac:dyDescent="0.25">
      <c r="A21" s="26">
        <v>13</v>
      </c>
      <c r="C21" s="56"/>
      <c r="D21" s="37"/>
      <c r="E21" s="37"/>
    </row>
    <row r="22" spans="1:5" x14ac:dyDescent="0.25">
      <c r="A22" s="26">
        <v>14</v>
      </c>
      <c r="B22" s="26" t="s">
        <v>47</v>
      </c>
      <c r="C22" s="56"/>
      <c r="D22" s="37"/>
      <c r="E22" s="144">
        <f>E9/E20</f>
        <v>1.6180539885511702</v>
      </c>
    </row>
    <row r="23" spans="1:5" x14ac:dyDescent="0.25">
      <c r="A23" s="26">
        <v>15</v>
      </c>
      <c r="C23" s="56"/>
      <c r="D23" s="37"/>
      <c r="E23" s="37"/>
    </row>
    <row r="24" spans="1:5" x14ac:dyDescent="0.25">
      <c r="A24" s="26">
        <v>16</v>
      </c>
      <c r="B24" s="26" t="s">
        <v>48</v>
      </c>
      <c r="C24" s="56"/>
      <c r="D24" s="37"/>
      <c r="E24" s="37">
        <f>E15+E18</f>
        <v>0.37814765040000003</v>
      </c>
    </row>
    <row r="25" spans="1:5" x14ac:dyDescent="0.25">
      <c r="A25" s="26">
        <v>17</v>
      </c>
      <c r="C25" s="56"/>
      <c r="D25" s="37"/>
      <c r="E25" s="37"/>
    </row>
    <row r="26" spans="1:5" x14ac:dyDescent="0.25">
      <c r="A26" s="26">
        <v>18</v>
      </c>
      <c r="B26" s="26" t="s">
        <v>49</v>
      </c>
      <c r="C26" s="56"/>
      <c r="D26" s="37"/>
      <c r="E26" s="37">
        <f>ROUND((E24/ (1-E24)),6)</f>
        <v>0.60809899999999995</v>
      </c>
    </row>
    <row r="27" spans="1:5" x14ac:dyDescent="0.25">
      <c r="D27" s="58"/>
      <c r="E27" s="58"/>
    </row>
    <row r="28" spans="1:5" x14ac:dyDescent="0.25">
      <c r="D28" s="58"/>
      <c r="E28" s="58"/>
    </row>
    <row r="29" spans="1:5" x14ac:dyDescent="0.25">
      <c r="D29" s="58"/>
      <c r="E29" s="58"/>
    </row>
    <row r="30" spans="1:5" x14ac:dyDescent="0.25">
      <c r="A30" s="85" t="s">
        <v>251</v>
      </c>
      <c r="D30" s="58"/>
      <c r="E30" s="58"/>
    </row>
    <row r="32" spans="1:5" x14ac:dyDescent="0.25">
      <c r="A32" s="55" t="s">
        <v>52</v>
      </c>
      <c r="B32" s="55" t="s">
        <v>53</v>
      </c>
      <c r="C32" s="55" t="s">
        <v>5</v>
      </c>
      <c r="D32" s="55" t="s">
        <v>50</v>
      </c>
      <c r="E32" s="55" t="s">
        <v>51</v>
      </c>
    </row>
    <row r="33" spans="1:5" x14ac:dyDescent="0.25">
      <c r="A33" s="26">
        <v>1</v>
      </c>
      <c r="B33" s="26" t="s">
        <v>39</v>
      </c>
      <c r="C33" s="56"/>
      <c r="D33" s="50">
        <v>1</v>
      </c>
      <c r="E33" s="50">
        <v>1</v>
      </c>
    </row>
    <row r="34" spans="1:5" x14ac:dyDescent="0.25">
      <c r="A34" s="26">
        <v>2</v>
      </c>
      <c r="B34" s="26" t="s">
        <v>40</v>
      </c>
      <c r="C34" s="56"/>
      <c r="D34" s="50">
        <f>D10</f>
        <v>-1.83E-3</v>
      </c>
      <c r="E34" s="50">
        <f>D34</f>
        <v>-1.83E-3</v>
      </c>
    </row>
    <row r="35" spans="1:5" x14ac:dyDescent="0.25">
      <c r="A35" s="26">
        <v>3</v>
      </c>
      <c r="B35" s="26" t="s">
        <v>41</v>
      </c>
      <c r="C35" s="56"/>
      <c r="D35" s="50">
        <v>-1.9959999999999999E-3</v>
      </c>
      <c r="E35" s="50">
        <f>D35</f>
        <v>-1.9959999999999999E-3</v>
      </c>
    </row>
    <row r="36" spans="1:5" x14ac:dyDescent="0.25">
      <c r="A36" s="26">
        <v>4</v>
      </c>
      <c r="B36" s="26" t="s">
        <v>42</v>
      </c>
      <c r="C36" s="56"/>
      <c r="D36" s="57">
        <v>0</v>
      </c>
      <c r="E36" s="57">
        <v>0</v>
      </c>
    </row>
    <row r="37" spans="1:5" x14ac:dyDescent="0.25">
      <c r="A37" s="26">
        <v>5</v>
      </c>
      <c r="C37" s="56"/>
      <c r="D37" s="37"/>
      <c r="E37" s="37"/>
    </row>
    <row r="38" spans="1:5" x14ac:dyDescent="0.25">
      <c r="A38" s="26">
        <v>6</v>
      </c>
      <c r="B38" s="26" t="s">
        <v>54</v>
      </c>
      <c r="C38" s="56"/>
      <c r="D38" s="37">
        <f>SUM(D33:D36)</f>
        <v>0.996174</v>
      </c>
      <c r="E38" s="37">
        <f>SUM(E33:E36)</f>
        <v>0.996174</v>
      </c>
    </row>
    <row r="39" spans="1:5" x14ac:dyDescent="0.25">
      <c r="A39" s="26">
        <v>7</v>
      </c>
      <c r="B39" s="26" t="s">
        <v>43</v>
      </c>
      <c r="C39" s="145">
        <v>0.05</v>
      </c>
      <c r="D39" s="37">
        <f>C39*D38</f>
        <v>4.9808700000000004E-2</v>
      </c>
      <c r="E39" s="37">
        <f>C39*E38</f>
        <v>4.9808700000000004E-2</v>
      </c>
    </row>
    <row r="40" spans="1:5" x14ac:dyDescent="0.25">
      <c r="A40" s="26">
        <v>8</v>
      </c>
      <c r="C40" s="145"/>
      <c r="D40" s="37"/>
      <c r="E40" s="37"/>
    </row>
    <row r="41" spans="1:5" x14ac:dyDescent="0.25">
      <c r="A41" s="26">
        <v>9</v>
      </c>
      <c r="B41" s="26" t="s">
        <v>44</v>
      </c>
      <c r="C41" s="145"/>
      <c r="D41" s="37"/>
      <c r="E41" s="37">
        <f>E38-E39</f>
        <v>0.94636529999999996</v>
      </c>
    </row>
    <row r="42" spans="1:5" x14ac:dyDescent="0.25">
      <c r="A42" s="26">
        <v>10</v>
      </c>
      <c r="B42" s="26" t="s">
        <v>45</v>
      </c>
      <c r="C42" s="145">
        <v>0.21</v>
      </c>
      <c r="D42" s="37"/>
      <c r="E42" s="37">
        <f>E41*C42</f>
        <v>0.19873671299999998</v>
      </c>
    </row>
    <row r="43" spans="1:5" x14ac:dyDescent="0.25">
      <c r="A43" s="26">
        <v>11</v>
      </c>
      <c r="C43" s="145"/>
      <c r="D43" s="37"/>
      <c r="E43" s="37"/>
    </row>
    <row r="44" spans="1:5" x14ac:dyDescent="0.25">
      <c r="A44" s="26">
        <v>12</v>
      </c>
      <c r="B44" s="26" t="s">
        <v>46</v>
      </c>
      <c r="C44" s="56"/>
      <c r="D44" s="37"/>
      <c r="E44" s="37">
        <f>E41-E42</f>
        <v>0.74762858700000001</v>
      </c>
    </row>
    <row r="45" spans="1:5" x14ac:dyDescent="0.25">
      <c r="A45" s="26">
        <v>13</v>
      </c>
      <c r="C45" s="56"/>
      <c r="D45" s="37"/>
      <c r="E45" s="37"/>
    </row>
    <row r="46" spans="1:5" x14ac:dyDescent="0.25">
      <c r="A46" s="26">
        <v>14</v>
      </c>
      <c r="B46" s="26" t="s">
        <v>47</v>
      </c>
      <c r="C46" s="56"/>
      <c r="D46" s="37"/>
      <c r="E46" s="144">
        <f>E33/E44</f>
        <v>1.33756255096222</v>
      </c>
    </row>
    <row r="47" spans="1:5" x14ac:dyDescent="0.25">
      <c r="A47" s="26">
        <v>15</v>
      </c>
      <c r="C47" s="56"/>
      <c r="D47" s="37"/>
      <c r="E47" s="37"/>
    </row>
    <row r="48" spans="1:5" x14ac:dyDescent="0.25">
      <c r="A48" s="26">
        <v>16</v>
      </c>
      <c r="B48" s="26" t="s">
        <v>48</v>
      </c>
      <c r="C48" s="56"/>
      <c r="D48" s="37"/>
      <c r="E48" s="37">
        <f>E39+E42</f>
        <v>0.24854541299999999</v>
      </c>
    </row>
    <row r="49" spans="1:5" x14ac:dyDescent="0.25">
      <c r="A49" s="26">
        <v>17</v>
      </c>
      <c r="C49" s="56"/>
      <c r="D49" s="37"/>
      <c r="E49" s="37"/>
    </row>
    <row r="50" spans="1:5" x14ac:dyDescent="0.25">
      <c r="A50" s="26">
        <v>18</v>
      </c>
      <c r="B50" s="26" t="s">
        <v>49</v>
      </c>
      <c r="C50" s="56"/>
      <c r="D50" s="37"/>
      <c r="E50" s="37">
        <f>ROUND((E48/ (1-E48)),6)</f>
        <v>0.33075199999999999</v>
      </c>
    </row>
  </sheetData>
  <pageMargins left="0.7" right="0.7" top="0.75" bottom="0.75" header="0.3" footer="0.3"/>
  <pageSetup scale="8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workbookViewId="0">
      <selection activeCell="F17" sqref="F17"/>
    </sheetView>
  </sheetViews>
  <sheetFormatPr defaultColWidth="9" defaultRowHeight="15.75" x14ac:dyDescent="0.25"/>
  <cols>
    <col min="1" max="1" width="9" style="26"/>
    <col min="2" max="2" width="17.7109375" style="26" bestFit="1" customWidth="1"/>
    <col min="3" max="3" width="9" style="26"/>
    <col min="4" max="4" width="14.5703125" style="26" customWidth="1"/>
    <col min="5" max="5" width="2.5703125" style="26" customWidth="1"/>
    <col min="6" max="6" width="16.5703125" style="26" customWidth="1"/>
    <col min="7" max="7" width="2.5703125" style="26" customWidth="1"/>
    <col min="8" max="8" width="16.5703125" style="26" customWidth="1"/>
    <col min="9" max="9" width="2.5703125" style="26" customWidth="1"/>
    <col min="10" max="10" width="16.5703125" style="26" customWidth="1"/>
    <col min="11" max="11" width="2.5703125" style="26" customWidth="1"/>
    <col min="12" max="12" width="16.5703125" style="26" customWidth="1"/>
    <col min="13" max="16384" width="9" style="26"/>
  </cols>
  <sheetData>
    <row r="1" spans="1:12" x14ac:dyDescent="0.25">
      <c r="A1" s="111" t="s">
        <v>124</v>
      </c>
    </row>
    <row r="2" spans="1:12" x14ac:dyDescent="0.25">
      <c r="A2" s="111" t="s">
        <v>104</v>
      </c>
    </row>
    <row r="3" spans="1:12" x14ac:dyDescent="0.25">
      <c r="A3" s="111" t="s">
        <v>129</v>
      </c>
    </row>
    <row r="4" spans="1:12" x14ac:dyDescent="0.25">
      <c r="A4" s="119" t="s">
        <v>141</v>
      </c>
    </row>
    <row r="5" spans="1:12" x14ac:dyDescent="0.25">
      <c r="A5" s="111"/>
    </row>
    <row r="6" spans="1:12" x14ac:dyDescent="0.25">
      <c r="A6" s="111"/>
    </row>
    <row r="8" spans="1:12" x14ac:dyDescent="0.25">
      <c r="B8" s="41"/>
      <c r="C8" s="41"/>
      <c r="D8" s="41" t="s">
        <v>6</v>
      </c>
      <c r="F8" s="183" t="s">
        <v>57</v>
      </c>
      <c r="G8" s="183"/>
      <c r="H8" s="183"/>
      <c r="J8" s="183" t="s">
        <v>57</v>
      </c>
      <c r="K8" s="183"/>
      <c r="L8" s="183"/>
    </row>
    <row r="9" spans="1:12" x14ac:dyDescent="0.25">
      <c r="B9" s="41" t="s">
        <v>0</v>
      </c>
      <c r="C9" s="41"/>
      <c r="D9" s="41" t="s">
        <v>7</v>
      </c>
      <c r="F9" s="182" t="s">
        <v>221</v>
      </c>
      <c r="G9" s="182"/>
      <c r="H9" s="182"/>
      <c r="J9" s="182" t="s">
        <v>58</v>
      </c>
      <c r="K9" s="182"/>
      <c r="L9" s="182"/>
    </row>
    <row r="10" spans="1:12" x14ac:dyDescent="0.25">
      <c r="B10" s="42" t="s">
        <v>1</v>
      </c>
      <c r="C10" s="42"/>
      <c r="D10" s="42" t="s">
        <v>8</v>
      </c>
      <c r="F10" s="52" t="s">
        <v>55</v>
      </c>
      <c r="G10" s="53"/>
      <c r="H10" s="52" t="s">
        <v>56</v>
      </c>
      <c r="J10" s="52" t="s">
        <v>55</v>
      </c>
      <c r="K10" s="53"/>
      <c r="L10" s="52" t="s">
        <v>56</v>
      </c>
    </row>
    <row r="11" spans="1:12" x14ac:dyDescent="0.25">
      <c r="B11" s="26" t="s">
        <v>9</v>
      </c>
      <c r="D11" s="37">
        <f>'Item 4'!J8</f>
        <v>0</v>
      </c>
      <c r="F11" s="144">
        <v>1</v>
      </c>
      <c r="G11" s="45"/>
      <c r="H11" s="37">
        <f>D11*F11</f>
        <v>0</v>
      </c>
      <c r="J11" s="144">
        <v>1</v>
      </c>
      <c r="K11" s="45"/>
      <c r="L11" s="37">
        <f>D11*J11</f>
        <v>0</v>
      </c>
    </row>
    <row r="12" spans="1:12" x14ac:dyDescent="0.25">
      <c r="D12" s="37"/>
      <c r="F12" s="144"/>
      <c r="G12" s="45"/>
      <c r="H12" s="37"/>
      <c r="J12" s="144"/>
      <c r="K12" s="45"/>
      <c r="L12" s="37"/>
    </row>
    <row r="13" spans="1:12" x14ac:dyDescent="0.25">
      <c r="B13" s="26" t="s">
        <v>10</v>
      </c>
      <c r="D13" s="37">
        <f>'Item 4'!J10</f>
        <v>1.9699471416533155E-2</v>
      </c>
      <c r="F13" s="144">
        <v>1</v>
      </c>
      <c r="G13" s="45"/>
      <c r="H13" s="37">
        <f>D13*F13</f>
        <v>1.9699471416533155E-2</v>
      </c>
      <c r="J13" s="144">
        <v>1</v>
      </c>
      <c r="K13" s="45"/>
      <c r="L13" s="37">
        <f>D13*J13</f>
        <v>1.9699471416533155E-2</v>
      </c>
    </row>
    <row r="14" spans="1:12" x14ac:dyDescent="0.25">
      <c r="D14" s="37"/>
      <c r="F14" s="144"/>
      <c r="G14" s="45"/>
      <c r="H14" s="37"/>
      <c r="J14" s="144"/>
      <c r="K14" s="45"/>
      <c r="L14" s="37"/>
    </row>
    <row r="15" spans="1:12" x14ac:dyDescent="0.25">
      <c r="B15" s="26" t="s">
        <v>11</v>
      </c>
      <c r="D15" s="37">
        <f>'Item 4'!J12</f>
        <v>0</v>
      </c>
      <c r="F15" s="144">
        <v>1</v>
      </c>
      <c r="G15" s="45"/>
      <c r="H15" s="37">
        <f>D15*F15</f>
        <v>0</v>
      </c>
      <c r="J15" s="144">
        <v>1</v>
      </c>
      <c r="K15" s="45"/>
      <c r="L15" s="37">
        <f>D15*J15</f>
        <v>0</v>
      </c>
    </row>
    <row r="16" spans="1:12" x14ac:dyDescent="0.25">
      <c r="D16" s="37"/>
      <c r="F16" s="144"/>
      <c r="G16" s="45"/>
      <c r="H16" s="37"/>
      <c r="J16" s="144"/>
      <c r="K16" s="45"/>
      <c r="L16" s="37"/>
    </row>
    <row r="17" spans="2:12" x14ac:dyDescent="0.25">
      <c r="B17" s="26" t="s">
        <v>12</v>
      </c>
      <c r="D17" s="37">
        <f>'Item 4'!J14</f>
        <v>1.7204004361235498E-2</v>
      </c>
      <c r="F17" s="144">
        <f>'Item 5'!E22</f>
        <v>1.6180539885511702</v>
      </c>
      <c r="G17" s="45"/>
      <c r="H17" s="37">
        <f>D17*F17</f>
        <v>2.7837007875748825E-2</v>
      </c>
      <c r="J17" s="144">
        <f>'Item 5'!E46</f>
        <v>1.33756255096222</v>
      </c>
      <c r="K17" s="45"/>
      <c r="L17" s="37">
        <f>D17*J17</f>
        <v>2.301143196017931E-2</v>
      </c>
    </row>
    <row r="18" spans="2:12" x14ac:dyDescent="0.25">
      <c r="D18" s="37"/>
      <c r="F18" s="45"/>
      <c r="G18" s="45"/>
      <c r="H18" s="45"/>
      <c r="J18" s="45"/>
      <c r="K18" s="45"/>
      <c r="L18" s="37"/>
    </row>
    <row r="19" spans="2:12" ht="16.5" thickBot="1" x14ac:dyDescent="0.3">
      <c r="B19" s="46" t="s">
        <v>13</v>
      </c>
      <c r="C19" s="46"/>
      <c r="D19" s="54">
        <f>SUM(D11:D17)</f>
        <v>3.6903475777768653E-2</v>
      </c>
      <c r="F19" s="49"/>
      <c r="G19" s="49"/>
      <c r="H19" s="54">
        <f>SUM(H11:H17)</f>
        <v>4.7536479292281983E-2</v>
      </c>
      <c r="J19" s="49"/>
      <c r="K19" s="49"/>
      <c r="L19" s="54">
        <f>SUM(L11:L17)</f>
        <v>4.2710903376712461E-2</v>
      </c>
    </row>
    <row r="20" spans="2:12" ht="16.5" thickTop="1" x14ac:dyDescent="0.25"/>
  </sheetData>
  <mergeCells count="4">
    <mergeCell ref="F9:H9"/>
    <mergeCell ref="F8:H8"/>
    <mergeCell ref="J8:L8"/>
    <mergeCell ref="J9:L9"/>
  </mergeCells>
  <pageMargins left="0.7" right="0.7" top="0.75" bottom="0.75" header="0.3" footer="0.3"/>
  <pageSetup scale="71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topLeftCell="A37" workbookViewId="0">
      <selection activeCell="D72" sqref="D72"/>
    </sheetView>
  </sheetViews>
  <sheetFormatPr defaultRowHeight="15.75" x14ac:dyDescent="0.25"/>
  <cols>
    <col min="1" max="1" width="55.7109375" style="26" customWidth="1"/>
    <col min="2" max="4" width="14" style="26" bestFit="1" customWidth="1"/>
    <col min="5" max="5" width="18.140625" style="26" bestFit="1" customWidth="1"/>
    <col min="6" max="6" width="2.7109375" style="143" customWidth="1"/>
    <col min="7" max="7" width="18" style="26" bestFit="1" customWidth="1"/>
    <col min="8" max="8" width="13.42578125" style="26" bestFit="1" customWidth="1"/>
    <col min="9" max="9" width="2.7109375" style="143" customWidth="1"/>
    <col min="10" max="10" width="12.140625" style="26" bestFit="1" customWidth="1"/>
    <col min="11" max="11" width="15.85546875" style="26" bestFit="1" customWidth="1"/>
    <col min="12" max="16384" width="9.140625" style="26"/>
  </cols>
  <sheetData>
    <row r="1" spans="1:11" x14ac:dyDescent="0.25">
      <c r="A1" s="111" t="s">
        <v>124</v>
      </c>
    </row>
    <row r="2" spans="1:11" x14ac:dyDescent="0.25">
      <c r="A2" s="111" t="s">
        <v>104</v>
      </c>
    </row>
    <row r="3" spans="1:11" x14ac:dyDescent="0.25">
      <c r="A3" s="111" t="s">
        <v>145</v>
      </c>
    </row>
    <row r="4" spans="1:11" x14ac:dyDescent="0.25">
      <c r="A4" s="85" t="s">
        <v>146</v>
      </c>
    </row>
    <row r="6" spans="1:11" x14ac:dyDescent="0.25">
      <c r="B6" s="184">
        <v>43100</v>
      </c>
      <c r="C6" s="184"/>
      <c r="D6" s="184"/>
      <c r="E6" s="122"/>
      <c r="F6" s="121"/>
      <c r="G6" s="123" t="s">
        <v>147</v>
      </c>
      <c r="H6" s="123"/>
      <c r="I6" s="124"/>
      <c r="J6" s="124" t="s">
        <v>75</v>
      </c>
      <c r="K6" s="124" t="s">
        <v>7</v>
      </c>
    </row>
    <row r="7" spans="1:11" x14ac:dyDescent="0.25">
      <c r="B7" s="121"/>
      <c r="C7" s="121"/>
      <c r="D7" s="122" t="s">
        <v>212</v>
      </c>
      <c r="E7" s="122" t="s">
        <v>148</v>
      </c>
      <c r="F7" s="122"/>
      <c r="G7" s="124" t="s">
        <v>149</v>
      </c>
      <c r="H7" s="124" t="s">
        <v>150</v>
      </c>
      <c r="I7" s="124"/>
      <c r="J7" s="124" t="s">
        <v>151</v>
      </c>
      <c r="K7" s="124" t="s">
        <v>6</v>
      </c>
    </row>
    <row r="8" spans="1:11" x14ac:dyDescent="0.25">
      <c r="A8" s="125" t="s">
        <v>152</v>
      </c>
      <c r="B8" s="126" t="s">
        <v>8</v>
      </c>
      <c r="C8" s="126" t="s">
        <v>153</v>
      </c>
      <c r="D8" s="126" t="s">
        <v>154</v>
      </c>
      <c r="E8" s="126" t="s">
        <v>155</v>
      </c>
      <c r="F8" s="121"/>
      <c r="G8" s="127" t="s">
        <v>32</v>
      </c>
      <c r="H8" s="127" t="s">
        <v>149</v>
      </c>
      <c r="I8" s="124"/>
      <c r="J8" s="127" t="s">
        <v>213</v>
      </c>
      <c r="K8" s="127" t="s">
        <v>156</v>
      </c>
    </row>
    <row r="9" spans="1:11" x14ac:dyDescent="0.25">
      <c r="A9" s="92" t="s">
        <v>157</v>
      </c>
      <c r="B9" s="105">
        <v>53150.52</v>
      </c>
      <c r="C9" s="105">
        <v>0</v>
      </c>
      <c r="D9" s="30">
        <f>B9-C9</f>
        <v>53150.52</v>
      </c>
      <c r="E9" s="31">
        <f>ROUND(D9/$D$64,4)</f>
        <v>4.0000000000000002E-4</v>
      </c>
      <c r="F9" s="132"/>
      <c r="G9" s="31">
        <v>0</v>
      </c>
      <c r="H9" s="30">
        <f>ROUND(B9*G9,0)</f>
        <v>0</v>
      </c>
      <c r="I9" s="132"/>
      <c r="J9" s="128">
        <f>IFERROR(D9/H9,0)</f>
        <v>0</v>
      </c>
      <c r="K9" s="128">
        <f>E9*J9</f>
        <v>0</v>
      </c>
    </row>
    <row r="10" spans="1:11" x14ac:dyDescent="0.25">
      <c r="A10" s="92" t="s">
        <v>158</v>
      </c>
      <c r="B10" s="105">
        <v>97038.2</v>
      </c>
      <c r="C10" s="105">
        <v>82200.31</v>
      </c>
      <c r="D10" s="30">
        <f t="shared" ref="D10:D63" si="0">B10-C10</f>
        <v>14837.89</v>
      </c>
      <c r="E10" s="31">
        <f t="shared" ref="E10:E63" si="1">ROUND(D10/$D$64,4)</f>
        <v>1E-4</v>
      </c>
      <c r="F10" s="132"/>
      <c r="G10" s="31">
        <v>0.03</v>
      </c>
      <c r="H10" s="30">
        <f t="shared" ref="H10:H63" si="2">ROUND(B10*G10,0)</f>
        <v>2911</v>
      </c>
      <c r="I10" s="132"/>
      <c r="J10" s="128">
        <f>IFERROR(D10/H10,0)</f>
        <v>5.097179663345929</v>
      </c>
      <c r="K10" s="128">
        <f t="shared" ref="K10:K63" si="3">E10*J10</f>
        <v>5.0971796633459288E-4</v>
      </c>
    </row>
    <row r="11" spans="1:11" x14ac:dyDescent="0.25">
      <c r="A11" s="92" t="s">
        <v>159</v>
      </c>
      <c r="B11" s="105">
        <v>47946.51</v>
      </c>
      <c r="C11" s="105">
        <v>39847.160000000003</v>
      </c>
      <c r="D11" s="30">
        <f t="shared" si="0"/>
        <v>8099.3499999999985</v>
      </c>
      <c r="E11" s="31">
        <f t="shared" si="1"/>
        <v>1E-4</v>
      </c>
      <c r="F11" s="132"/>
      <c r="G11" s="31">
        <v>0.03</v>
      </c>
      <c r="H11" s="30">
        <f t="shared" si="2"/>
        <v>1438</v>
      </c>
      <c r="I11" s="132"/>
      <c r="J11" s="128">
        <f t="shared" ref="J11:J63" si="4">IFERROR(D11/H11,0)</f>
        <v>5.6323713490959655</v>
      </c>
      <c r="K11" s="128">
        <f t="shared" si="3"/>
        <v>5.6323713490959658E-4</v>
      </c>
    </row>
    <row r="12" spans="1:11" x14ac:dyDescent="0.25">
      <c r="A12" s="92" t="s">
        <v>160</v>
      </c>
      <c r="B12" s="105">
        <v>7795.46</v>
      </c>
      <c r="C12" s="105">
        <v>7795.46</v>
      </c>
      <c r="D12" s="30">
        <f t="shared" si="0"/>
        <v>0</v>
      </c>
      <c r="E12" s="31">
        <f t="shared" si="1"/>
        <v>0</v>
      </c>
      <c r="F12" s="132"/>
      <c r="G12" s="31">
        <v>0.04</v>
      </c>
      <c r="H12" s="30">
        <f t="shared" si="2"/>
        <v>312</v>
      </c>
      <c r="I12" s="132"/>
      <c r="J12" s="128">
        <f t="shared" si="4"/>
        <v>0</v>
      </c>
      <c r="K12" s="128">
        <f t="shared" si="3"/>
        <v>0</v>
      </c>
    </row>
    <row r="13" spans="1:11" x14ac:dyDescent="0.25">
      <c r="A13" s="92" t="s">
        <v>161</v>
      </c>
      <c r="B13" s="105">
        <v>2120526.08</v>
      </c>
      <c r="C13" s="105">
        <v>1678937.94</v>
      </c>
      <c r="D13" s="30">
        <f t="shared" si="0"/>
        <v>441588.14000000013</v>
      </c>
      <c r="E13" s="31">
        <f t="shared" si="1"/>
        <v>3.2000000000000002E-3</v>
      </c>
      <c r="F13" s="132"/>
      <c r="G13" s="31">
        <v>2.2499999999999999E-2</v>
      </c>
      <c r="H13" s="30">
        <f t="shared" si="2"/>
        <v>47712</v>
      </c>
      <c r="I13" s="132"/>
      <c r="J13" s="128">
        <f t="shared" si="4"/>
        <v>9.2552846244131484</v>
      </c>
      <c r="K13" s="128">
        <f t="shared" si="3"/>
        <v>2.9616910798122075E-2</v>
      </c>
    </row>
    <row r="14" spans="1:11" x14ac:dyDescent="0.25">
      <c r="A14" s="92" t="s">
        <v>162</v>
      </c>
      <c r="B14" s="105">
        <v>882372.57</v>
      </c>
      <c r="C14" s="105">
        <v>861047.73</v>
      </c>
      <c r="D14" s="30">
        <f t="shared" si="0"/>
        <v>21324.839999999967</v>
      </c>
      <c r="E14" s="31">
        <f t="shared" si="1"/>
        <v>2.0000000000000001E-4</v>
      </c>
      <c r="F14" s="132"/>
      <c r="G14" s="31">
        <v>0.04</v>
      </c>
      <c r="H14" s="30">
        <f t="shared" si="2"/>
        <v>35295</v>
      </c>
      <c r="I14" s="132"/>
      <c r="J14" s="128">
        <f t="shared" si="4"/>
        <v>0.60418869528261698</v>
      </c>
      <c r="K14" s="128">
        <f t="shared" si="3"/>
        <v>1.208377390565234E-4</v>
      </c>
    </row>
    <row r="15" spans="1:11" x14ac:dyDescent="0.25">
      <c r="A15" s="92" t="s">
        <v>163</v>
      </c>
      <c r="B15" s="105">
        <v>180880.93</v>
      </c>
      <c r="C15" s="105">
        <v>105985.2</v>
      </c>
      <c r="D15" s="30">
        <f t="shared" si="0"/>
        <v>74895.73</v>
      </c>
      <c r="E15" s="31">
        <f t="shared" si="1"/>
        <v>5.0000000000000001E-4</v>
      </c>
      <c r="F15" s="132"/>
      <c r="G15" s="31">
        <v>2.7199999999999998E-2</v>
      </c>
      <c r="H15" s="30">
        <f t="shared" si="2"/>
        <v>4920</v>
      </c>
      <c r="I15" s="132"/>
      <c r="J15" s="128">
        <f t="shared" si="4"/>
        <v>15.222709349593496</v>
      </c>
      <c r="K15" s="128">
        <f t="shared" si="3"/>
        <v>7.6113546747967479E-3</v>
      </c>
    </row>
    <row r="16" spans="1:11" x14ac:dyDescent="0.25">
      <c r="A16" s="92" t="s">
        <v>164</v>
      </c>
      <c r="B16" s="105">
        <v>74294.61</v>
      </c>
      <c r="C16" s="105">
        <v>0</v>
      </c>
      <c r="D16" s="30">
        <f t="shared" si="0"/>
        <v>74294.61</v>
      </c>
      <c r="E16" s="31">
        <f t="shared" si="1"/>
        <v>5.0000000000000001E-4</v>
      </c>
      <c r="F16" s="132"/>
      <c r="G16" s="31">
        <v>0</v>
      </c>
      <c r="H16" s="30">
        <f t="shared" si="2"/>
        <v>0</v>
      </c>
      <c r="I16" s="132"/>
      <c r="J16" s="128">
        <f t="shared" si="4"/>
        <v>0</v>
      </c>
      <c r="K16" s="128">
        <f t="shared" si="3"/>
        <v>0</v>
      </c>
    </row>
    <row r="17" spans="1:11" x14ac:dyDescent="0.25">
      <c r="A17" s="92" t="s">
        <v>165</v>
      </c>
      <c r="B17" s="105">
        <v>186820.97</v>
      </c>
      <c r="C17" s="105">
        <v>0</v>
      </c>
      <c r="D17" s="30">
        <f t="shared" si="0"/>
        <v>186820.97</v>
      </c>
      <c r="E17" s="31">
        <f t="shared" si="1"/>
        <v>1.4E-3</v>
      </c>
      <c r="F17" s="132"/>
      <c r="G17" s="31">
        <v>0</v>
      </c>
      <c r="H17" s="30">
        <f t="shared" si="2"/>
        <v>0</v>
      </c>
      <c r="I17" s="132"/>
      <c r="J17" s="128">
        <f t="shared" si="4"/>
        <v>0</v>
      </c>
      <c r="K17" s="128">
        <f t="shared" si="3"/>
        <v>0</v>
      </c>
    </row>
    <row r="18" spans="1:11" x14ac:dyDescent="0.25">
      <c r="A18" s="92" t="s">
        <v>166</v>
      </c>
      <c r="B18" s="105">
        <v>1494.93</v>
      </c>
      <c r="C18" s="105">
        <v>0</v>
      </c>
      <c r="D18" s="30">
        <f t="shared" si="0"/>
        <v>1494.93</v>
      </c>
      <c r="E18" s="31">
        <f t="shared" si="1"/>
        <v>0</v>
      </c>
      <c r="F18" s="132"/>
      <c r="G18" s="31">
        <v>0</v>
      </c>
      <c r="H18" s="30">
        <f t="shared" si="2"/>
        <v>0</v>
      </c>
      <c r="I18" s="132"/>
      <c r="J18" s="128">
        <f t="shared" si="4"/>
        <v>0</v>
      </c>
      <c r="K18" s="128">
        <f t="shared" si="3"/>
        <v>0</v>
      </c>
    </row>
    <row r="19" spans="1:11" x14ac:dyDescent="0.25">
      <c r="A19" s="92" t="s">
        <v>167</v>
      </c>
      <c r="B19" s="105">
        <v>706162.11</v>
      </c>
      <c r="C19" s="105">
        <v>180743.09</v>
      </c>
      <c r="D19" s="30">
        <f t="shared" si="0"/>
        <v>525419.02</v>
      </c>
      <c r="E19" s="31">
        <f t="shared" si="1"/>
        <v>3.8E-3</v>
      </c>
      <c r="F19" s="132"/>
      <c r="G19" s="31">
        <v>2.58E-2</v>
      </c>
      <c r="H19" s="30">
        <f t="shared" si="2"/>
        <v>18219</v>
      </c>
      <c r="I19" s="132"/>
      <c r="J19" s="128">
        <f t="shared" si="4"/>
        <v>28.839070201438059</v>
      </c>
      <c r="K19" s="128">
        <f t="shared" si="3"/>
        <v>0.10958846676546462</v>
      </c>
    </row>
    <row r="20" spans="1:11" x14ac:dyDescent="0.25">
      <c r="A20" s="92" t="s">
        <v>168</v>
      </c>
      <c r="B20" s="105">
        <v>8219579.4400000004</v>
      </c>
      <c r="C20" s="105">
        <v>687841.95</v>
      </c>
      <c r="D20" s="30">
        <f t="shared" si="0"/>
        <v>7531737.4900000002</v>
      </c>
      <c r="E20" s="31">
        <f t="shared" si="1"/>
        <v>5.5100000000000003E-2</v>
      </c>
      <c r="F20" s="132"/>
      <c r="G20" s="31">
        <v>3.1899999999999998E-2</v>
      </c>
      <c r="H20" s="30">
        <f t="shared" si="2"/>
        <v>262205</v>
      </c>
      <c r="I20" s="132"/>
      <c r="J20" s="128">
        <f t="shared" si="4"/>
        <v>28.72461429034534</v>
      </c>
      <c r="K20" s="128">
        <f t="shared" si="3"/>
        <v>1.5827262473980284</v>
      </c>
    </row>
    <row r="21" spans="1:11" x14ac:dyDescent="0.25">
      <c r="A21" s="92" t="s">
        <v>169</v>
      </c>
      <c r="B21" s="105">
        <v>860396.29</v>
      </c>
      <c r="C21" s="105">
        <v>527238.23</v>
      </c>
      <c r="D21" s="30">
        <f t="shared" si="0"/>
        <v>333158.06000000006</v>
      </c>
      <c r="E21" s="31">
        <f t="shared" si="1"/>
        <v>2.3999999999999998E-3</v>
      </c>
      <c r="F21" s="132"/>
      <c r="G21" s="31">
        <v>1.8499999999999999E-2</v>
      </c>
      <c r="H21" s="30">
        <f t="shared" si="2"/>
        <v>15917</v>
      </c>
      <c r="I21" s="132"/>
      <c r="J21" s="128">
        <f t="shared" si="4"/>
        <v>20.930958095118431</v>
      </c>
      <c r="K21" s="128">
        <f t="shared" si="3"/>
        <v>5.0234299428284231E-2</v>
      </c>
    </row>
    <row r="22" spans="1:11" x14ac:dyDescent="0.25">
      <c r="A22" s="92" t="s">
        <v>170</v>
      </c>
      <c r="B22" s="105">
        <v>1759384.1800000002</v>
      </c>
      <c r="C22" s="105">
        <v>910063.4</v>
      </c>
      <c r="D22" s="30">
        <f t="shared" si="0"/>
        <v>849320.78000000014</v>
      </c>
      <c r="E22" s="31">
        <f t="shared" si="1"/>
        <v>6.1999999999999998E-3</v>
      </c>
      <c r="F22" s="132"/>
      <c r="G22" s="31">
        <v>1.83E-2</v>
      </c>
      <c r="H22" s="30">
        <f t="shared" si="2"/>
        <v>32197</v>
      </c>
      <c r="I22" s="132"/>
      <c r="J22" s="128">
        <f t="shared" si="4"/>
        <v>26.378879398701748</v>
      </c>
      <c r="K22" s="128">
        <f t="shared" si="3"/>
        <v>0.16354905227195082</v>
      </c>
    </row>
    <row r="23" spans="1:11" x14ac:dyDescent="0.25">
      <c r="A23" s="92" t="s">
        <v>171</v>
      </c>
      <c r="B23" s="105">
        <v>294306.84000000003</v>
      </c>
      <c r="C23" s="105">
        <v>186124.6</v>
      </c>
      <c r="D23" s="30">
        <f t="shared" si="0"/>
        <v>108182.24000000002</v>
      </c>
      <c r="E23" s="31">
        <f t="shared" si="1"/>
        <v>8.0000000000000004E-4</v>
      </c>
      <c r="F23" s="132"/>
      <c r="G23" s="31">
        <v>1.7500000000000002E-2</v>
      </c>
      <c r="H23" s="30">
        <f t="shared" si="2"/>
        <v>5150</v>
      </c>
      <c r="I23" s="132"/>
      <c r="J23" s="128">
        <f t="shared" si="4"/>
        <v>21.006260194174761</v>
      </c>
      <c r="K23" s="128">
        <f t="shared" si="3"/>
        <v>1.680500815533981E-2</v>
      </c>
    </row>
    <row r="24" spans="1:11" x14ac:dyDescent="0.25">
      <c r="A24" s="92" t="s">
        <v>172</v>
      </c>
      <c r="B24" s="105">
        <v>6074566.5499999998</v>
      </c>
      <c r="C24" s="105">
        <v>2855538.2</v>
      </c>
      <c r="D24" s="30">
        <f t="shared" si="0"/>
        <v>3219028.3499999996</v>
      </c>
      <c r="E24" s="31">
        <f t="shared" si="1"/>
        <v>2.3599999999999999E-2</v>
      </c>
      <c r="F24" s="132"/>
      <c r="G24" s="31">
        <v>2.0500000000000001E-2</v>
      </c>
      <c r="H24" s="30">
        <f t="shared" si="2"/>
        <v>124529</v>
      </c>
      <c r="I24" s="132"/>
      <c r="J24" s="128">
        <f t="shared" si="4"/>
        <v>25.849628199054031</v>
      </c>
      <c r="K24" s="128">
        <f t="shared" si="3"/>
        <v>0.6100512254976751</v>
      </c>
    </row>
    <row r="25" spans="1:11" x14ac:dyDescent="0.25">
      <c r="A25" s="92" t="s">
        <v>173</v>
      </c>
      <c r="B25" s="105">
        <v>4411354.5</v>
      </c>
      <c r="C25" s="105">
        <v>1655688.46</v>
      </c>
      <c r="D25" s="30">
        <f t="shared" si="0"/>
        <v>2755666.04</v>
      </c>
      <c r="E25" s="31">
        <f t="shared" si="1"/>
        <v>2.0199999999999999E-2</v>
      </c>
      <c r="F25" s="132"/>
      <c r="G25" s="31">
        <v>1.9599999999999999E-2</v>
      </c>
      <c r="H25" s="30">
        <f t="shared" si="2"/>
        <v>86463</v>
      </c>
      <c r="I25" s="132"/>
      <c r="J25" s="128">
        <f t="shared" si="4"/>
        <v>31.871043567768872</v>
      </c>
      <c r="K25" s="128">
        <f t="shared" si="3"/>
        <v>0.64379508006893116</v>
      </c>
    </row>
    <row r="26" spans="1:11" x14ac:dyDescent="0.25">
      <c r="A26" s="92" t="s">
        <v>174</v>
      </c>
      <c r="B26" s="105">
        <v>1153241.2</v>
      </c>
      <c r="C26" s="105">
        <v>227591.13</v>
      </c>
      <c r="D26" s="30">
        <f t="shared" si="0"/>
        <v>925650.07</v>
      </c>
      <c r="E26" s="31">
        <f t="shared" si="1"/>
        <v>6.7999999999999996E-3</v>
      </c>
      <c r="F26" s="132"/>
      <c r="G26" s="31">
        <v>2.5899999999999999E-2</v>
      </c>
      <c r="H26" s="30">
        <f t="shared" si="2"/>
        <v>29869</v>
      </c>
      <c r="I26" s="132"/>
      <c r="J26" s="128">
        <f t="shared" si="4"/>
        <v>30.990326760186143</v>
      </c>
      <c r="K26" s="128">
        <f t="shared" si="3"/>
        <v>0.21073422196926575</v>
      </c>
    </row>
    <row r="27" spans="1:11" x14ac:dyDescent="0.25">
      <c r="A27" s="92" t="s">
        <v>175</v>
      </c>
      <c r="B27" s="105">
        <v>6408247.0099999998</v>
      </c>
      <c r="C27" s="105">
        <v>1296949.3400000001</v>
      </c>
      <c r="D27" s="30">
        <f t="shared" si="0"/>
        <v>5111297.67</v>
      </c>
      <c r="E27" s="31">
        <f t="shared" si="1"/>
        <v>3.7400000000000003E-2</v>
      </c>
      <c r="F27" s="132"/>
      <c r="G27" s="31">
        <v>3.1899999999999998E-2</v>
      </c>
      <c r="H27" s="30">
        <f t="shared" si="2"/>
        <v>204423</v>
      </c>
      <c r="I27" s="132"/>
      <c r="J27" s="128">
        <f t="shared" si="4"/>
        <v>25.003535169721605</v>
      </c>
      <c r="K27" s="128">
        <f t="shared" si="3"/>
        <v>0.93513221534758806</v>
      </c>
    </row>
    <row r="28" spans="1:11" x14ac:dyDescent="0.25">
      <c r="A28" s="92" t="s">
        <v>176</v>
      </c>
      <c r="B28" s="105">
        <v>109795.01000000001</v>
      </c>
      <c r="C28" s="105">
        <v>45470.75</v>
      </c>
      <c r="D28" s="30">
        <f t="shared" si="0"/>
        <v>64324.260000000009</v>
      </c>
      <c r="E28" s="31">
        <f t="shared" si="1"/>
        <v>5.0000000000000001E-4</v>
      </c>
      <c r="F28" s="132"/>
      <c r="G28" s="31">
        <v>5.1000000000000004E-3</v>
      </c>
      <c r="H28" s="30">
        <f t="shared" si="2"/>
        <v>560</v>
      </c>
      <c r="I28" s="132"/>
      <c r="J28" s="128">
        <f t="shared" si="4"/>
        <v>114.86475000000002</v>
      </c>
      <c r="K28" s="128">
        <f t="shared" si="3"/>
        <v>5.7432375000000008E-2</v>
      </c>
    </row>
    <row r="29" spans="1:11" x14ac:dyDescent="0.25">
      <c r="A29" s="92" t="s">
        <v>177</v>
      </c>
      <c r="B29" s="105">
        <v>425055.51</v>
      </c>
      <c r="C29" s="105">
        <v>0</v>
      </c>
      <c r="D29" s="30">
        <f t="shared" si="0"/>
        <v>425055.51</v>
      </c>
      <c r="E29" s="31">
        <f t="shared" si="1"/>
        <v>3.0999999999999999E-3</v>
      </c>
      <c r="F29" s="132"/>
      <c r="G29" s="31">
        <v>0</v>
      </c>
      <c r="H29" s="30">
        <f t="shared" si="2"/>
        <v>0</v>
      </c>
      <c r="I29" s="132"/>
      <c r="J29" s="128">
        <f t="shared" si="4"/>
        <v>0</v>
      </c>
      <c r="K29" s="128">
        <f t="shared" si="3"/>
        <v>0</v>
      </c>
    </row>
    <row r="30" spans="1:11" x14ac:dyDescent="0.25">
      <c r="A30" s="92" t="s">
        <v>178</v>
      </c>
      <c r="B30" s="105">
        <v>1250583.26</v>
      </c>
      <c r="C30" s="105">
        <v>0</v>
      </c>
      <c r="D30" s="30">
        <f t="shared" si="0"/>
        <v>1250583.26</v>
      </c>
      <c r="E30" s="31">
        <f t="shared" si="1"/>
        <v>9.1000000000000004E-3</v>
      </c>
      <c r="F30" s="132"/>
      <c r="G30" s="31">
        <v>0</v>
      </c>
      <c r="H30" s="30">
        <f t="shared" si="2"/>
        <v>0</v>
      </c>
      <c r="I30" s="132"/>
      <c r="J30" s="128">
        <f t="shared" si="4"/>
        <v>0</v>
      </c>
      <c r="K30" s="128">
        <f t="shared" si="3"/>
        <v>0</v>
      </c>
    </row>
    <row r="31" spans="1:11" x14ac:dyDescent="0.25">
      <c r="A31" s="92" t="s">
        <v>179</v>
      </c>
      <c r="B31" s="105">
        <v>163626.11000000002</v>
      </c>
      <c r="C31" s="105">
        <v>163626.11000000002</v>
      </c>
      <c r="D31" s="30">
        <f t="shared" si="0"/>
        <v>0</v>
      </c>
      <c r="E31" s="31">
        <f t="shared" si="1"/>
        <v>0</v>
      </c>
      <c r="F31" s="132"/>
      <c r="G31" s="31">
        <v>2.5000000000000001E-2</v>
      </c>
      <c r="H31" s="30">
        <f t="shared" si="2"/>
        <v>4091</v>
      </c>
      <c r="I31" s="132"/>
      <c r="J31" s="128">
        <f t="shared" si="4"/>
        <v>0</v>
      </c>
      <c r="K31" s="128">
        <f t="shared" si="3"/>
        <v>0</v>
      </c>
    </row>
    <row r="32" spans="1:11" x14ac:dyDescent="0.25">
      <c r="A32" s="92" t="s">
        <v>180</v>
      </c>
      <c r="B32" s="105">
        <v>257175.01</v>
      </c>
      <c r="C32" s="105">
        <v>129756.45</v>
      </c>
      <c r="D32" s="30">
        <f t="shared" si="0"/>
        <v>127418.56000000001</v>
      </c>
      <c r="E32" s="31">
        <f t="shared" si="1"/>
        <v>8.9999999999999998E-4</v>
      </c>
      <c r="F32" s="132"/>
      <c r="G32" s="31">
        <v>2.3E-2</v>
      </c>
      <c r="H32" s="30">
        <f t="shared" si="2"/>
        <v>5915</v>
      </c>
      <c r="I32" s="132"/>
      <c r="J32" s="128">
        <f t="shared" si="4"/>
        <v>21.541599323753172</v>
      </c>
      <c r="K32" s="128">
        <f t="shared" si="3"/>
        <v>1.9387439391377853E-2</v>
      </c>
    </row>
    <row r="33" spans="1:11" x14ac:dyDescent="0.25">
      <c r="A33" s="92" t="s">
        <v>181</v>
      </c>
      <c r="B33" s="105">
        <v>26645002.809999999</v>
      </c>
      <c r="C33" s="105">
        <v>16264297.640000001</v>
      </c>
      <c r="D33" s="30">
        <f t="shared" si="0"/>
        <v>10380705.169999998</v>
      </c>
      <c r="E33" s="31">
        <f t="shared" si="1"/>
        <v>7.5899999999999995E-2</v>
      </c>
      <c r="F33" s="132"/>
      <c r="G33" s="31">
        <v>2.3300000000000001E-2</v>
      </c>
      <c r="H33" s="30">
        <f t="shared" si="2"/>
        <v>620829</v>
      </c>
      <c r="I33" s="132"/>
      <c r="J33" s="128">
        <f t="shared" si="4"/>
        <v>16.720715639894397</v>
      </c>
      <c r="K33" s="128">
        <f t="shared" si="3"/>
        <v>1.2691023170679847</v>
      </c>
    </row>
    <row r="34" spans="1:11" x14ac:dyDescent="0.25">
      <c r="A34" s="92" t="s">
        <v>182</v>
      </c>
      <c r="B34" s="105">
        <v>18389359.16</v>
      </c>
      <c r="C34" s="105">
        <v>8072262.4400000004</v>
      </c>
      <c r="D34" s="30">
        <f t="shared" si="0"/>
        <v>10317096.719999999</v>
      </c>
      <c r="E34" s="31">
        <f t="shared" si="1"/>
        <v>7.5499999999999998E-2</v>
      </c>
      <c r="F34" s="132"/>
      <c r="G34" s="31">
        <v>2.3300000000000001E-2</v>
      </c>
      <c r="H34" s="30">
        <f t="shared" si="2"/>
        <v>428472</v>
      </c>
      <c r="I34" s="132"/>
      <c r="J34" s="128">
        <f t="shared" si="4"/>
        <v>24.078811964375731</v>
      </c>
      <c r="K34" s="128">
        <f t="shared" si="3"/>
        <v>1.8179503033103677</v>
      </c>
    </row>
    <row r="35" spans="1:11" x14ac:dyDescent="0.25">
      <c r="A35" s="92" t="s">
        <v>183</v>
      </c>
      <c r="B35" s="105">
        <v>8706861.8499999996</v>
      </c>
      <c r="C35" s="105">
        <v>3259998.42</v>
      </c>
      <c r="D35" s="30">
        <f t="shared" si="0"/>
        <v>5446863.4299999997</v>
      </c>
      <c r="E35" s="31">
        <f t="shared" si="1"/>
        <v>3.9800000000000002E-2</v>
      </c>
      <c r="F35" s="132"/>
      <c r="G35" s="31">
        <v>3.2599999999999997E-2</v>
      </c>
      <c r="H35" s="30">
        <f t="shared" si="2"/>
        <v>283844</v>
      </c>
      <c r="I35" s="132"/>
      <c r="J35" s="128">
        <f t="shared" si="4"/>
        <v>19.189637371232084</v>
      </c>
      <c r="K35" s="128">
        <f t="shared" si="3"/>
        <v>0.76374756737503702</v>
      </c>
    </row>
    <row r="36" spans="1:11" x14ac:dyDescent="0.25">
      <c r="A36" s="92" t="s">
        <v>184</v>
      </c>
      <c r="B36" s="105">
        <v>4164393.19</v>
      </c>
      <c r="C36" s="105">
        <v>1760684.81</v>
      </c>
      <c r="D36" s="30">
        <f t="shared" si="0"/>
        <v>2403708.38</v>
      </c>
      <c r="E36" s="31">
        <f t="shared" si="1"/>
        <v>1.7600000000000001E-2</v>
      </c>
      <c r="F36" s="132"/>
      <c r="G36" s="31">
        <v>3.0499999999999999E-2</v>
      </c>
      <c r="H36" s="30">
        <f t="shared" si="2"/>
        <v>127014</v>
      </c>
      <c r="I36" s="132"/>
      <c r="J36" s="128">
        <f t="shared" si="4"/>
        <v>18.924751444722627</v>
      </c>
      <c r="K36" s="128">
        <f t="shared" si="3"/>
        <v>0.33307562542711827</v>
      </c>
    </row>
    <row r="37" spans="1:11" x14ac:dyDescent="0.25">
      <c r="A37" s="92" t="s">
        <v>185</v>
      </c>
      <c r="B37" s="105">
        <v>441762.69</v>
      </c>
      <c r="C37" s="105">
        <v>347089.86</v>
      </c>
      <c r="D37" s="30">
        <f t="shared" si="0"/>
        <v>94672.830000000016</v>
      </c>
      <c r="E37" s="31">
        <f t="shared" si="1"/>
        <v>6.9999999999999999E-4</v>
      </c>
      <c r="F37" s="132"/>
      <c r="G37" s="31">
        <v>2.1899999999999999E-2</v>
      </c>
      <c r="H37" s="30">
        <f t="shared" si="2"/>
        <v>9675</v>
      </c>
      <c r="I37" s="132"/>
      <c r="J37" s="128">
        <f t="shared" si="4"/>
        <v>9.7853054263565902</v>
      </c>
      <c r="K37" s="128">
        <f t="shared" si="3"/>
        <v>6.8497137984496132E-3</v>
      </c>
    </row>
    <row r="38" spans="1:11" x14ac:dyDescent="0.25">
      <c r="A38" s="92" t="s">
        <v>186</v>
      </c>
      <c r="B38" s="105">
        <v>267120.32</v>
      </c>
      <c r="C38" s="105">
        <v>0</v>
      </c>
      <c r="D38" s="105">
        <f t="shared" si="0"/>
        <v>267120.32</v>
      </c>
      <c r="E38" s="129">
        <f t="shared" si="1"/>
        <v>2E-3</v>
      </c>
      <c r="F38" s="131"/>
      <c r="G38" s="129">
        <v>0</v>
      </c>
      <c r="H38" s="105">
        <f t="shared" si="2"/>
        <v>0</v>
      </c>
      <c r="I38" s="131"/>
      <c r="J38" s="99">
        <f t="shared" si="4"/>
        <v>0</v>
      </c>
      <c r="K38" s="99">
        <f t="shared" si="3"/>
        <v>0</v>
      </c>
    </row>
    <row r="39" spans="1:11" x14ac:dyDescent="0.25">
      <c r="A39" s="92" t="s">
        <v>187</v>
      </c>
      <c r="B39" s="105">
        <v>75837.25</v>
      </c>
      <c r="C39" s="105">
        <v>0</v>
      </c>
      <c r="D39" s="105">
        <f t="shared" si="0"/>
        <v>75837.25</v>
      </c>
      <c r="E39" s="129">
        <f t="shared" si="1"/>
        <v>5.9999999999999995E-4</v>
      </c>
      <c r="F39" s="131"/>
      <c r="G39" s="129">
        <v>0</v>
      </c>
      <c r="H39" s="105">
        <f t="shared" si="2"/>
        <v>0</v>
      </c>
      <c r="I39" s="131"/>
      <c r="J39" s="99">
        <f t="shared" si="4"/>
        <v>0</v>
      </c>
      <c r="K39" s="99">
        <f t="shared" si="3"/>
        <v>0</v>
      </c>
    </row>
    <row r="40" spans="1:11" x14ac:dyDescent="0.25">
      <c r="A40" s="92" t="s">
        <v>188</v>
      </c>
      <c r="B40" s="105">
        <v>109015.16</v>
      </c>
      <c r="C40" s="105">
        <v>79190.44</v>
      </c>
      <c r="D40" s="30">
        <f t="shared" si="0"/>
        <v>29824.720000000001</v>
      </c>
      <c r="E40" s="31">
        <f t="shared" si="1"/>
        <v>2.0000000000000001E-4</v>
      </c>
      <c r="F40" s="132"/>
      <c r="G40" s="31">
        <v>2.3400000000000001E-2</v>
      </c>
      <c r="H40" s="30">
        <f t="shared" si="2"/>
        <v>2551</v>
      </c>
      <c r="I40" s="132"/>
      <c r="J40" s="128">
        <f t="shared" si="4"/>
        <v>11.69138377107017</v>
      </c>
      <c r="K40" s="128">
        <f t="shared" si="3"/>
        <v>2.3382767542140339E-3</v>
      </c>
    </row>
    <row r="41" spans="1:11" x14ac:dyDescent="0.25">
      <c r="A41" s="92" t="s">
        <v>189</v>
      </c>
      <c r="B41" s="105">
        <v>81922310.930000007</v>
      </c>
      <c r="C41" s="105">
        <v>39675206.780000001</v>
      </c>
      <c r="D41" s="30">
        <f t="shared" si="0"/>
        <v>42247104.150000006</v>
      </c>
      <c r="E41" s="31">
        <f t="shared" si="1"/>
        <v>0.30909999999999999</v>
      </c>
      <c r="F41" s="132"/>
      <c r="G41" s="31">
        <v>3.1E-2</v>
      </c>
      <c r="H41" s="30">
        <f t="shared" si="2"/>
        <v>2539592</v>
      </c>
      <c r="I41" s="132"/>
      <c r="J41" s="128">
        <f t="shared" si="4"/>
        <v>16.635390310727079</v>
      </c>
      <c r="K41" s="128">
        <f t="shared" si="3"/>
        <v>5.1419991450457401</v>
      </c>
    </row>
    <row r="42" spans="1:11" x14ac:dyDescent="0.25">
      <c r="A42" s="92" t="s">
        <v>190</v>
      </c>
      <c r="B42" s="105">
        <v>2076708.56</v>
      </c>
      <c r="C42" s="105">
        <v>857454.26</v>
      </c>
      <c r="D42" s="30">
        <f t="shared" si="0"/>
        <v>1219254.3</v>
      </c>
      <c r="E42" s="31">
        <f t="shared" si="1"/>
        <v>8.8999999999999999E-3</v>
      </c>
      <c r="F42" s="132"/>
      <c r="G42" s="31">
        <v>2.7300000000000001E-2</v>
      </c>
      <c r="H42" s="30">
        <f t="shared" si="2"/>
        <v>56694</v>
      </c>
      <c r="I42" s="132"/>
      <c r="J42" s="128">
        <f t="shared" si="4"/>
        <v>21.505878928987194</v>
      </c>
      <c r="K42" s="128">
        <f t="shared" si="3"/>
        <v>0.19140232246798602</v>
      </c>
    </row>
    <row r="43" spans="1:11" x14ac:dyDescent="0.25">
      <c r="A43" s="92" t="s">
        <v>191</v>
      </c>
      <c r="B43" s="105">
        <v>948945.56</v>
      </c>
      <c r="C43" s="105">
        <v>463683.43</v>
      </c>
      <c r="D43" s="30">
        <f t="shared" si="0"/>
        <v>485262.13000000006</v>
      </c>
      <c r="E43" s="31">
        <f t="shared" si="1"/>
        <v>3.5999999999999999E-3</v>
      </c>
      <c r="F43" s="132"/>
      <c r="G43" s="31">
        <v>1.7999999999999999E-2</v>
      </c>
      <c r="H43" s="30">
        <f t="shared" si="2"/>
        <v>17081</v>
      </c>
      <c r="I43" s="132"/>
      <c r="J43" s="128">
        <f t="shared" si="4"/>
        <v>28.409468415198177</v>
      </c>
      <c r="K43" s="128">
        <f t="shared" si="3"/>
        <v>0.10227408629471343</v>
      </c>
    </row>
    <row r="44" spans="1:11" x14ac:dyDescent="0.25">
      <c r="A44" s="92" t="s">
        <v>192</v>
      </c>
      <c r="B44" s="105">
        <v>19146072.59</v>
      </c>
      <c r="C44" s="105">
        <v>989403.17</v>
      </c>
      <c r="D44" s="30">
        <f t="shared" si="0"/>
        <v>18156669.419999998</v>
      </c>
      <c r="E44" s="31">
        <f t="shared" si="1"/>
        <v>0.1328</v>
      </c>
      <c r="F44" s="132"/>
      <c r="G44" s="31">
        <v>2.69E-2</v>
      </c>
      <c r="H44" s="30">
        <f t="shared" si="2"/>
        <v>515029</v>
      </c>
      <c r="I44" s="132"/>
      <c r="J44" s="128">
        <f t="shared" si="4"/>
        <v>35.253683617815689</v>
      </c>
      <c r="K44" s="128">
        <f t="shared" si="3"/>
        <v>4.6816891844459239</v>
      </c>
    </row>
    <row r="45" spans="1:11" x14ac:dyDescent="0.25">
      <c r="A45" s="92" t="s">
        <v>193</v>
      </c>
      <c r="B45" s="105">
        <v>9012708.6899999995</v>
      </c>
      <c r="C45" s="105">
        <v>3512713.71</v>
      </c>
      <c r="D45" s="30">
        <f t="shared" si="0"/>
        <v>5499994.9799999995</v>
      </c>
      <c r="E45" s="31">
        <f t="shared" si="1"/>
        <v>4.02E-2</v>
      </c>
      <c r="F45" s="132"/>
      <c r="G45" s="31">
        <v>2.9000000000000001E-2</v>
      </c>
      <c r="H45" s="30">
        <f t="shared" si="2"/>
        <v>261369</v>
      </c>
      <c r="I45" s="132"/>
      <c r="J45" s="128">
        <f t="shared" si="4"/>
        <v>21.043027214398034</v>
      </c>
      <c r="K45" s="128">
        <f t="shared" si="3"/>
        <v>0.84592969401880092</v>
      </c>
    </row>
    <row r="46" spans="1:11" x14ac:dyDescent="0.25">
      <c r="A46" s="92" t="s">
        <v>194</v>
      </c>
      <c r="B46" s="105">
        <v>3575494.96</v>
      </c>
      <c r="C46" s="105">
        <v>1006700.14</v>
      </c>
      <c r="D46" s="30">
        <f t="shared" si="0"/>
        <v>2568794.8199999998</v>
      </c>
      <c r="E46" s="31">
        <f t="shared" si="1"/>
        <v>1.8800000000000001E-2</v>
      </c>
      <c r="F46" s="132"/>
      <c r="G46" s="31">
        <v>1.5299999999999999E-2</v>
      </c>
      <c r="H46" s="30">
        <f t="shared" si="2"/>
        <v>54705</v>
      </c>
      <c r="I46" s="132"/>
      <c r="J46" s="128">
        <f t="shared" si="4"/>
        <v>46.957221826158481</v>
      </c>
      <c r="K46" s="128">
        <f t="shared" si="3"/>
        <v>0.88279577033177947</v>
      </c>
    </row>
    <row r="47" spans="1:11" x14ac:dyDescent="0.25">
      <c r="A47" s="92" t="s">
        <v>195</v>
      </c>
      <c r="B47" s="105">
        <v>4127546.56</v>
      </c>
      <c r="C47" s="105">
        <v>2455734.96</v>
      </c>
      <c r="D47" s="30">
        <f t="shared" si="0"/>
        <v>1671811.6</v>
      </c>
      <c r="E47" s="31">
        <f t="shared" si="1"/>
        <v>1.2200000000000001E-2</v>
      </c>
      <c r="F47" s="132"/>
      <c r="G47" s="31">
        <v>4.1300000000000003E-2</v>
      </c>
      <c r="H47" s="30">
        <f t="shared" si="2"/>
        <v>170468</v>
      </c>
      <c r="I47" s="132"/>
      <c r="J47" s="128">
        <f t="shared" si="4"/>
        <v>9.8071872726846099</v>
      </c>
      <c r="K47" s="128">
        <f t="shared" si="3"/>
        <v>0.11964768472675225</v>
      </c>
    </row>
    <row r="48" spans="1:11" x14ac:dyDescent="0.25">
      <c r="A48" s="92" t="s">
        <v>196</v>
      </c>
      <c r="B48" s="105">
        <v>1676150.69</v>
      </c>
      <c r="C48" s="105">
        <v>578017.18999999994</v>
      </c>
      <c r="D48" s="30">
        <f t="shared" si="0"/>
        <v>1098133.5</v>
      </c>
      <c r="E48" s="31">
        <f t="shared" si="1"/>
        <v>8.0000000000000002E-3</v>
      </c>
      <c r="F48" s="132"/>
      <c r="G48" s="31">
        <v>1.83E-2</v>
      </c>
      <c r="H48" s="30">
        <f t="shared" si="2"/>
        <v>30674</v>
      </c>
      <c r="I48" s="132"/>
      <c r="J48" s="128">
        <f t="shared" si="4"/>
        <v>35.800140183869075</v>
      </c>
      <c r="K48" s="128">
        <f t="shared" si="3"/>
        <v>0.28640112147095259</v>
      </c>
    </row>
    <row r="49" spans="1:11" x14ac:dyDescent="0.25">
      <c r="A49" s="92" t="s">
        <v>197</v>
      </c>
      <c r="B49" s="105">
        <v>999353.67</v>
      </c>
      <c r="C49" s="105">
        <v>0</v>
      </c>
      <c r="D49" s="30">
        <f t="shared" si="0"/>
        <v>999353.67</v>
      </c>
      <c r="E49" s="31">
        <f t="shared" si="1"/>
        <v>7.3000000000000001E-3</v>
      </c>
      <c r="F49" s="132"/>
      <c r="G49" s="31">
        <v>0</v>
      </c>
      <c r="H49" s="30">
        <f t="shared" si="2"/>
        <v>0</v>
      </c>
      <c r="I49" s="132"/>
      <c r="J49" s="128">
        <f t="shared" si="4"/>
        <v>0</v>
      </c>
      <c r="K49" s="128">
        <f t="shared" si="3"/>
        <v>0</v>
      </c>
    </row>
    <row r="50" spans="1:11" x14ac:dyDescent="0.25">
      <c r="A50" s="92" t="s">
        <v>198</v>
      </c>
      <c r="B50" s="105">
        <v>5828960.7300000004</v>
      </c>
      <c r="C50" s="105">
        <v>2714024.99</v>
      </c>
      <c r="D50" s="30">
        <f t="shared" si="0"/>
        <v>3114935.74</v>
      </c>
      <c r="E50" s="31">
        <f t="shared" si="1"/>
        <v>2.2800000000000001E-2</v>
      </c>
      <c r="F50" s="132"/>
      <c r="G50" s="31">
        <v>0.02</v>
      </c>
      <c r="H50" s="30">
        <f t="shared" si="2"/>
        <v>116579</v>
      </c>
      <c r="I50" s="132"/>
      <c r="J50" s="128">
        <f t="shared" si="4"/>
        <v>26.719527016014894</v>
      </c>
      <c r="K50" s="128">
        <f t="shared" si="3"/>
        <v>0.60920521596513955</v>
      </c>
    </row>
    <row r="51" spans="1:11" x14ac:dyDescent="0.25">
      <c r="A51" s="92" t="s">
        <v>199</v>
      </c>
      <c r="B51" s="105">
        <v>180448.43</v>
      </c>
      <c r="C51" s="105">
        <v>52196.66</v>
      </c>
      <c r="D51" s="30">
        <f t="shared" si="0"/>
        <v>128251.76999999999</v>
      </c>
      <c r="E51" s="31">
        <f t="shared" si="1"/>
        <v>8.9999999999999998E-4</v>
      </c>
      <c r="F51" s="132"/>
      <c r="G51" s="31">
        <v>0.01</v>
      </c>
      <c r="H51" s="30">
        <f t="shared" si="2"/>
        <v>1804</v>
      </c>
      <c r="I51" s="132"/>
      <c r="J51" s="128">
        <f t="shared" si="4"/>
        <v>71.092998891352551</v>
      </c>
      <c r="K51" s="128">
        <f t="shared" si="3"/>
        <v>6.3983699002217287E-2</v>
      </c>
    </row>
    <row r="52" spans="1:11" x14ac:dyDescent="0.25">
      <c r="A52" s="92" t="s">
        <v>200</v>
      </c>
      <c r="B52" s="105">
        <v>4980526.8899999997</v>
      </c>
      <c r="C52" s="105">
        <v>2272812.21</v>
      </c>
      <c r="D52" s="30">
        <f t="shared" si="0"/>
        <v>2707714.6799999997</v>
      </c>
      <c r="E52" s="31">
        <f t="shared" si="1"/>
        <v>1.9800000000000002E-2</v>
      </c>
      <c r="F52" s="132"/>
      <c r="G52" s="31">
        <v>8.14E-2</v>
      </c>
      <c r="H52" s="30">
        <f t="shared" si="2"/>
        <v>405415</v>
      </c>
      <c r="I52" s="132"/>
      <c r="J52" s="128">
        <f t="shared" si="4"/>
        <v>6.6788714773750346</v>
      </c>
      <c r="K52" s="128">
        <f t="shared" si="3"/>
        <v>0.13224165525202569</v>
      </c>
    </row>
    <row r="53" spans="1:11" x14ac:dyDescent="0.25">
      <c r="A53" s="92" t="s">
        <v>201</v>
      </c>
      <c r="B53" s="105">
        <v>36010.82</v>
      </c>
      <c r="C53" s="105">
        <v>35221.46</v>
      </c>
      <c r="D53" s="30">
        <f t="shared" si="0"/>
        <v>789.36000000000058</v>
      </c>
      <c r="E53" s="31">
        <f t="shared" si="1"/>
        <v>0</v>
      </c>
      <c r="F53" s="132"/>
      <c r="G53" s="31">
        <v>0.02</v>
      </c>
      <c r="H53" s="30">
        <f t="shared" si="2"/>
        <v>720</v>
      </c>
      <c r="I53" s="132"/>
      <c r="J53" s="128">
        <f t="shared" si="4"/>
        <v>1.096333333333334</v>
      </c>
      <c r="K53" s="128">
        <f t="shared" si="3"/>
        <v>0</v>
      </c>
    </row>
    <row r="54" spans="1:11" x14ac:dyDescent="0.25">
      <c r="A54" s="92" t="s">
        <v>202</v>
      </c>
      <c r="B54" s="105">
        <v>892042.56</v>
      </c>
      <c r="C54" s="105">
        <v>402922.66</v>
      </c>
      <c r="D54" s="30">
        <f t="shared" si="0"/>
        <v>489119.90000000008</v>
      </c>
      <c r="E54" s="31">
        <f t="shared" si="1"/>
        <v>3.5999999999999999E-3</v>
      </c>
      <c r="F54" s="132"/>
      <c r="G54" s="31">
        <v>0.04</v>
      </c>
      <c r="H54" s="30">
        <f t="shared" si="2"/>
        <v>35682</v>
      </c>
      <c r="I54" s="132"/>
      <c r="J54" s="128">
        <f t="shared" si="4"/>
        <v>13.707749005100613</v>
      </c>
      <c r="K54" s="128">
        <f t="shared" si="3"/>
        <v>4.9347896418362208E-2</v>
      </c>
    </row>
    <row r="55" spans="1:11" x14ac:dyDescent="0.25">
      <c r="A55" s="92" t="s">
        <v>203</v>
      </c>
      <c r="B55" s="105">
        <v>271352.46000000002</v>
      </c>
      <c r="C55" s="105">
        <v>271352.46000000002</v>
      </c>
      <c r="D55" s="30">
        <f t="shared" si="0"/>
        <v>0</v>
      </c>
      <c r="E55" s="31">
        <f t="shared" si="1"/>
        <v>0</v>
      </c>
      <c r="F55" s="132"/>
      <c r="G55" s="31">
        <v>0</v>
      </c>
      <c r="H55" s="30">
        <f t="shared" si="2"/>
        <v>0</v>
      </c>
      <c r="I55" s="132"/>
      <c r="J55" s="128">
        <f t="shared" si="4"/>
        <v>0</v>
      </c>
      <c r="K55" s="128">
        <f t="shared" si="3"/>
        <v>0</v>
      </c>
    </row>
    <row r="56" spans="1:11" x14ac:dyDescent="0.25">
      <c r="A56" s="92" t="s">
        <v>204</v>
      </c>
      <c r="B56" s="105">
        <v>293796.11</v>
      </c>
      <c r="C56" s="105">
        <v>249532.3</v>
      </c>
      <c r="D56" s="30">
        <f t="shared" si="0"/>
        <v>44263.81</v>
      </c>
      <c r="E56" s="31">
        <f t="shared" si="1"/>
        <v>2.9999999999999997E-4</v>
      </c>
      <c r="F56" s="132"/>
      <c r="G56" s="31">
        <v>0.05</v>
      </c>
      <c r="H56" s="30">
        <f t="shared" si="2"/>
        <v>14690</v>
      </c>
      <c r="I56" s="132"/>
      <c r="J56" s="128">
        <f t="shared" si="4"/>
        <v>3.0131933287950985</v>
      </c>
      <c r="K56" s="128">
        <f t="shared" si="3"/>
        <v>9.0395799863852945E-4</v>
      </c>
    </row>
    <row r="57" spans="1:11" x14ac:dyDescent="0.25">
      <c r="A57" s="92" t="s">
        <v>205</v>
      </c>
      <c r="B57" s="105">
        <v>3946760.79</v>
      </c>
      <c r="C57" s="105">
        <v>1127584.3700000001</v>
      </c>
      <c r="D57" s="30">
        <f t="shared" si="0"/>
        <v>2819176.42</v>
      </c>
      <c r="E57" s="31">
        <f t="shared" si="1"/>
        <v>2.06E-2</v>
      </c>
      <c r="F57" s="132"/>
      <c r="G57" s="31">
        <v>0.02</v>
      </c>
      <c r="H57" s="30">
        <f t="shared" si="2"/>
        <v>78935</v>
      </c>
      <c r="I57" s="132"/>
      <c r="J57" s="128">
        <f t="shared" si="4"/>
        <v>35.715163362260085</v>
      </c>
      <c r="K57" s="128">
        <f t="shared" si="3"/>
        <v>0.73573236526255781</v>
      </c>
    </row>
    <row r="58" spans="1:11" x14ac:dyDescent="0.25">
      <c r="A58" s="92" t="s">
        <v>206</v>
      </c>
      <c r="B58" s="105">
        <v>339747.6</v>
      </c>
      <c r="C58" s="105">
        <v>147430.72</v>
      </c>
      <c r="D58" s="30">
        <f t="shared" si="0"/>
        <v>192316.87999999998</v>
      </c>
      <c r="E58" s="31">
        <f t="shared" si="1"/>
        <v>1.4E-3</v>
      </c>
      <c r="F58" s="132"/>
      <c r="G58" s="31">
        <v>0.05</v>
      </c>
      <c r="H58" s="30">
        <f t="shared" si="2"/>
        <v>16987</v>
      </c>
      <c r="I58" s="132"/>
      <c r="J58" s="128">
        <f t="shared" si="4"/>
        <v>11.321415199858714</v>
      </c>
      <c r="K58" s="128">
        <f t="shared" si="3"/>
        <v>1.5849981279802201E-2</v>
      </c>
    </row>
    <row r="59" spans="1:11" x14ac:dyDescent="0.25">
      <c r="A59" s="92" t="s">
        <v>207</v>
      </c>
      <c r="B59" s="105">
        <v>50132.03</v>
      </c>
      <c r="C59" s="105">
        <v>35128.42</v>
      </c>
      <c r="D59" s="30">
        <f t="shared" si="0"/>
        <v>15003.61</v>
      </c>
      <c r="E59" s="31">
        <f t="shared" si="1"/>
        <v>1E-4</v>
      </c>
      <c r="F59" s="132"/>
      <c r="G59" s="31">
        <v>0.02</v>
      </c>
      <c r="H59" s="30">
        <f t="shared" si="2"/>
        <v>1003</v>
      </c>
      <c r="I59" s="132"/>
      <c r="J59" s="128">
        <f t="shared" si="4"/>
        <v>14.958733798604188</v>
      </c>
      <c r="K59" s="128">
        <f t="shared" si="3"/>
        <v>1.4958733798604189E-3</v>
      </c>
    </row>
    <row r="60" spans="1:11" x14ac:dyDescent="0.25">
      <c r="A60" s="92" t="s">
        <v>208</v>
      </c>
      <c r="B60" s="105">
        <v>638508.87</v>
      </c>
      <c r="C60" s="105">
        <v>638508.87</v>
      </c>
      <c r="D60" s="30">
        <f t="shared" si="0"/>
        <v>0</v>
      </c>
      <c r="E60" s="31">
        <f t="shared" si="1"/>
        <v>0</v>
      </c>
      <c r="F60" s="132"/>
      <c r="G60" s="31">
        <v>0.04</v>
      </c>
      <c r="H60" s="30">
        <f t="shared" si="2"/>
        <v>25540</v>
      </c>
      <c r="I60" s="132"/>
      <c r="J60" s="128">
        <f t="shared" si="4"/>
        <v>0</v>
      </c>
      <c r="K60" s="128">
        <f t="shared" si="3"/>
        <v>0</v>
      </c>
    </row>
    <row r="61" spans="1:11" x14ac:dyDescent="0.25">
      <c r="A61" s="92" t="s">
        <v>209</v>
      </c>
      <c r="B61" s="105">
        <v>4689323.74</v>
      </c>
      <c r="C61" s="105">
        <v>4689323.74</v>
      </c>
      <c r="D61" s="30">
        <f t="shared" si="0"/>
        <v>0</v>
      </c>
      <c r="E61" s="31">
        <f t="shared" si="1"/>
        <v>0</v>
      </c>
      <c r="F61" s="132"/>
      <c r="G61" s="31">
        <v>0.1</v>
      </c>
      <c r="H61" s="30">
        <f t="shared" si="2"/>
        <v>468932</v>
      </c>
      <c r="I61" s="132"/>
      <c r="J61" s="128">
        <f t="shared" si="4"/>
        <v>0</v>
      </c>
      <c r="K61" s="128">
        <f t="shared" si="3"/>
        <v>0</v>
      </c>
    </row>
    <row r="62" spans="1:11" x14ac:dyDescent="0.25">
      <c r="A62" s="130" t="s">
        <v>210</v>
      </c>
      <c r="B62" s="131">
        <v>910221.35</v>
      </c>
      <c r="C62" s="131">
        <v>805140.67</v>
      </c>
      <c r="D62" s="132">
        <f t="shared" si="0"/>
        <v>105080.67999999993</v>
      </c>
      <c r="E62" s="133">
        <f t="shared" si="1"/>
        <v>8.0000000000000004E-4</v>
      </c>
      <c r="F62" s="132"/>
      <c r="G62" s="133">
        <v>0.1</v>
      </c>
      <c r="H62" s="132">
        <f t="shared" si="2"/>
        <v>91022</v>
      </c>
      <c r="I62" s="132"/>
      <c r="J62" s="128">
        <f t="shared" si="4"/>
        <v>1.1544536485684773</v>
      </c>
      <c r="K62" s="134">
        <f t="shared" si="3"/>
        <v>9.2356291885478193E-4</v>
      </c>
    </row>
    <row r="63" spans="1:11" x14ac:dyDescent="0.25">
      <c r="A63" s="135" t="s">
        <v>211</v>
      </c>
      <c r="B63" s="136">
        <v>209611.34</v>
      </c>
      <c r="C63" s="136">
        <v>206192.67</v>
      </c>
      <c r="D63" s="33">
        <f t="shared" si="0"/>
        <v>3418.6699999999837</v>
      </c>
      <c r="E63" s="137">
        <f t="shared" si="1"/>
        <v>0</v>
      </c>
      <c r="F63" s="132"/>
      <c r="G63" s="137">
        <v>0.1</v>
      </c>
      <c r="H63" s="33">
        <f t="shared" si="2"/>
        <v>20961</v>
      </c>
      <c r="I63" s="132"/>
      <c r="J63" s="138">
        <f t="shared" si="4"/>
        <v>0.16309670340155449</v>
      </c>
      <c r="K63" s="138">
        <f t="shared" si="3"/>
        <v>0</v>
      </c>
    </row>
    <row r="64" spans="1:11" x14ac:dyDescent="0.25">
      <c r="B64" s="139">
        <f>SUM(B9:B63)</f>
        <v>241297882.15999997</v>
      </c>
      <c r="C64" s="139">
        <f>SUM(C9:C63)</f>
        <v>104612254.95999998</v>
      </c>
      <c r="D64" s="139">
        <f>SUM(D9:D63)</f>
        <v>136685627.20000002</v>
      </c>
      <c r="E64" s="30"/>
      <c r="F64" s="132"/>
      <c r="G64" s="31"/>
      <c r="H64" s="30"/>
      <c r="I64" s="132"/>
      <c r="J64" s="30"/>
      <c r="K64" s="140">
        <f>SUM(K9:K63)</f>
        <v>22.492744709620403</v>
      </c>
    </row>
    <row r="65" spans="1:11" x14ac:dyDescent="0.25">
      <c r="A65" s="26" t="s">
        <v>237</v>
      </c>
      <c r="B65" s="30"/>
      <c r="C65" s="30"/>
      <c r="D65" s="30"/>
      <c r="E65" s="30"/>
      <c r="F65" s="132"/>
      <c r="G65" s="31"/>
      <c r="H65" s="30"/>
      <c r="I65" s="132"/>
      <c r="J65" s="30"/>
      <c r="K65" s="31"/>
    </row>
    <row r="66" spans="1:11" x14ac:dyDescent="0.25">
      <c r="A66" s="149" t="s">
        <v>238</v>
      </c>
      <c r="B66" s="152">
        <f>3341212.6+7695</f>
        <v>3348907.6</v>
      </c>
      <c r="C66" s="152">
        <v>2838840.82</v>
      </c>
      <c r="D66" s="152">
        <f>B66-C66</f>
        <v>510066.78000000026</v>
      </c>
      <c r="E66" s="141"/>
      <c r="F66" s="122"/>
      <c r="G66" s="142"/>
      <c r="H66" s="141"/>
      <c r="I66" s="122"/>
      <c r="J66" s="141"/>
      <c r="K66" s="142"/>
    </row>
    <row r="67" spans="1:11" x14ac:dyDescent="0.25">
      <c r="A67" s="149" t="s">
        <v>239</v>
      </c>
      <c r="B67" s="152">
        <f>-1045704+464945</f>
        <v>-580759</v>
      </c>
      <c r="C67" s="152">
        <v>-580759</v>
      </c>
      <c r="D67" s="152">
        <f>B67-C67</f>
        <v>0</v>
      </c>
      <c r="E67" s="141"/>
      <c r="F67" s="122"/>
      <c r="G67" s="142"/>
      <c r="H67" s="141"/>
      <c r="I67" s="122"/>
      <c r="J67" s="141"/>
      <c r="K67" s="142"/>
    </row>
    <row r="68" spans="1:11" x14ac:dyDescent="0.25">
      <c r="A68" s="149" t="s">
        <v>240</v>
      </c>
      <c r="B68" s="33">
        <v>565053</v>
      </c>
      <c r="C68" s="153"/>
      <c r="D68" s="154">
        <f>B68-C68</f>
        <v>565053</v>
      </c>
    </row>
    <row r="69" spans="1:11" x14ac:dyDescent="0.25">
      <c r="A69" s="26" t="s">
        <v>236</v>
      </c>
      <c r="B69" s="151">
        <f>SUM(B64:B68)</f>
        <v>244631083.75999996</v>
      </c>
      <c r="C69" s="151">
        <f>SUM(C64:C68)</f>
        <v>106870336.77999997</v>
      </c>
      <c r="D69" s="151">
        <f>SUM(D64:D68)</f>
        <v>137760746.98000002</v>
      </c>
    </row>
    <row r="70" spans="1:11" x14ac:dyDescent="0.25">
      <c r="D70" s="155" t="s">
        <v>241</v>
      </c>
    </row>
    <row r="72" spans="1:11" x14ac:dyDescent="0.25">
      <c r="D72" s="151"/>
    </row>
    <row r="73" spans="1:11" x14ac:dyDescent="0.25">
      <c r="D73" s="151"/>
    </row>
  </sheetData>
  <mergeCells count="1">
    <mergeCell ref="B6:D6"/>
  </mergeCells>
  <pageMargins left="0.7" right="0.7" top="0.75" bottom="0.75" header="0.3" footer="0.3"/>
  <pageSetup scale="5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topLeftCell="A16" zoomScaleNormal="100" workbookViewId="0">
      <selection activeCell="E20" sqref="E20"/>
    </sheetView>
  </sheetViews>
  <sheetFormatPr defaultColWidth="9" defaultRowHeight="15" x14ac:dyDescent="0.25"/>
  <cols>
    <col min="1" max="1" width="4.140625" style="16" customWidth="1"/>
    <col min="2" max="2" width="61.28515625" style="16" customWidth="1"/>
    <col min="3" max="3" width="14" style="16" bestFit="1" customWidth="1"/>
    <col min="4" max="4" width="15" style="16" bestFit="1" customWidth="1"/>
    <col min="5" max="5" width="17" style="16" bestFit="1" customWidth="1"/>
    <col min="6" max="6" width="2.7109375" style="16" customWidth="1"/>
    <col min="7" max="7" width="9.140625" style="16" bestFit="1" customWidth="1"/>
    <col min="8" max="8" width="2.7109375" style="16" customWidth="1"/>
    <col min="9" max="9" width="18" style="16" bestFit="1" customWidth="1"/>
    <col min="10" max="10" width="2.7109375" style="16" customWidth="1"/>
    <col min="11" max="11" width="19.140625" style="16" bestFit="1" customWidth="1"/>
    <col min="12" max="12" width="9.7109375" style="16" bestFit="1" customWidth="1"/>
    <col min="13" max="13" width="12" style="16" bestFit="1" customWidth="1"/>
    <col min="14" max="16384" width="9" style="16"/>
  </cols>
  <sheetData>
    <row r="1" spans="1:13" ht="15.75" x14ac:dyDescent="0.25">
      <c r="A1" s="111" t="s">
        <v>124</v>
      </c>
    </row>
    <row r="2" spans="1:13" ht="15.75" x14ac:dyDescent="0.25">
      <c r="A2" s="111" t="s">
        <v>104</v>
      </c>
      <c r="B2" s="59"/>
    </row>
    <row r="3" spans="1:13" ht="15.75" x14ac:dyDescent="0.25">
      <c r="A3" s="111" t="s">
        <v>130</v>
      </c>
    </row>
    <row r="4" spans="1:13" ht="15.75" x14ac:dyDescent="0.25">
      <c r="A4" s="111" t="s">
        <v>132</v>
      </c>
    </row>
    <row r="5" spans="1:13" x14ac:dyDescent="0.25">
      <c r="A5" s="60" t="s">
        <v>140</v>
      </c>
    </row>
    <row r="7" spans="1:13" x14ac:dyDescent="0.25">
      <c r="C7" s="61">
        <v>43100</v>
      </c>
    </row>
    <row r="8" spans="1:13" x14ac:dyDescent="0.25">
      <c r="C8" s="61" t="s">
        <v>75</v>
      </c>
      <c r="D8" s="62"/>
      <c r="E8" s="51"/>
      <c r="F8" s="62"/>
      <c r="G8" s="62"/>
      <c r="H8" s="62"/>
      <c r="I8" s="62"/>
      <c r="J8" s="62"/>
      <c r="K8" s="62" t="s">
        <v>75</v>
      </c>
    </row>
    <row r="9" spans="1:13" x14ac:dyDescent="0.25">
      <c r="C9" s="61" t="s">
        <v>76</v>
      </c>
      <c r="D9" s="61"/>
      <c r="E9" s="62" t="s">
        <v>77</v>
      </c>
      <c r="F9" s="62"/>
      <c r="G9" s="62" t="s">
        <v>78</v>
      </c>
      <c r="H9" s="62"/>
      <c r="I9" s="62" t="s">
        <v>79</v>
      </c>
      <c r="J9" s="62"/>
      <c r="K9" s="62" t="s">
        <v>80</v>
      </c>
      <c r="L9" s="64"/>
      <c r="M9" s="64"/>
    </row>
    <row r="10" spans="1:13" x14ac:dyDescent="0.25">
      <c r="C10" s="65" t="s">
        <v>81</v>
      </c>
      <c r="D10" s="38" t="s">
        <v>77</v>
      </c>
      <c r="E10" s="65">
        <v>43100</v>
      </c>
      <c r="F10" s="38"/>
      <c r="G10" s="38" t="s">
        <v>82</v>
      </c>
      <c r="H10" s="38"/>
      <c r="I10" s="38" t="s">
        <v>77</v>
      </c>
      <c r="J10" s="38"/>
      <c r="K10" s="38" t="s">
        <v>77</v>
      </c>
      <c r="L10" s="64"/>
      <c r="M10" s="64"/>
    </row>
    <row r="11" spans="1:13" x14ac:dyDescent="0.25">
      <c r="A11" s="64"/>
      <c r="B11" s="64"/>
      <c r="C11" s="40" t="s">
        <v>83</v>
      </c>
      <c r="D11" s="39" t="s">
        <v>32</v>
      </c>
      <c r="E11" s="39" t="s">
        <v>15</v>
      </c>
      <c r="F11" s="39"/>
      <c r="G11" s="39" t="s">
        <v>32</v>
      </c>
      <c r="H11" s="39"/>
      <c r="I11" s="39" t="s">
        <v>84</v>
      </c>
      <c r="J11" s="39"/>
      <c r="K11" s="39" t="s">
        <v>85</v>
      </c>
      <c r="L11" s="64"/>
      <c r="M11" s="64"/>
    </row>
    <row r="12" spans="1:13" x14ac:dyDescent="0.25">
      <c r="A12" s="66" t="s">
        <v>102</v>
      </c>
      <c r="B12" s="64"/>
      <c r="C12" s="65"/>
      <c r="D12" s="38"/>
      <c r="E12" s="38"/>
      <c r="F12" s="38"/>
      <c r="G12" s="38"/>
      <c r="H12" s="38"/>
      <c r="I12" s="38"/>
      <c r="J12" s="38"/>
      <c r="K12" s="38"/>
      <c r="L12" s="64"/>
      <c r="M12" s="64"/>
    </row>
    <row r="13" spans="1:13" x14ac:dyDescent="0.25">
      <c r="A13" s="66"/>
      <c r="B13" s="64" t="s">
        <v>93</v>
      </c>
      <c r="C13" s="67">
        <f>-107381181</f>
        <v>-107381181</v>
      </c>
      <c r="D13" s="29">
        <v>0.34</v>
      </c>
      <c r="E13" s="68">
        <v>-36530436</v>
      </c>
      <c r="F13" s="28"/>
      <c r="G13" s="29">
        <v>0.21</v>
      </c>
      <c r="H13" s="69"/>
      <c r="I13" s="69">
        <f>ROUND(C13*G13,0)</f>
        <v>-22550048</v>
      </c>
      <c r="J13" s="28"/>
      <c r="K13" s="69">
        <f>E13-I13</f>
        <v>-13980388</v>
      </c>
    </row>
    <row r="14" spans="1:13" x14ac:dyDescent="0.25">
      <c r="A14" s="66"/>
      <c r="B14" s="64" t="s">
        <v>94</v>
      </c>
      <c r="C14" s="67">
        <v>-89996084</v>
      </c>
      <c r="D14" s="29">
        <v>3.9600000000000003E-2</v>
      </c>
      <c r="E14" s="68">
        <f>ROUND(C14*D14,0)</f>
        <v>-3563845</v>
      </c>
      <c r="F14" s="28"/>
      <c r="G14" s="29">
        <v>3.95E-2</v>
      </c>
      <c r="H14" s="69"/>
      <c r="I14" s="69">
        <f>ROUND(C14*G14,0)</f>
        <v>-3554845</v>
      </c>
      <c r="J14" s="28"/>
      <c r="K14" s="69">
        <f>E14-I14</f>
        <v>-9000</v>
      </c>
    </row>
    <row r="15" spans="1:13" x14ac:dyDescent="0.25">
      <c r="A15" s="66"/>
      <c r="B15" s="64" t="s">
        <v>99</v>
      </c>
      <c r="C15" s="67">
        <v>-2312079</v>
      </c>
      <c r="D15" s="29">
        <v>0.37959999999999999</v>
      </c>
      <c r="E15" s="68">
        <f>ROUND(C15*D15,0)</f>
        <v>-877665</v>
      </c>
      <c r="F15" s="28"/>
      <c r="G15" s="29">
        <v>0.2495</v>
      </c>
      <c r="H15" s="69"/>
      <c r="I15" s="69">
        <f>ROUND(C15*G15,0)</f>
        <v>-576864</v>
      </c>
      <c r="J15" s="28"/>
      <c r="K15" s="69">
        <f>E15-I15</f>
        <v>-300801</v>
      </c>
    </row>
    <row r="16" spans="1:13" x14ac:dyDescent="0.25">
      <c r="A16" s="66"/>
      <c r="B16" s="73" t="s">
        <v>98</v>
      </c>
      <c r="C16" s="67">
        <v>3553047</v>
      </c>
      <c r="D16" s="29">
        <v>0.37959999999999999</v>
      </c>
      <c r="E16" s="68">
        <f t="shared" ref="E16" si="0">ROUND(C16*D16,0)</f>
        <v>1348737</v>
      </c>
      <c r="F16" s="28"/>
      <c r="G16" s="29">
        <v>0.2495</v>
      </c>
      <c r="H16" s="69"/>
      <c r="I16" s="69">
        <f t="shared" ref="I16" si="1">ROUND(C16*G16,0)</f>
        <v>886485</v>
      </c>
      <c r="J16" s="28"/>
      <c r="K16" s="28">
        <f t="shared" ref="K16" si="2">E16-I16</f>
        <v>462252</v>
      </c>
    </row>
    <row r="17" spans="1:13" x14ac:dyDescent="0.25">
      <c r="A17" s="66"/>
      <c r="B17" s="73" t="s">
        <v>100</v>
      </c>
      <c r="C17" s="67">
        <v>-3080201</v>
      </c>
      <c r="D17" s="74">
        <v>0.37959999999999999</v>
      </c>
      <c r="E17" s="75">
        <f t="shared" ref="E17:E18" si="3">ROUND(C17*D17,0)</f>
        <v>-1169244</v>
      </c>
      <c r="F17" s="67"/>
      <c r="G17" s="74">
        <v>0.2495</v>
      </c>
      <c r="H17" s="156"/>
      <c r="I17" s="156">
        <f t="shared" ref="I17:I18" si="4">ROUND(C17*G17,0)</f>
        <v>-768510</v>
      </c>
      <c r="J17" s="67"/>
      <c r="K17" s="67">
        <f t="shared" ref="K17:K18" si="5">E17-I17</f>
        <v>-400734</v>
      </c>
    </row>
    <row r="18" spans="1:13" x14ac:dyDescent="0.25">
      <c r="A18" s="66"/>
      <c r="B18" s="73" t="s">
        <v>101</v>
      </c>
      <c r="C18" s="67">
        <v>-502372</v>
      </c>
      <c r="D18" s="74">
        <v>0.37959999999999999</v>
      </c>
      <c r="E18" s="75">
        <f t="shared" si="3"/>
        <v>-190700</v>
      </c>
      <c r="F18" s="67"/>
      <c r="G18" s="74">
        <v>0.2495</v>
      </c>
      <c r="H18" s="156"/>
      <c r="I18" s="156">
        <f t="shared" si="4"/>
        <v>-125342</v>
      </c>
      <c r="J18" s="67"/>
      <c r="K18" s="67">
        <f t="shared" si="5"/>
        <v>-65358</v>
      </c>
    </row>
    <row r="19" spans="1:13" x14ac:dyDescent="0.25">
      <c r="A19" s="66"/>
      <c r="B19" s="73" t="s">
        <v>224</v>
      </c>
      <c r="C19" s="67"/>
      <c r="D19" s="167" t="s">
        <v>233</v>
      </c>
      <c r="E19" s="75">
        <f>'Item 8.2'!C19</f>
        <v>114428</v>
      </c>
      <c r="F19" s="67"/>
      <c r="G19" s="74">
        <v>0.2495</v>
      </c>
      <c r="H19" s="156"/>
      <c r="I19" s="156">
        <f>E19</f>
        <v>114428</v>
      </c>
      <c r="J19" s="67"/>
      <c r="K19" s="67">
        <v>0</v>
      </c>
    </row>
    <row r="20" spans="1:13" x14ac:dyDescent="0.25">
      <c r="A20" s="66"/>
      <c r="B20" s="73" t="s">
        <v>235</v>
      </c>
      <c r="C20" s="70"/>
      <c r="D20" s="169" t="s">
        <v>242</v>
      </c>
      <c r="E20" s="76">
        <v>5007046</v>
      </c>
      <c r="F20" s="70"/>
      <c r="G20" s="71"/>
      <c r="H20" s="157"/>
      <c r="I20" s="157">
        <v>4951542</v>
      </c>
      <c r="J20" s="70"/>
      <c r="K20" s="70">
        <v>0</v>
      </c>
    </row>
    <row r="21" spans="1:13" x14ac:dyDescent="0.25">
      <c r="A21" s="66"/>
      <c r="B21" s="64"/>
      <c r="C21" s="67"/>
      <c r="D21" s="74"/>
      <c r="E21" s="75">
        <f>SUM(E13:E20)</f>
        <v>-35861679</v>
      </c>
      <c r="F21" s="67"/>
      <c r="G21" s="74"/>
      <c r="H21" s="156"/>
      <c r="I21" s="158">
        <f>SUM(I13:I20)</f>
        <v>-21623154</v>
      </c>
      <c r="J21" s="67"/>
      <c r="K21" s="75">
        <f>SUM(K13:K20)</f>
        <v>-14294029</v>
      </c>
      <c r="L21" s="64"/>
      <c r="M21" s="64"/>
    </row>
    <row r="22" spans="1:13" x14ac:dyDescent="0.25">
      <c r="A22" s="66"/>
      <c r="B22" s="64"/>
      <c r="C22" s="65"/>
      <c r="D22" s="38"/>
      <c r="E22" s="72"/>
      <c r="F22" s="38"/>
      <c r="G22" s="38"/>
      <c r="H22" s="159"/>
      <c r="I22" s="160"/>
      <c r="J22" s="38"/>
      <c r="K22" s="72"/>
      <c r="L22" s="64"/>
      <c r="M22" s="64"/>
    </row>
    <row r="23" spans="1:13" x14ac:dyDescent="0.25">
      <c r="A23" s="66"/>
      <c r="B23" s="64"/>
      <c r="C23" s="65"/>
      <c r="D23" s="38"/>
      <c r="E23" s="72"/>
      <c r="F23" s="173"/>
      <c r="G23" s="173"/>
      <c r="H23" s="174"/>
      <c r="I23" s="175" t="s">
        <v>214</v>
      </c>
      <c r="J23" s="173"/>
      <c r="K23" s="176">
        <f>K21/22.49</f>
        <v>-635572.65451311704</v>
      </c>
      <c r="L23" s="177"/>
      <c r="M23" s="64"/>
    </row>
    <row r="24" spans="1:13" x14ac:dyDescent="0.25">
      <c r="A24" s="66"/>
      <c r="B24" s="64"/>
      <c r="C24" s="65"/>
      <c r="D24" s="38"/>
      <c r="E24" s="72"/>
      <c r="F24" s="38"/>
      <c r="G24" s="38"/>
      <c r="H24" s="159"/>
      <c r="I24" s="161"/>
      <c r="J24" s="38"/>
      <c r="K24" s="72"/>
      <c r="L24" s="64"/>
      <c r="M24" s="64"/>
    </row>
    <row r="25" spans="1:13" x14ac:dyDescent="0.25">
      <c r="A25" s="66"/>
      <c r="B25" s="64"/>
      <c r="C25" s="65"/>
      <c r="D25" s="38"/>
      <c r="E25" s="72"/>
      <c r="F25" s="38"/>
      <c r="G25" s="38"/>
      <c r="H25" s="159"/>
      <c r="I25" s="161"/>
      <c r="J25" s="38"/>
      <c r="K25" s="72"/>
      <c r="L25" s="64"/>
      <c r="M25" s="64"/>
    </row>
    <row r="26" spans="1:13" x14ac:dyDescent="0.25">
      <c r="A26" s="66"/>
      <c r="B26" s="64"/>
      <c r="C26" s="61" t="s">
        <v>75</v>
      </c>
      <c r="D26" s="62"/>
      <c r="E26" s="51"/>
      <c r="F26" s="62"/>
      <c r="G26" s="62"/>
      <c r="H26" s="162"/>
      <c r="I26" s="162"/>
      <c r="J26" s="62"/>
      <c r="K26" s="62" t="s">
        <v>75</v>
      </c>
      <c r="L26" s="64"/>
      <c r="M26" s="64"/>
    </row>
    <row r="27" spans="1:13" x14ac:dyDescent="0.25">
      <c r="A27" s="66"/>
      <c r="B27" s="64"/>
      <c r="C27" s="61" t="s">
        <v>76</v>
      </c>
      <c r="D27" s="61"/>
      <c r="E27" s="62" t="s">
        <v>77</v>
      </c>
      <c r="F27" s="62"/>
      <c r="G27" s="62" t="s">
        <v>78</v>
      </c>
      <c r="H27" s="162"/>
      <c r="I27" s="162" t="s">
        <v>79</v>
      </c>
      <c r="J27" s="62"/>
      <c r="K27" s="62" t="s">
        <v>80</v>
      </c>
      <c r="L27" s="64"/>
      <c r="M27" s="64"/>
    </row>
    <row r="28" spans="1:13" x14ac:dyDescent="0.25">
      <c r="A28" s="66"/>
      <c r="B28" s="64"/>
      <c r="C28" s="65" t="s">
        <v>81</v>
      </c>
      <c r="D28" s="38" t="s">
        <v>77</v>
      </c>
      <c r="E28" s="65">
        <v>43100</v>
      </c>
      <c r="F28" s="38"/>
      <c r="G28" s="38" t="s">
        <v>82</v>
      </c>
      <c r="H28" s="159"/>
      <c r="I28" s="159" t="s">
        <v>77</v>
      </c>
      <c r="J28" s="38"/>
      <c r="K28" s="38" t="s">
        <v>77</v>
      </c>
      <c r="L28" s="64"/>
      <c r="M28" s="64"/>
    </row>
    <row r="29" spans="1:13" x14ac:dyDescent="0.25">
      <c r="A29" s="66" t="s">
        <v>103</v>
      </c>
      <c r="B29" s="64"/>
      <c r="C29" s="40" t="s">
        <v>83</v>
      </c>
      <c r="D29" s="39" t="s">
        <v>32</v>
      </c>
      <c r="E29" s="39" t="s">
        <v>15</v>
      </c>
      <c r="F29" s="39"/>
      <c r="G29" s="39" t="s">
        <v>32</v>
      </c>
      <c r="H29" s="163"/>
      <c r="I29" s="163" t="s">
        <v>84</v>
      </c>
      <c r="J29" s="39"/>
      <c r="K29" s="39" t="s">
        <v>85</v>
      </c>
      <c r="L29" s="64"/>
      <c r="M29" s="64"/>
    </row>
    <row r="30" spans="1:13" x14ac:dyDescent="0.25">
      <c r="A30" s="66"/>
      <c r="B30" s="64" t="s">
        <v>86</v>
      </c>
      <c r="C30" s="67">
        <v>-1870925</v>
      </c>
      <c r="D30" s="29">
        <v>0.37959999999999999</v>
      </c>
      <c r="E30" s="68">
        <f t="shared" ref="E30:E40" si="6">ROUND(C30*D30,0)</f>
        <v>-710203</v>
      </c>
      <c r="F30" s="63"/>
      <c r="G30" s="29">
        <v>0.2495</v>
      </c>
      <c r="H30" s="164"/>
      <c r="I30" s="69">
        <f t="shared" ref="I30:I40" si="7">ROUND(C30*G30,0)</f>
        <v>-466796</v>
      </c>
      <c r="J30" s="63"/>
      <c r="K30" s="28">
        <f t="shared" ref="K30:K40" si="8">E30-I30</f>
        <v>-243407</v>
      </c>
      <c r="L30" s="64"/>
      <c r="M30" s="64"/>
    </row>
    <row r="31" spans="1:13" x14ac:dyDescent="0.25">
      <c r="A31" s="66"/>
      <c r="B31" s="64" t="s">
        <v>87</v>
      </c>
      <c r="C31" s="67">
        <v>151790</v>
      </c>
      <c r="D31" s="29">
        <v>0.37959999999999999</v>
      </c>
      <c r="E31" s="68">
        <f t="shared" si="6"/>
        <v>57619</v>
      </c>
      <c r="F31" s="63"/>
      <c r="G31" s="29">
        <v>0.2495</v>
      </c>
      <c r="H31" s="164"/>
      <c r="I31" s="69">
        <f t="shared" si="7"/>
        <v>37872</v>
      </c>
      <c r="J31" s="63"/>
      <c r="K31" s="28">
        <f t="shared" si="8"/>
        <v>19747</v>
      </c>
      <c r="L31" s="64"/>
      <c r="M31" s="64"/>
    </row>
    <row r="32" spans="1:13" x14ac:dyDescent="0.25">
      <c r="A32" s="66"/>
      <c r="B32" s="73" t="s">
        <v>92</v>
      </c>
      <c r="C32" s="67">
        <v>-746910</v>
      </c>
      <c r="D32" s="74">
        <v>0.37959999999999999</v>
      </c>
      <c r="E32" s="75">
        <f t="shared" si="6"/>
        <v>-283527</v>
      </c>
      <c r="F32" s="63"/>
      <c r="G32" s="74">
        <v>0.2495</v>
      </c>
      <c r="H32" s="164"/>
      <c r="I32" s="156">
        <f t="shared" si="7"/>
        <v>-186354</v>
      </c>
      <c r="J32" s="63"/>
      <c r="K32" s="67">
        <f t="shared" si="8"/>
        <v>-97173</v>
      </c>
      <c r="L32" s="64"/>
      <c r="M32" s="64"/>
    </row>
    <row r="33" spans="1:14" x14ac:dyDescent="0.25">
      <c r="A33" s="66"/>
      <c r="B33" s="73" t="s">
        <v>88</v>
      </c>
      <c r="C33" s="67">
        <v>72800</v>
      </c>
      <c r="D33" s="74">
        <v>0.37959999999999999</v>
      </c>
      <c r="E33" s="75">
        <f t="shared" si="6"/>
        <v>27635</v>
      </c>
      <c r="F33" s="63"/>
      <c r="G33" s="74">
        <v>0.2495</v>
      </c>
      <c r="H33" s="164"/>
      <c r="I33" s="156">
        <f t="shared" si="7"/>
        <v>18164</v>
      </c>
      <c r="J33" s="63"/>
      <c r="K33" s="67">
        <f t="shared" si="8"/>
        <v>9471</v>
      </c>
      <c r="L33" s="64"/>
      <c r="M33" s="64"/>
    </row>
    <row r="34" spans="1:14" x14ac:dyDescent="0.25">
      <c r="A34" s="66"/>
      <c r="B34" s="73" t="s">
        <v>89</v>
      </c>
      <c r="C34" s="67">
        <f>-2925338+26606</f>
        <v>-2898732</v>
      </c>
      <c r="D34" s="74">
        <v>0.37959999999999999</v>
      </c>
      <c r="E34" s="75">
        <f t="shared" si="6"/>
        <v>-1100359</v>
      </c>
      <c r="F34" s="63"/>
      <c r="G34" s="74">
        <v>0.2495</v>
      </c>
      <c r="H34" s="164"/>
      <c r="I34" s="156">
        <f t="shared" si="7"/>
        <v>-723234</v>
      </c>
      <c r="J34" s="63"/>
      <c r="K34" s="67">
        <f t="shared" si="8"/>
        <v>-377125</v>
      </c>
      <c r="L34" s="64"/>
      <c r="M34" s="64"/>
      <c r="N34" s="68"/>
    </row>
    <row r="35" spans="1:14" x14ac:dyDescent="0.25">
      <c r="A35" s="66"/>
      <c r="B35" s="73" t="s">
        <v>90</v>
      </c>
      <c r="C35" s="67">
        <v>604407</v>
      </c>
      <c r="D35" s="74">
        <v>0.37959999999999999</v>
      </c>
      <c r="E35" s="75">
        <f t="shared" si="6"/>
        <v>229433</v>
      </c>
      <c r="F35" s="63"/>
      <c r="G35" s="74">
        <v>0.2495</v>
      </c>
      <c r="H35" s="164"/>
      <c r="I35" s="156">
        <f t="shared" si="7"/>
        <v>150800</v>
      </c>
      <c r="J35" s="63"/>
      <c r="K35" s="67">
        <f t="shared" si="8"/>
        <v>78633</v>
      </c>
      <c r="L35" s="64"/>
      <c r="M35" s="64"/>
    </row>
    <row r="36" spans="1:14" x14ac:dyDescent="0.25">
      <c r="A36" s="66"/>
      <c r="B36" s="73" t="s">
        <v>95</v>
      </c>
      <c r="C36" s="67">
        <v>44363</v>
      </c>
      <c r="D36" s="74">
        <v>0.37959999999999999</v>
      </c>
      <c r="E36" s="75">
        <f t="shared" si="6"/>
        <v>16840</v>
      </c>
      <c r="F36" s="63"/>
      <c r="G36" s="74">
        <v>0.2495</v>
      </c>
      <c r="H36" s="164"/>
      <c r="I36" s="156">
        <f t="shared" si="7"/>
        <v>11069</v>
      </c>
      <c r="J36" s="63"/>
      <c r="K36" s="67">
        <f t="shared" si="8"/>
        <v>5771</v>
      </c>
      <c r="L36" s="64"/>
      <c r="M36" s="64"/>
    </row>
    <row r="37" spans="1:14" x14ac:dyDescent="0.25">
      <c r="A37" s="66"/>
      <c r="B37" s="73" t="s">
        <v>96</v>
      </c>
      <c r="C37" s="67">
        <v>-2359857</v>
      </c>
      <c r="D37" s="74">
        <v>0.37959999999999999</v>
      </c>
      <c r="E37" s="75">
        <f t="shared" si="6"/>
        <v>-895802</v>
      </c>
      <c r="F37" s="63"/>
      <c r="G37" s="74">
        <v>0.2495</v>
      </c>
      <c r="H37" s="164"/>
      <c r="I37" s="156">
        <f t="shared" si="7"/>
        <v>-588784</v>
      </c>
      <c r="J37" s="63"/>
      <c r="K37" s="67">
        <f t="shared" si="8"/>
        <v>-307018</v>
      </c>
      <c r="L37" s="64"/>
      <c r="M37" s="64"/>
    </row>
    <row r="38" spans="1:14" x14ac:dyDescent="0.25">
      <c r="A38" s="66"/>
      <c r="B38" s="64" t="s">
        <v>97</v>
      </c>
      <c r="C38" s="67">
        <v>99616</v>
      </c>
      <c r="D38" s="74">
        <v>0.37959999999999999</v>
      </c>
      <c r="E38" s="75">
        <f t="shared" si="6"/>
        <v>37814</v>
      </c>
      <c r="F38" s="63"/>
      <c r="G38" s="74">
        <v>0.2495</v>
      </c>
      <c r="H38" s="164"/>
      <c r="I38" s="156">
        <f t="shared" si="7"/>
        <v>24854</v>
      </c>
      <c r="J38" s="63"/>
      <c r="K38" s="67">
        <f t="shared" si="8"/>
        <v>12960</v>
      </c>
      <c r="L38" s="64"/>
      <c r="M38" s="64"/>
    </row>
    <row r="39" spans="1:14" x14ac:dyDescent="0.25">
      <c r="A39" s="66"/>
      <c r="B39" s="64" t="s">
        <v>223</v>
      </c>
      <c r="C39" s="67">
        <v>-354190</v>
      </c>
      <c r="D39" s="74">
        <v>0.37959999999999999</v>
      </c>
      <c r="E39" s="75">
        <f t="shared" si="6"/>
        <v>-134451</v>
      </c>
      <c r="F39" s="63"/>
      <c r="G39" s="74">
        <v>0.2495</v>
      </c>
      <c r="H39" s="164"/>
      <c r="I39" s="156">
        <f t="shared" ref="I39" si="9">ROUND(C39*G39,0)</f>
        <v>-88370</v>
      </c>
      <c r="J39" s="63"/>
      <c r="K39" s="67">
        <f t="shared" ref="K39" si="10">E39-I39</f>
        <v>-46081</v>
      </c>
      <c r="L39" s="64"/>
      <c r="M39" s="64"/>
    </row>
    <row r="40" spans="1:14" x14ac:dyDescent="0.25">
      <c r="A40" s="64"/>
      <c r="B40" s="73" t="s">
        <v>91</v>
      </c>
      <c r="C40" s="70">
        <v>1360294</v>
      </c>
      <c r="D40" s="71">
        <v>0.37959999999999999</v>
      </c>
      <c r="E40" s="76">
        <f t="shared" si="6"/>
        <v>516368</v>
      </c>
      <c r="F40" s="146"/>
      <c r="G40" s="71">
        <v>0.2495</v>
      </c>
      <c r="H40" s="165"/>
      <c r="I40" s="157">
        <f t="shared" si="7"/>
        <v>339393</v>
      </c>
      <c r="J40" s="146"/>
      <c r="K40" s="70">
        <f t="shared" si="8"/>
        <v>176975</v>
      </c>
      <c r="L40" s="64"/>
      <c r="M40" s="64"/>
    </row>
    <row r="41" spans="1:14" x14ac:dyDescent="0.25">
      <c r="A41" s="64"/>
      <c r="B41" s="64"/>
      <c r="C41" s="28"/>
      <c r="D41" s="28"/>
      <c r="E41" s="77">
        <f>SUM(E30:E40)</f>
        <v>-2238633</v>
      </c>
      <c r="F41" s="28"/>
      <c r="G41" s="28"/>
      <c r="H41" s="69"/>
      <c r="I41" s="166">
        <f>SUM(I30:I40)</f>
        <v>-1471386</v>
      </c>
      <c r="J41" s="28"/>
      <c r="K41" s="77">
        <f>SUM(K30:K40)</f>
        <v>-767247</v>
      </c>
    </row>
    <row r="42" spans="1:14" x14ac:dyDescent="0.25">
      <c r="A42" s="64"/>
      <c r="B42" s="64"/>
      <c r="C42" s="28"/>
      <c r="D42" s="28"/>
      <c r="E42" s="28"/>
      <c r="F42" s="28"/>
      <c r="G42" s="28"/>
      <c r="H42" s="28"/>
      <c r="I42" s="28"/>
      <c r="J42" s="28"/>
      <c r="K42" s="28"/>
      <c r="M42" s="68"/>
    </row>
    <row r="43" spans="1:14" x14ac:dyDescent="0.25">
      <c r="G43" s="78"/>
      <c r="H43" s="78"/>
      <c r="I43" s="178" t="s">
        <v>215</v>
      </c>
      <c r="J43" s="178"/>
      <c r="K43" s="179">
        <f>K41/15</f>
        <v>-51149.8</v>
      </c>
    </row>
    <row r="44" spans="1:14" x14ac:dyDescent="0.25">
      <c r="G44" s="78"/>
      <c r="H44" s="78"/>
      <c r="I44" s="178"/>
      <c r="J44" s="178"/>
      <c r="K44" s="179"/>
    </row>
    <row r="45" spans="1:14" x14ac:dyDescent="0.25">
      <c r="G45" s="78"/>
      <c r="H45" s="78"/>
      <c r="I45" s="178" t="s">
        <v>216</v>
      </c>
      <c r="J45" s="178"/>
      <c r="K45" s="179">
        <f>K41/5</f>
        <v>-153449.4</v>
      </c>
    </row>
    <row r="46" spans="1:14" x14ac:dyDescent="0.25">
      <c r="G46" s="78"/>
      <c r="H46" s="78"/>
      <c r="I46" s="78"/>
      <c r="J46" s="78"/>
      <c r="K46" s="79"/>
    </row>
    <row r="47" spans="1:14" ht="15.75" thickBot="1" x14ac:dyDescent="0.3">
      <c r="G47" s="78" t="s">
        <v>244</v>
      </c>
      <c r="H47" s="78"/>
      <c r="I47" s="171">
        <f>I41+I21</f>
        <v>-23094540</v>
      </c>
      <c r="J47" s="172"/>
      <c r="K47" s="171">
        <f>K21+K41</f>
        <v>-15061276</v>
      </c>
    </row>
    <row r="48" spans="1:14" ht="15.75" thickTop="1" x14ac:dyDescent="0.25">
      <c r="K48" s="68"/>
    </row>
    <row r="49" spans="1:9" x14ac:dyDescent="0.25">
      <c r="A49" s="170" t="s">
        <v>233</v>
      </c>
      <c r="B49" s="16" t="s">
        <v>234</v>
      </c>
      <c r="I49" s="68"/>
    </row>
    <row r="50" spans="1:9" x14ac:dyDescent="0.25">
      <c r="A50" s="170" t="s">
        <v>242</v>
      </c>
      <c r="B50" s="16" t="s">
        <v>249</v>
      </c>
    </row>
    <row r="51" spans="1:9" x14ac:dyDescent="0.25">
      <c r="D51" s="168"/>
    </row>
    <row r="52" spans="1:9" x14ac:dyDescent="0.25">
      <c r="D52" s="168"/>
    </row>
  </sheetData>
  <sortState ref="B19:O33">
    <sortCondition ref="B19"/>
  </sortState>
  <pageMargins left="0.7" right="0.7" top="0.75" bottom="0.75" header="0.3" footer="0.3"/>
  <pageSetup scale="6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workbookViewId="0">
      <selection activeCell="C16" sqref="C16"/>
    </sheetView>
  </sheetViews>
  <sheetFormatPr defaultRowHeight="15.75" x14ac:dyDescent="0.25"/>
  <cols>
    <col min="1" max="1" width="9.140625" style="26"/>
    <col min="2" max="2" width="48.7109375" style="26" bestFit="1" customWidth="1"/>
    <col min="3" max="3" width="14" style="26" bestFit="1" customWidth="1"/>
    <col min="4" max="4" width="12.140625" style="26" bestFit="1" customWidth="1"/>
    <col min="5" max="5" width="11.42578125" style="26" bestFit="1" customWidth="1"/>
    <col min="6" max="16384" width="9.140625" style="26"/>
  </cols>
  <sheetData>
    <row r="1" spans="1:3" x14ac:dyDescent="0.25">
      <c r="A1" s="111" t="s">
        <v>124</v>
      </c>
    </row>
    <row r="2" spans="1:3" x14ac:dyDescent="0.25">
      <c r="A2" s="111" t="s">
        <v>104</v>
      </c>
    </row>
    <row r="3" spans="1:3" x14ac:dyDescent="0.25">
      <c r="A3" s="111" t="s">
        <v>130</v>
      </c>
    </row>
    <row r="4" spans="1:3" x14ac:dyDescent="0.25">
      <c r="A4" s="111" t="s">
        <v>133</v>
      </c>
    </row>
    <row r="5" spans="1:3" x14ac:dyDescent="0.25">
      <c r="A5" s="53" t="s">
        <v>225</v>
      </c>
    </row>
    <row r="9" spans="1:3" x14ac:dyDescent="0.25">
      <c r="A9" s="53"/>
    </row>
    <row r="10" spans="1:3" x14ac:dyDescent="0.25">
      <c r="A10" s="53"/>
      <c r="B10" s="26" t="s">
        <v>226</v>
      </c>
      <c r="C10" s="147">
        <v>837300</v>
      </c>
    </row>
    <row r="11" spans="1:3" x14ac:dyDescent="0.25">
      <c r="A11" s="53"/>
      <c r="B11" s="26" t="s">
        <v>227</v>
      </c>
      <c r="C11" s="148">
        <v>-493100</v>
      </c>
    </row>
    <row r="12" spans="1:3" x14ac:dyDescent="0.25">
      <c r="A12" s="53"/>
      <c r="B12" s="149" t="s">
        <v>228</v>
      </c>
      <c r="C12" s="147">
        <f>SUM(C10:C11)</f>
        <v>344200</v>
      </c>
    </row>
    <row r="13" spans="1:3" x14ac:dyDescent="0.25">
      <c r="A13" s="53"/>
      <c r="B13" s="149"/>
      <c r="C13" s="147"/>
    </row>
    <row r="14" spans="1:3" x14ac:dyDescent="0.25">
      <c r="A14" s="53"/>
      <c r="B14" s="26" t="s">
        <v>229</v>
      </c>
    </row>
    <row r="15" spans="1:3" x14ac:dyDescent="0.25">
      <c r="A15" s="53"/>
      <c r="B15" s="149" t="s">
        <v>230</v>
      </c>
      <c r="C15" s="147">
        <f>ROUND(-C12/(1-0.3796),0)</f>
        <v>-554803</v>
      </c>
    </row>
    <row r="16" spans="1:3" x14ac:dyDescent="0.25">
      <c r="A16" s="53"/>
      <c r="B16" s="149" t="s">
        <v>248</v>
      </c>
      <c r="C16" s="148">
        <f>ROUND(-C12/(1-0.2495),0)</f>
        <v>-458628</v>
      </c>
    </row>
    <row r="17" spans="1:3" x14ac:dyDescent="0.25">
      <c r="A17" s="53"/>
      <c r="B17" s="149"/>
      <c r="C17" s="27"/>
    </row>
    <row r="18" spans="1:3" x14ac:dyDescent="0.25">
      <c r="B18" s="26" t="s">
        <v>231</v>
      </c>
    </row>
    <row r="19" spans="1:3" x14ac:dyDescent="0.25">
      <c r="A19" s="53"/>
      <c r="B19" s="150" t="s">
        <v>232</v>
      </c>
      <c r="C19" s="147">
        <f>ROUND(-C16*0.2495,0)</f>
        <v>114428</v>
      </c>
    </row>
    <row r="20" spans="1:3" x14ac:dyDescent="0.25">
      <c r="A20" s="53"/>
      <c r="C20" s="147"/>
    </row>
  </sheetData>
  <pageMargins left="0.7" right="0.7" top="0.75" bottom="0.75" header="0.3" footer="0.3"/>
  <pageSetup fitToHeight="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workbookViewId="0">
      <selection activeCell="G23" sqref="G23"/>
    </sheetView>
  </sheetViews>
  <sheetFormatPr defaultColWidth="9" defaultRowHeight="15.75" x14ac:dyDescent="0.25"/>
  <cols>
    <col min="1" max="1" width="9" style="26"/>
    <col min="2" max="2" width="61.5703125" style="26" bestFit="1" customWidth="1"/>
    <col min="3" max="3" width="16.5703125" style="26" customWidth="1"/>
    <col min="4" max="4" width="2.5703125" style="26" customWidth="1"/>
    <col min="5" max="5" width="16.5703125" style="26" customWidth="1"/>
    <col min="6" max="6" width="2.5703125" style="26" customWidth="1"/>
    <col min="7" max="7" width="16.5703125" style="26" customWidth="1"/>
    <col min="8" max="16384" width="9" style="26"/>
  </cols>
  <sheetData>
    <row r="1" spans="1:7" x14ac:dyDescent="0.25">
      <c r="A1" s="111" t="s">
        <v>124</v>
      </c>
    </row>
    <row r="2" spans="1:7" x14ac:dyDescent="0.25">
      <c r="A2" s="111" t="s">
        <v>104</v>
      </c>
    </row>
    <row r="3" spans="1:7" x14ac:dyDescent="0.25">
      <c r="A3" s="111" t="s">
        <v>122</v>
      </c>
    </row>
    <row r="4" spans="1:7" x14ac:dyDescent="0.25">
      <c r="A4" s="111" t="s">
        <v>132</v>
      </c>
    </row>
    <row r="5" spans="1:7" x14ac:dyDescent="0.25">
      <c r="A5" s="119" t="s">
        <v>222</v>
      </c>
    </row>
    <row r="6" spans="1:7" x14ac:dyDescent="0.25">
      <c r="A6" s="111"/>
    </row>
    <row r="8" spans="1:7" x14ac:dyDescent="0.25">
      <c r="A8" s="41" t="s">
        <v>59</v>
      </c>
      <c r="B8" s="41"/>
      <c r="C8" s="41" t="s">
        <v>63</v>
      </c>
      <c r="D8" s="41"/>
      <c r="E8" s="41" t="s">
        <v>62</v>
      </c>
      <c r="F8" s="41"/>
      <c r="G8" s="41" t="s">
        <v>64</v>
      </c>
    </row>
    <row r="9" spans="1:7" x14ac:dyDescent="0.25">
      <c r="A9" s="42" t="s">
        <v>60</v>
      </c>
      <c r="B9" s="42" t="s">
        <v>53</v>
      </c>
      <c r="C9" s="42" t="s">
        <v>61</v>
      </c>
      <c r="D9" s="42"/>
      <c r="E9" s="42" t="s">
        <v>61</v>
      </c>
      <c r="F9" s="42"/>
      <c r="G9" s="42" t="s">
        <v>65</v>
      </c>
    </row>
    <row r="10" spans="1:7" x14ac:dyDescent="0.25">
      <c r="A10" s="26">
        <v>1</v>
      </c>
      <c r="B10" s="26" t="s">
        <v>66</v>
      </c>
      <c r="C10" s="80">
        <f>'Item 2'!I34</f>
        <v>107987444.27384615</v>
      </c>
      <c r="D10" s="80"/>
      <c r="E10" s="80">
        <f>C10</f>
        <v>107987444.27384615</v>
      </c>
    </row>
    <row r="11" spans="1:7" x14ac:dyDescent="0.25">
      <c r="A11" s="26">
        <v>2</v>
      </c>
      <c r="B11" s="26" t="s">
        <v>67</v>
      </c>
      <c r="C11" s="81">
        <f>'Item 6'!H19</f>
        <v>4.7536479292281983E-2</v>
      </c>
      <c r="D11" s="45"/>
      <c r="E11" s="81">
        <f>'Item 6'!L19</f>
        <v>4.2710903376712461E-2</v>
      </c>
    </row>
    <row r="12" spans="1:7" x14ac:dyDescent="0.25">
      <c r="A12" s="26">
        <v>3</v>
      </c>
    </row>
    <row r="13" spans="1:7" x14ac:dyDescent="0.25">
      <c r="A13" s="26">
        <v>4</v>
      </c>
      <c r="B13" s="26" t="s">
        <v>68</v>
      </c>
      <c r="C13" s="82">
        <f>C10*C11</f>
        <v>5133342.9085501423</v>
      </c>
      <c r="D13" s="82"/>
      <c r="E13" s="82">
        <f>E10*E11</f>
        <v>4612241.2982783644</v>
      </c>
      <c r="G13" s="83">
        <f>E13-C13</f>
        <v>-521101.61027177796</v>
      </c>
    </row>
    <row r="14" spans="1:7" x14ac:dyDescent="0.25">
      <c r="A14" s="26">
        <v>5</v>
      </c>
    </row>
    <row r="15" spans="1:7" x14ac:dyDescent="0.25">
      <c r="A15" s="26">
        <v>6</v>
      </c>
      <c r="B15" s="26" t="s">
        <v>144</v>
      </c>
      <c r="E15" s="30">
        <f>'Item 8.1'!K23</f>
        <v>-635572.65451311704</v>
      </c>
    </row>
    <row r="16" spans="1:7" x14ac:dyDescent="0.25">
      <c r="A16" s="26">
        <v>7</v>
      </c>
      <c r="B16" s="26" t="s">
        <v>69</v>
      </c>
      <c r="E16" s="33">
        <f>'Item 8.1'!K43</f>
        <v>-51149.8</v>
      </c>
    </row>
    <row r="17" spans="1:7" x14ac:dyDescent="0.25">
      <c r="A17" s="26">
        <v>8</v>
      </c>
    </row>
    <row r="18" spans="1:7" x14ac:dyDescent="0.25">
      <c r="A18" s="26">
        <v>9</v>
      </c>
      <c r="B18" s="26" t="s">
        <v>70</v>
      </c>
      <c r="E18" s="30">
        <f>E15+E16</f>
        <v>-686722.45451311709</v>
      </c>
    </row>
    <row r="19" spans="1:7" x14ac:dyDescent="0.25">
      <c r="A19" s="26">
        <v>10</v>
      </c>
      <c r="B19" s="26" t="s">
        <v>71</v>
      </c>
      <c r="E19" s="144">
        <f>'Item 6'!J17</f>
        <v>1.33756255096222</v>
      </c>
    </row>
    <row r="20" spans="1:7" x14ac:dyDescent="0.25">
      <c r="A20" s="26">
        <v>11</v>
      </c>
    </row>
    <row r="21" spans="1:7" x14ac:dyDescent="0.25">
      <c r="A21" s="26">
        <v>12</v>
      </c>
      <c r="B21" s="26" t="s">
        <v>72</v>
      </c>
      <c r="G21" s="33">
        <f>E18*E19</f>
        <v>-918534.23806160199</v>
      </c>
    </row>
    <row r="22" spans="1:7" x14ac:dyDescent="0.25">
      <c r="A22" s="26">
        <v>13</v>
      </c>
    </row>
    <row r="23" spans="1:7" ht="16.5" thickBot="1" x14ac:dyDescent="0.3">
      <c r="A23" s="26">
        <v>14</v>
      </c>
      <c r="B23" s="26" t="s">
        <v>73</v>
      </c>
      <c r="G23" s="84">
        <f>G13+G21</f>
        <v>-1439635.84833338</v>
      </c>
    </row>
    <row r="24" spans="1:7" ht="16.5" thickTop="1" x14ac:dyDescent="0.25"/>
  </sheetData>
  <pageMargins left="0.7" right="0.7" top="0.75" bottom="0.75" header="0.3" footer="0.3"/>
  <pageSetup scale="72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Item 2</vt:lpstr>
      <vt:lpstr>Item 3</vt:lpstr>
      <vt:lpstr>Item 4</vt:lpstr>
      <vt:lpstr>Item 5</vt:lpstr>
      <vt:lpstr>Item 6</vt:lpstr>
      <vt:lpstr>Item 7</vt:lpstr>
      <vt:lpstr>Item 8.1</vt:lpstr>
      <vt:lpstr>Item 8.2</vt:lpstr>
      <vt:lpstr>Item 9.1</vt:lpstr>
      <vt:lpstr>Item 9.2</vt:lpstr>
      <vt:lpstr>Item 10.1</vt:lpstr>
      <vt:lpstr>Item 10.2</vt:lpstr>
      <vt:lpstr>Item 11</vt:lpstr>
    </vt:vector>
  </TitlesOfParts>
  <Company>Delta Natural Gas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Wesolosky</dc:creator>
  <cp:lastModifiedBy>Matthew Wesolosky</cp:lastModifiedBy>
  <cp:lastPrinted>2018-03-26T19:54:16Z</cp:lastPrinted>
  <dcterms:created xsi:type="dcterms:W3CDTF">2018-03-14T17:31:00Z</dcterms:created>
  <dcterms:modified xsi:type="dcterms:W3CDTF">2018-05-02T13:46:21Z</dcterms:modified>
</cp:coreProperties>
</file>