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720" windowHeight="6990"/>
  </bookViews>
  <sheets>
    <sheet name="1 - Rate Impact" sheetId="16" r:id="rId1"/>
    <sheet name="2 - Income Tax Expense" sheetId="1" r:id="rId2"/>
    <sheet name="2.1 - WNA" sheetId="11" r:id="rId3"/>
    <sheet name="3 - Deferred Taxes" sheetId="2" r:id="rId4"/>
    <sheet name="3.1 KY Reg Liability" sheetId="4" r:id="rId5"/>
    <sheet name="4 - 2018 Reg Liability" sheetId="7" r:id="rId6"/>
    <sheet name="4.1 2018 Rate Change Amort" sheetId="14" r:id="rId7"/>
    <sheet name="5 - Proposed Entries" sheetId="3" r:id="rId8"/>
    <sheet name="6 - Cost of Capital" sheetId="15" r:id="rId9"/>
  </sheets>
  <definedNames>
    <definedName name="_xlnm.Print_Area" localSheetId="3">'3 - Deferred Taxes'!$A$1:$L$40</definedName>
    <definedName name="_xlnm.Print_Area" localSheetId="4">'3.1 KY Reg Liability'!$A$1:$G$47</definedName>
    <definedName name="_xlnm.Print_Area" localSheetId="7">'5 - Proposed Entries'!$A$1:$H$21</definedName>
  </definedNames>
  <calcPr calcId="145621"/>
</workbook>
</file>

<file path=xl/calcChain.xml><?xml version="1.0" encoding="utf-8"?>
<calcChain xmlns="http://schemas.openxmlformats.org/spreadsheetml/2006/main">
  <c r="E41" i="4" l="1"/>
  <c r="D14" i="16" l="1"/>
  <c r="D13" i="16"/>
  <c r="E29" i="11" l="1"/>
  <c r="C34" i="15" l="1"/>
  <c r="C35" i="15"/>
  <c r="F30" i="16" l="1"/>
  <c r="C32" i="15" l="1"/>
  <c r="C16" i="15"/>
  <c r="C18" i="15" s="1"/>
  <c r="E16" i="15"/>
  <c r="C18" i="1" l="1"/>
  <c r="F29" i="16" l="1"/>
  <c r="F28" i="16"/>
  <c r="F27" i="16"/>
  <c r="F26" i="16"/>
  <c r="E20" i="11" l="1"/>
  <c r="E18" i="11"/>
  <c r="N31" i="11"/>
  <c r="N29" i="11"/>
  <c r="N27" i="11"/>
  <c r="N24" i="11"/>
  <c r="N22" i="11"/>
  <c r="L27" i="11"/>
  <c r="L29" i="11" s="1"/>
  <c r="L31" i="11" s="1"/>
  <c r="C13" i="1"/>
  <c r="C17" i="2" l="1"/>
  <c r="I32" i="2"/>
  <c r="I31" i="2"/>
  <c r="I30" i="2"/>
  <c r="I29" i="2"/>
  <c r="E31" i="2"/>
  <c r="K31" i="2" s="1"/>
  <c r="E32" i="2"/>
  <c r="E29" i="2"/>
  <c r="K29" i="2" s="1"/>
  <c r="K32" i="2" l="1"/>
  <c r="L22" i="11" l="1"/>
  <c r="L24" i="11"/>
  <c r="G20" i="11"/>
  <c r="I20" i="11" s="1"/>
  <c r="K20" i="11" s="1"/>
  <c r="G31" i="11"/>
  <c r="I31" i="11" s="1"/>
  <c r="K31" i="11" s="1"/>
  <c r="G29" i="11"/>
  <c r="I29" i="11" s="1"/>
  <c r="G27" i="11"/>
  <c r="G24" i="11"/>
  <c r="G22" i="11"/>
  <c r="I22" i="11" s="1"/>
  <c r="K22" i="11" s="1"/>
  <c r="M22" i="11" s="1"/>
  <c r="G18" i="11"/>
  <c r="I27" i="11"/>
  <c r="K27" i="11" s="1"/>
  <c r="I24" i="11"/>
  <c r="K24" i="11" s="1"/>
  <c r="M24" i="11" s="1"/>
  <c r="E32" i="11"/>
  <c r="N20" i="11"/>
  <c r="L20" i="11"/>
  <c r="N18" i="11"/>
  <c r="L18" i="11"/>
  <c r="P10" i="11"/>
  <c r="K10" i="11"/>
  <c r="I10" i="11"/>
  <c r="M20" i="11" l="1"/>
  <c r="O27" i="11"/>
  <c r="O22" i="11"/>
  <c r="P22" i="11" s="1"/>
  <c r="R22" i="11" s="1"/>
  <c r="G32" i="11"/>
  <c r="M27" i="11"/>
  <c r="O31" i="11"/>
  <c r="O20" i="11"/>
  <c r="M31" i="11"/>
  <c r="O18" i="11"/>
  <c r="O24" i="11"/>
  <c r="P24" i="11" s="1"/>
  <c r="R24" i="11" s="1"/>
  <c r="O29" i="11"/>
  <c r="K29" i="11"/>
  <c r="M29" i="11" s="1"/>
  <c r="I18" i="11"/>
  <c r="I32" i="11" s="1"/>
  <c r="P20" i="11" l="1"/>
  <c r="R20" i="11" s="1"/>
  <c r="P31" i="11"/>
  <c r="R31" i="11" s="1"/>
  <c r="P27" i="11"/>
  <c r="R27" i="11" s="1"/>
  <c r="P29" i="11"/>
  <c r="R29" i="11" s="1"/>
  <c r="K18" i="11"/>
  <c r="M18" i="11" l="1"/>
  <c r="P18" i="11" s="1"/>
  <c r="K32" i="11"/>
  <c r="P32" i="11" l="1"/>
  <c r="R18" i="11"/>
  <c r="R32" i="11" s="1"/>
  <c r="C12" i="1" s="1"/>
  <c r="C19" i="1" s="1"/>
  <c r="I17" i="2" l="1"/>
  <c r="I18" i="2"/>
  <c r="I19" i="2"/>
  <c r="I12" i="2"/>
  <c r="I13" i="2"/>
  <c r="I14" i="2"/>
  <c r="I15" i="2"/>
  <c r="E12" i="2"/>
  <c r="E13" i="2"/>
  <c r="K13" i="2" s="1"/>
  <c r="E14" i="2"/>
  <c r="K14" i="2" s="1"/>
  <c r="E15" i="2"/>
  <c r="K15" i="2" s="1"/>
  <c r="E17" i="2"/>
  <c r="K17" i="2" s="1"/>
  <c r="E18" i="2"/>
  <c r="E19" i="2"/>
  <c r="I16" i="2"/>
  <c r="E16" i="2"/>
  <c r="I24" i="2"/>
  <c r="I25" i="2"/>
  <c r="I26" i="2"/>
  <c r="I27" i="2"/>
  <c r="I28" i="2"/>
  <c r="I23" i="2"/>
  <c r="E30" i="2"/>
  <c r="K30" i="2" s="1"/>
  <c r="E28" i="2"/>
  <c r="E27" i="2"/>
  <c r="E26" i="2"/>
  <c r="E25" i="2"/>
  <c r="E24" i="2"/>
  <c r="E23" i="2"/>
  <c r="D17" i="4"/>
  <c r="E31" i="4" l="1"/>
  <c r="F31" i="4" s="1"/>
  <c r="D21" i="4"/>
  <c r="D20" i="4"/>
  <c r="K24" i="2"/>
  <c r="K18" i="2"/>
  <c r="K19" i="2"/>
  <c r="E20" i="2"/>
  <c r="I20" i="2"/>
  <c r="K26" i="2"/>
  <c r="K28" i="2"/>
  <c r="K12" i="2"/>
  <c r="K27" i="2"/>
  <c r="K25" i="2"/>
  <c r="K16" i="2"/>
  <c r="E33" i="4" l="1"/>
  <c r="F33" i="4" s="1"/>
  <c r="C20" i="3" s="1"/>
  <c r="D24" i="4"/>
  <c r="E33" i="2" s="1"/>
  <c r="E34" i="2" s="1"/>
  <c r="E36" i="2" s="1"/>
  <c r="K20" i="2"/>
  <c r="E38" i="4" l="1"/>
  <c r="I33" i="2"/>
  <c r="K33" i="2" s="1"/>
  <c r="E32" i="4"/>
  <c r="F32" i="4" s="1"/>
  <c r="C19" i="3" s="1"/>
  <c r="E43" i="4" l="1"/>
  <c r="E47" i="4" s="1"/>
  <c r="D12" i="16" s="1"/>
  <c r="I34" i="2"/>
  <c r="I36" i="2" s="1"/>
  <c r="K23" i="2"/>
  <c r="K34" i="2" l="1"/>
  <c r="D32" i="1"/>
  <c r="D33" i="1" s="1"/>
  <c r="C32" i="1"/>
  <c r="C33" i="1" s="1"/>
  <c r="C37" i="1" s="1"/>
  <c r="C63" i="1" l="1"/>
  <c r="C47" i="1"/>
  <c r="K36" i="2"/>
  <c r="D14" i="7" s="1"/>
  <c r="C21" i="1"/>
  <c r="D37" i="1"/>
  <c r="C57" i="1"/>
  <c r="C23" i="1" l="1"/>
  <c r="C46" i="1" s="1"/>
  <c r="C48" i="1" s="1"/>
  <c r="C52" i="1" s="1"/>
  <c r="D11" i="16" s="1"/>
  <c r="D23" i="7"/>
  <c r="D17" i="7"/>
  <c r="C12" i="3"/>
  <c r="C50" i="1"/>
  <c r="C25" i="1" l="1"/>
  <c r="D9" i="14"/>
  <c r="B10" i="14" s="1"/>
  <c r="D19" i="7"/>
  <c r="H9" i="14" s="1"/>
  <c r="G10" i="14" s="1"/>
  <c r="D25" i="7"/>
  <c r="C19" i="15" s="1"/>
  <c r="C22" i="15" s="1"/>
  <c r="C26" i="15" s="1"/>
  <c r="C69" i="1"/>
  <c r="C14" i="3"/>
  <c r="C59" i="1"/>
  <c r="C61" i="1" s="1"/>
  <c r="C30" i="15" l="1"/>
  <c r="C29" i="15"/>
  <c r="C13" i="3"/>
  <c r="C10" i="14"/>
  <c r="D10" i="14" s="1"/>
  <c r="B11" i="14" s="1"/>
  <c r="F10" i="14"/>
  <c r="G11" i="14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I9" i="14"/>
  <c r="C65" i="1"/>
  <c r="C67" i="1" s="1"/>
  <c r="C71" i="1" s="1"/>
  <c r="H10" i="14" l="1"/>
  <c r="C11" i="14"/>
  <c r="D11" i="14" s="1"/>
  <c r="B12" i="14" s="1"/>
  <c r="K10" i="14"/>
  <c r="C36" i="15" l="1"/>
  <c r="I10" i="14"/>
  <c r="F11" i="14"/>
  <c r="H11" i="14" s="1"/>
  <c r="C12" i="14"/>
  <c r="K11" i="14"/>
  <c r="D15" i="16" l="1"/>
  <c r="E30" i="16" s="1"/>
  <c r="C13" i="14"/>
  <c r="K12" i="14"/>
  <c r="F12" i="14"/>
  <c r="H12" i="14" s="1"/>
  <c r="I11" i="14"/>
  <c r="D12" i="14"/>
  <c r="B13" i="14" s="1"/>
  <c r="D13" i="14" s="1"/>
  <c r="B14" i="14" s="1"/>
  <c r="E29" i="16" l="1"/>
  <c r="G29" i="16" s="1"/>
  <c r="E28" i="16"/>
  <c r="G28" i="16" s="1"/>
  <c r="E27" i="16"/>
  <c r="G27" i="16" s="1"/>
  <c r="I12" i="14"/>
  <c r="F13" i="14"/>
  <c r="H13" i="14" s="1"/>
  <c r="C14" i="14"/>
  <c r="K13" i="14"/>
  <c r="E26" i="16" l="1"/>
  <c r="G26" i="16" s="1"/>
  <c r="C15" i="14"/>
  <c r="K14" i="14"/>
  <c r="D14" i="14"/>
  <c r="B15" i="14" s="1"/>
  <c r="I13" i="14"/>
  <c r="F14" i="14"/>
  <c r="H14" i="14" s="1"/>
  <c r="D15" i="14" l="1"/>
  <c r="B16" i="14" s="1"/>
  <c r="I14" i="14"/>
  <c r="F15" i="14"/>
  <c r="H15" i="14" s="1"/>
  <c r="C16" i="14"/>
  <c r="K15" i="14"/>
  <c r="C17" i="14" l="1"/>
  <c r="K16" i="14"/>
  <c r="I15" i="14"/>
  <c r="F16" i="14"/>
  <c r="H16" i="14" s="1"/>
  <c r="D16" i="14"/>
  <c r="B17" i="14" s="1"/>
  <c r="D17" i="14" s="1"/>
  <c r="B18" i="14" s="1"/>
  <c r="I16" i="14" l="1"/>
  <c r="F17" i="14"/>
  <c r="H17" i="14" s="1"/>
  <c r="C18" i="14"/>
  <c r="K17" i="14"/>
  <c r="C19" i="14" l="1"/>
  <c r="K18" i="14"/>
  <c r="D18" i="14"/>
  <c r="B19" i="14" s="1"/>
  <c r="I17" i="14"/>
  <c r="F18" i="14"/>
  <c r="H18" i="14" s="1"/>
  <c r="D19" i="14" l="1"/>
  <c r="B20" i="14" s="1"/>
  <c r="I18" i="14"/>
  <c r="F19" i="14"/>
  <c r="H19" i="14" s="1"/>
  <c r="C20" i="14"/>
  <c r="K19" i="14"/>
  <c r="C21" i="14" l="1"/>
  <c r="K20" i="14"/>
  <c r="I19" i="14"/>
  <c r="F20" i="14"/>
  <c r="H20" i="14" s="1"/>
  <c r="D20" i="14"/>
  <c r="B21" i="14" s="1"/>
  <c r="D21" i="14" s="1"/>
  <c r="B22" i="14" s="1"/>
  <c r="I20" i="14" l="1"/>
  <c r="F21" i="14"/>
  <c r="H21" i="14" s="1"/>
  <c r="C22" i="14"/>
  <c r="K21" i="14"/>
  <c r="C23" i="14" l="1"/>
  <c r="K22" i="14"/>
  <c r="D22" i="14"/>
  <c r="B23" i="14" s="1"/>
  <c r="I21" i="14"/>
  <c r="F22" i="14"/>
  <c r="H22" i="14" s="1"/>
  <c r="D23" i="14" l="1"/>
  <c r="B24" i="14" s="1"/>
  <c r="I22" i="14"/>
  <c r="F23" i="14"/>
  <c r="H23" i="14" s="1"/>
  <c r="C24" i="14"/>
  <c r="K23" i="14"/>
  <c r="D24" i="14" l="1"/>
  <c r="B25" i="14" s="1"/>
  <c r="C25" i="14"/>
  <c r="K24" i="14"/>
  <c r="I23" i="14"/>
  <c r="F24" i="14"/>
  <c r="H24" i="14" s="1"/>
  <c r="D25" i="14" l="1"/>
  <c r="B26" i="14" s="1"/>
  <c r="I24" i="14"/>
  <c r="F25" i="14"/>
  <c r="H25" i="14" s="1"/>
  <c r="C26" i="14"/>
  <c r="K25" i="14"/>
  <c r="D26" i="14" l="1"/>
  <c r="B27" i="14" s="1"/>
  <c r="C27" i="14"/>
  <c r="K26" i="14"/>
  <c r="I25" i="14"/>
  <c r="F26" i="14"/>
  <c r="H26" i="14" s="1"/>
  <c r="C28" i="14" l="1"/>
  <c r="K27" i="14"/>
  <c r="I26" i="14"/>
  <c r="F27" i="14"/>
  <c r="H27" i="14" s="1"/>
  <c r="D27" i="14"/>
  <c r="B28" i="14" s="1"/>
  <c r="D28" i="14" s="1"/>
  <c r="B29" i="14" s="1"/>
  <c r="I27" i="14" l="1"/>
  <c r="F28" i="14"/>
  <c r="H28" i="14" s="1"/>
  <c r="C29" i="14"/>
  <c r="C30" i="14" s="1"/>
  <c r="K28" i="14"/>
  <c r="K29" i="14" l="1"/>
  <c r="D29" i="14"/>
  <c r="B30" i="14" s="1"/>
  <c r="I28" i="14"/>
  <c r="F29" i="14"/>
  <c r="H29" i="14" s="1"/>
  <c r="D30" i="14" l="1"/>
  <c r="I29" i="14"/>
  <c r="F30" i="14"/>
  <c r="H30" i="14" s="1"/>
  <c r="K30" i="14"/>
</calcChain>
</file>

<file path=xl/sharedStrings.xml><?xml version="1.0" encoding="utf-8"?>
<sst xmlns="http://schemas.openxmlformats.org/spreadsheetml/2006/main" count="342" uniqueCount="247">
  <si>
    <t>Net income before taxes</t>
  </si>
  <si>
    <t>Federal</t>
  </si>
  <si>
    <t>State</t>
  </si>
  <si>
    <t>1 - (Statutory Rate)</t>
  </si>
  <si>
    <t>Income tax expense at 37.96%</t>
  </si>
  <si>
    <t>Income tax expense at 25.74%</t>
  </si>
  <si>
    <t>Difference</t>
  </si>
  <si>
    <t>Income Tax Expense Adjustment and Proof</t>
  </si>
  <si>
    <t>Regulatory net income before taxes</t>
  </si>
  <si>
    <t>Calculation of Statutory Rate</t>
  </si>
  <si>
    <t>Calculation of Gross-Up Factor</t>
  </si>
  <si>
    <t>Mathematical Proof</t>
  </si>
  <si>
    <t>Net Income before taxes, adjusted</t>
  </si>
  <si>
    <t>January 1, 2018 statutory rate</t>
  </si>
  <si>
    <t>Income tax expense, adjusted</t>
  </si>
  <si>
    <t>Timing</t>
  </si>
  <si>
    <t>Deferred</t>
  </si>
  <si>
    <t>Rate</t>
  </si>
  <si>
    <t>Balance</t>
  </si>
  <si>
    <t>Remeasured</t>
  </si>
  <si>
    <t>at New Rate</t>
  </si>
  <si>
    <t>2005 Kentucky Income Tax Rate Change</t>
  </si>
  <si>
    <t>Gross excess deferred taxes</t>
  </si>
  <si>
    <t>Regulatory liability</t>
  </si>
  <si>
    <t>{1}</t>
  </si>
  <si>
    <t>(excess deferred taxes, net / (1 - 37.96%)</t>
  </si>
  <si>
    <t>New</t>
  </si>
  <si>
    <t>Statutory</t>
  </si>
  <si>
    <t>2018 Federal Income Tax Rate Change</t>
  </si>
  <si>
    <t>Rate Base Items</t>
  </si>
  <si>
    <t>Cost of Service Items</t>
  </si>
  <si>
    <t>1.242.13 DEF INC TAX DEFERRED GAS COST</t>
  </si>
  <si>
    <t>1.242.14 DEF INC TAX BAD DEBT RESERVE</t>
  </si>
  <si>
    <t>1.242.18 DEF INC TAX MEDICAL RESERVE</t>
  </si>
  <si>
    <t>1.242.19 DEF INC TAX PROFESSIONAL FEES</t>
  </si>
  <si>
    <t>1.282.06 DEF INC TAX ANNUAL LEAVE PLAN</t>
  </si>
  <si>
    <t>1.283.03 DEF INC TAX SUPPLEMENTAL RETIREMENT PLAN</t>
  </si>
  <si>
    <t>Total Deferred Taxes</t>
  </si>
  <si>
    <t>Cost of Service</t>
  </si>
  <si>
    <t>Less: amortization to date</t>
  </si>
  <si>
    <t>Marketing (1.930.04)</t>
  </si>
  <si>
    <t>Public and community relations (1.930.10)</t>
  </si>
  <si>
    <t>Lobbying (1.930.12)</t>
  </si>
  <si>
    <t>Advertising (1.913.00)</t>
  </si>
  <si>
    <t>Schedule 2</t>
  </si>
  <si>
    <t>Schedule 4</t>
  </si>
  <si>
    <t>Schedule 1</t>
  </si>
  <si>
    <t>Schedule 3</t>
  </si>
  <si>
    <t>Schedule 4 &amp; 5</t>
  </si>
  <si>
    <t>Income tax expense, at statutory rate</t>
  </si>
  <si>
    <t xml:space="preserve">Delta Natural Gas Company, Inc. </t>
  </si>
  <si>
    <t>Case No. 2017-00481</t>
  </si>
  <si>
    <t>Schedule 6</t>
  </si>
  <si>
    <t>Calculation of Customer Rate Reduction</t>
  </si>
  <si>
    <t>Remeasurement of Deferred Taxes</t>
  </si>
  <si>
    <t>Cumulative</t>
  </si>
  <si>
    <t>1.282.02 DEF INC TAX PENSION PLAN</t>
  </si>
  <si>
    <t>1.242.16 DEF INC TAX PREPAID INS</t>
  </si>
  <si>
    <t>1.282.01 DEF INC TAX ACCEL DEPR - FEDERAL</t>
  </si>
  <si>
    <t>1.282.01 DEF INC TAX ACCEL DEPR - STATE</t>
  </si>
  <si>
    <t>1.282.10 DEF INC TAX DEBT EXPENSE</t>
  </si>
  <si>
    <t>1.282.12 DEF INC TAX STORAGE GAS</t>
  </si>
  <si>
    <t>1.282.07 DEF INC TAX CONSTRUCTION CONTRIBUTIONS</t>
  </si>
  <si>
    <t>1.283.10 DEF INC TAX - 2005 KY RATE CHANGE</t>
  </si>
  <si>
    <t>1.242.22 DEF INC TAX ACCRUED VACATION</t>
  </si>
  <si>
    <t>see schedule 3.1 for calculation of deferred tax balance</t>
  </si>
  <si>
    <t>Measurement of Excess Deferred Income Taxes - 2018 Income Tax Rate Change</t>
  </si>
  <si>
    <t>Annual impact of rate change on:</t>
  </si>
  <si>
    <t>Estimated Journal Entries</t>
  </si>
  <si>
    <t>Regulatory net income</t>
  </si>
  <si>
    <t>Weighted average remaining life of assets</t>
  </si>
  <si>
    <t>years</t>
  </si>
  <si>
    <t>Residential</t>
  </si>
  <si>
    <t>Small Non-Residential</t>
  </si>
  <si>
    <t>Large Non-Residential</t>
  </si>
  <si>
    <t>Natural Gas Temperature Normalization Adjustment</t>
  </si>
  <si>
    <t>Cycle Billing Basis</t>
  </si>
  <si>
    <t>Calendar Basis</t>
  </si>
  <si>
    <t>Normal Heating Degree Days</t>
  </si>
  <si>
    <r>
      <t xml:space="preserve">Normal Heating Degree Days </t>
    </r>
    <r>
      <rPr>
        <b/>
        <sz val="9"/>
        <rFont val="Arial"/>
        <family val="2"/>
      </rPr>
      <t>(7 Non-WNA Months)</t>
    </r>
  </si>
  <si>
    <t>Actual Heating Degree Days</t>
  </si>
  <si>
    <r>
      <t>Actual Heating Degree Days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(7 Non-WNA Months)</t>
    </r>
  </si>
  <si>
    <t>Normal over (under) Actual</t>
  </si>
  <si>
    <t>Non-Temp</t>
  </si>
  <si>
    <t xml:space="preserve">Temperature </t>
  </si>
  <si>
    <t>Actual</t>
  </si>
  <si>
    <t>Mcf per</t>
  </si>
  <si>
    <t>Normal</t>
  </si>
  <si>
    <t>Net Revenue</t>
  </si>
  <si>
    <t>Mcf</t>
  </si>
  <si>
    <t>Sensitive</t>
  </si>
  <si>
    <t>Degree</t>
  </si>
  <si>
    <t>Departure</t>
  </si>
  <si>
    <t>Per Mcf</t>
  </si>
  <si>
    <t xml:space="preserve">Net Revenue </t>
  </si>
  <si>
    <t>Total Mcf</t>
  </si>
  <si>
    <t>Full Year</t>
  </si>
  <si>
    <t>Days</t>
  </si>
  <si>
    <t>From Normal</t>
  </si>
  <si>
    <t>Adjustment</t>
  </si>
  <si>
    <t>Sold</t>
  </si>
  <si>
    <t>Interruptible Service</t>
  </si>
  <si>
    <t>For the 12 months Ended  September 30, 2017</t>
  </si>
  <si>
    <t>Federal benefit of state tax (Federal Rate * 6%)</t>
  </si>
  <si>
    <t>Income tax expense impact to revenue requirement</t>
  </si>
  <si>
    <t>Income tax expense adjustment to revenue requirement</t>
  </si>
  <si>
    <t>1.282.14 DEF INC TAX ASSET RETIREMENT OBLIGATION</t>
  </si>
  <si>
    <t>1.282.18 DEF INC TAX COST OF REMOVAL</t>
  </si>
  <si>
    <t>1.283.07 DEF INC TAX ARC DEPRECIATION</t>
  </si>
  <si>
    <t>1.283.06 DEF INC TAX ARO REG ASSET</t>
  </si>
  <si>
    <t>Annual adjustment of excess deferred taxes to revenue requirement</t>
  </si>
  <si>
    <t>Annual amortization of excess deferred taxes into tax expense</t>
  </si>
  <si>
    <t>Excess</t>
  </si>
  <si>
    <t>Taxes</t>
  </si>
  <si>
    <t>Remeasurement of Existing Excess Deferred Income Taxes</t>
  </si>
  <si>
    <t>Regulatory Liability</t>
  </si>
  <si>
    <t>Beginning Balance</t>
  </si>
  <si>
    <t>Ending Balance</t>
  </si>
  <si>
    <t>Amortization into Tax Expense</t>
  </si>
  <si>
    <t>Deferred Taxes on Reg Liability</t>
  </si>
  <si>
    <t>Proposed Amortization Schedule</t>
  </si>
  <si>
    <t>Tax Expense</t>
  </si>
  <si>
    <t>Net income, after rate change</t>
  </si>
  <si>
    <t>Net income, before rate change</t>
  </si>
  <si>
    <t>Statutory rate</t>
  </si>
  <si>
    <t>Estimated</t>
  </si>
  <si>
    <t>{2}</t>
  </si>
  <si>
    <t>Actual excess deferred taxes will be updated upon filing 12/31/17 tax return</t>
  </si>
  <si>
    <t>Meter Reading Basis</t>
  </si>
  <si>
    <t>Calendar</t>
  </si>
  <si>
    <t>Cycle Billing</t>
  </si>
  <si>
    <t>Adjust net revenue to normal weather</t>
  </si>
  <si>
    <t>Gross excess deferred taxes on 2005 KY rate change</t>
  </si>
  <si>
    <t>Gross-up factor, at new rates</t>
  </si>
  <si>
    <t>Test Period: September 30, 2017</t>
  </si>
  <si>
    <t>(excess deferred taxes/ (1 - 25.74%)</t>
  </si>
  <si>
    <t>Will be adjusted to actual once 12/31/17 tax return is completed and filed</t>
  </si>
  <si>
    <t>% of Reg Liability</t>
  </si>
  <si>
    <t>estimated remeasurement of deferred income taxes resulting from change in tax law</t>
  </si>
  <si>
    <t>Deferred income tax assets and liabilities</t>
  </si>
  <si>
    <t>Deferred income tax asset on reg liability</t>
  </si>
  <si>
    <t>Non-operating (income) expense, incl merger-related costs</t>
  </si>
  <si>
    <t>Exclude impact of unbilled revenue, net of unbilled gas cost</t>
  </si>
  <si>
    <t>Schedule MDW-1</t>
  </si>
  <si>
    <t>Schedule MDW-2</t>
  </si>
  <si>
    <t>Schedule MDW-3</t>
  </si>
  <si>
    <t>Schedule MDW-3.1</t>
  </si>
  <si>
    <t>Schedule MDW-4</t>
  </si>
  <si>
    <t>Schedule MDW-4.1</t>
  </si>
  <si>
    <t>Schedule MDW-6</t>
  </si>
  <si>
    <t># of Customers</t>
  </si>
  <si>
    <t>Calculated Net Revenue</t>
  </si>
  <si>
    <t>Allocated</t>
  </si>
  <si>
    <t>for the 12 months</t>
  </si>
  <si>
    <t>Monthly</t>
  </si>
  <si>
    <t>@ Approved Rates</t>
  </si>
  <si>
    <t>Class</t>
  </si>
  <si>
    <t>ended</t>
  </si>
  <si>
    <t>per Case No. 2010-00116</t>
  </si>
  <si>
    <t>Allocation</t>
  </si>
  <si>
    <t>Interruptible</t>
  </si>
  <si>
    <t>Tax</t>
  </si>
  <si>
    <t>Tax Reduction</t>
  </si>
  <si>
    <t>(excess deferred taxes, net / (1 - 25.74%)</t>
  </si>
  <si>
    <t>Excess deferred taxes, net of amortization</t>
  </si>
  <si>
    <t>Kentucky 2005 Income Tax Rate Change</t>
  </si>
  <si>
    <t>Excess deferred income taxes</t>
  </si>
  <si>
    <t>Deferred tax asset on reg liability</t>
  </si>
  <si>
    <t>Required</t>
  </si>
  <si>
    <t>September 30,</t>
  </si>
  <si>
    <t>2017 Federal Income Tax Rate Change</t>
  </si>
  <si>
    <t>estimated remeasurement of existing excess deferred income taxes resulting from change in tax law</t>
  </si>
  <si>
    <t>Schedule 3.1</t>
  </si>
  <si>
    <t>Remaining amortization, months</t>
  </si>
  <si>
    <t xml:space="preserve"> </t>
  </si>
  <si>
    <t>Remeasurement of Regulatory Liability for 2005 Rate Change</t>
  </si>
  <si>
    <t xml:space="preserve">Deferred income taxes on </t>
  </si>
  <si>
    <t>2005 KY reg liability, at new rates</t>
  </si>
  <si>
    <t>Tax Expense Impact from Remeasuring 2005 Regulatory Liability</t>
  </si>
  <si>
    <t>Adjustment to 2005 Regulatory Liability</t>
  </si>
  <si>
    <t>Deferred income tax gross-up on regulatory liability</t>
  </si>
  <si>
    <t>2017 Fiscal</t>
  </si>
  <si>
    <t>Tax Return</t>
  </si>
  <si>
    <t>due to change in tax law</t>
  </si>
  <si>
    <t>Amortization of regulatory liability - 2018 rate change</t>
  </si>
  <si>
    <t>Amortization of regulatory liability - 2005 rate change</t>
  </si>
  <si>
    <t>Adjustment to income tax expense</t>
  </si>
  <si>
    <t>Adjustment to cost of capital</t>
  </si>
  <si>
    <t>Increased cost of capital</t>
  </si>
  <si>
    <t>Tax benefit of plant-related deductions</t>
  </si>
  <si>
    <t>Adjustment for cost of capital</t>
  </si>
  <si>
    <t>Tax gross-up factor</t>
  </si>
  <si>
    <t>Cost of Capital Impact</t>
  </si>
  <si>
    <t>Deduction</t>
  </si>
  <si>
    <t>Recurring historic rate case test year adjustments</t>
  </si>
  <si>
    <t>Tax Expense Impact</t>
  </si>
  <si>
    <t>Schedule MDW-5</t>
  </si>
  <si>
    <t>Tax return deduction related to capital expenditures including depreciation</t>
  </si>
  <si>
    <t>Will begin amortization in the month rates become effective and amortize for 252 months (21 years)</t>
  </si>
  <si>
    <t>Difference between the two amounts represents the loss of bonus depreciation</t>
  </si>
  <si>
    <t>Annual incremental capital requirements</t>
  </si>
  <si>
    <t>Annual refund of excess deferred taxes, under TCJA</t>
  </si>
  <si>
    <t>Decreased deduction</t>
  </si>
  <si>
    <t>Under TCJA</t>
  </si>
  <si>
    <t>Actual test year cost of capital</t>
  </si>
  <si>
    <t>9/30/17 Net Income Before Taxes</t>
  </si>
  <si>
    <t>Remeasured regulatory liability</t>
  </si>
  <si>
    <t>Remeasured annual amortization</t>
  </si>
  <si>
    <t>Annual pre-TCJA amortization</t>
  </si>
  <si>
    <t>Debt component of cost of capital</t>
  </si>
  <si>
    <t>Equity component of cost of capital (grossed-up)</t>
  </si>
  <si>
    <t>Allocated Cost of Capital:</t>
  </si>
  <si>
    <t>Equity (57%)</t>
  </si>
  <si>
    <t>Debt (43%)</t>
  </si>
  <si>
    <t>Schedule MDW-2.1</t>
  </si>
  <si>
    <t>per Customer</t>
  </si>
  <si>
    <t>Monthly amortization (credit to income tax expense)</t>
  </si>
  <si>
    <t>September 30, 2017</t>
  </si>
  <si>
    <t>Schedule 2.1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</si>
  <si>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</si>
  <si>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</si>
  <si>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</si>
  <si>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</si>
  <si>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</si>
  <si>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</si>
  <si>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</si>
  <si>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</si>
  <si>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</si>
  <si>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</si>
  <si>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(C)</t>
  </si>
  <si>
    <t>(Column (I)  x (J) )</t>
  </si>
  <si>
    <t>(Column (F)  x (H) )</t>
  </si>
  <si>
    <t>(Column (G)  - (E) )</t>
  </si>
  <si>
    <t>(Column (D)  / (E) )</t>
  </si>
  <si>
    <t>General Service</t>
  </si>
  <si>
    <t>Transportation</t>
  </si>
  <si>
    <t>Small Non Residential</t>
  </si>
  <si>
    <t>Large Non Residential</t>
  </si>
  <si>
    <t>{3}</t>
  </si>
  <si>
    <t>{4}</t>
  </si>
  <si>
    <t>{5}</t>
  </si>
  <si>
    <t>Column (B) x 6</t>
  </si>
  <si>
    <t>(Column (A)  - (C) )</t>
  </si>
  <si>
    <t>(Column (B)  x 6 ) * 7/12</t>
  </si>
  <si>
    <t>Twelve months ended September 30, 2017</t>
  </si>
  <si>
    <t>Seven months May to November, as December through April is billed through Delta's Weather Normalization Adjustment</t>
  </si>
  <si>
    <t>Non-temperature sensitive MCF is the MCF billed during the months of July and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</si>
</sst>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0"/>
    <numFmt numFmtId="167" formatCode="0_);\(0\)"/>
    <numFmt numFmtId="168" formatCode="_(&quot;$&quot;* #,##0.0000_);_(&quot;$&quot;* \(#,##0.0000\);_(&quot;$&quot;* &quot;-&quot;??_);_(@_)"/>
    <numFmt numFmtId="171" formatCode="0.0000%"/>
    <numFmt numFmtId="173" formatCode="_(&quot;$&quot;* #,##0_);_(&quot;$&quot;* \(#,##0\);_(&quot;$&quot;* &quot;-&quot;??_);_(@_)"/>
    <numFmt numFmtId="174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57">
    <xf numFmtId="0" fontId="0" fillId="0" borderId="0" xfId="0"/>
    <xf numFmtId="164" fontId="0" fillId="0" borderId="0" xfId="2" applyNumberFormat="1" applyFont="1"/>
    <xf numFmtId="10" fontId="0" fillId="0" borderId="0" xfId="2" applyNumberFormat="1" applyFont="1"/>
    <xf numFmtId="164" fontId="0" fillId="0" borderId="0" xfId="2" applyNumberFormat="1" applyFont="1" applyBorder="1"/>
    <xf numFmtId="164" fontId="0" fillId="0" borderId="1" xfId="2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0" xfId="0" applyNumberFormat="1"/>
    <xf numFmtId="43" fontId="0" fillId="0" borderId="0" xfId="0" applyNumberFormat="1"/>
    <xf numFmtId="10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left" indent="1"/>
    </xf>
    <xf numFmtId="10" fontId="0" fillId="0" borderId="0" xfId="0" applyNumberFormat="1" applyBorder="1"/>
    <xf numFmtId="0" fontId="0" fillId="0" borderId="0" xfId="0" applyBorder="1"/>
    <xf numFmtId="165" fontId="0" fillId="0" borderId="0" xfId="1" applyNumberFormat="1" applyFont="1" applyBorder="1"/>
    <xf numFmtId="165" fontId="0" fillId="0" borderId="0" xfId="0" applyNumberFormat="1" applyBorder="1"/>
    <xf numFmtId="0" fontId="3" fillId="0" borderId="0" xfId="0" applyFont="1"/>
    <xf numFmtId="14" fontId="2" fillId="0" borderId="1" xfId="0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6" fontId="0" fillId="0" borderId="1" xfId="0" applyNumberFormat="1" applyBorder="1"/>
    <xf numFmtId="14" fontId="0" fillId="0" borderId="0" xfId="0" applyNumberFormat="1" applyAlignment="1">
      <alignment horizontal="center"/>
    </xf>
    <xf numFmtId="43" fontId="0" fillId="0" borderId="0" xfId="1" applyNumberFormat="1" applyFont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1" xfId="2" applyNumberFormat="1" applyFont="1" applyBorder="1"/>
    <xf numFmtId="0" fontId="0" fillId="0" borderId="0" xfId="0" applyAlignment="1">
      <alignment horizontal="left" indent="2"/>
    </xf>
    <xf numFmtId="0" fontId="2" fillId="0" borderId="0" xfId="0" applyFont="1"/>
    <xf numFmtId="165" fontId="0" fillId="0" borderId="1" xfId="1" applyNumberFormat="1" applyFont="1" applyFill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Border="1" applyAlignment="1">
      <alignment horizontal="center"/>
    </xf>
    <xf numFmtId="10" fontId="0" fillId="0" borderId="0" xfId="2" applyNumberFormat="1" applyFont="1" applyBorder="1"/>
    <xf numFmtId="0" fontId="2" fillId="0" borderId="0" xfId="0" applyFont="1" applyBorder="1"/>
    <xf numFmtId="165" fontId="2" fillId="0" borderId="0" xfId="1" applyNumberFormat="1" applyFont="1"/>
    <xf numFmtId="0" fontId="4" fillId="0" borderId="0" xfId="0" applyFont="1" applyBorder="1"/>
    <xf numFmtId="0" fontId="0" fillId="0" borderId="0" xfId="0"/>
    <xf numFmtId="165" fontId="0" fillId="0" borderId="0" xfId="1" applyNumberFormat="1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 indent="2"/>
    </xf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44" fontId="0" fillId="0" borderId="0" xfId="3" applyFont="1"/>
    <xf numFmtId="0" fontId="4" fillId="0" borderId="0" xfId="0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 indent="2"/>
    </xf>
    <xf numFmtId="0" fontId="0" fillId="0" borderId="0" xfId="0"/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165" fontId="6" fillId="0" borderId="2" xfId="1" applyNumberFormat="1" applyFont="1" applyFill="1" applyBorder="1"/>
    <xf numFmtId="165" fontId="6" fillId="0" borderId="3" xfId="1" applyNumberFormat="1" applyFont="1" applyFill="1" applyBorder="1"/>
    <xf numFmtId="0" fontId="0" fillId="0" borderId="0" xfId="0" applyFill="1" applyAlignment="1">
      <alignment horizontal="right"/>
    </xf>
    <xf numFmtId="165" fontId="6" fillId="0" borderId="4" xfId="1" applyNumberFormat="1" applyFont="1" applyFill="1" applyBorder="1"/>
    <xf numFmtId="165" fontId="6" fillId="0" borderId="5" xfId="1" applyNumberFormat="1" applyFont="1" applyFill="1" applyBorder="1"/>
    <xf numFmtId="0" fontId="0" fillId="0" borderId="1" xfId="0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165" fontId="0" fillId="0" borderId="0" xfId="0" applyNumberFormat="1" applyFill="1"/>
    <xf numFmtId="168" fontId="6" fillId="0" borderId="0" xfId="3" applyNumberFormat="1" applyFont="1" applyFill="1"/>
    <xf numFmtId="0" fontId="6" fillId="0" borderId="0" xfId="0" applyFont="1" applyAlignment="1">
      <alignment horizontal="right"/>
    </xf>
    <xf numFmtId="165" fontId="0" fillId="0" borderId="8" xfId="0" applyNumberFormat="1" applyBorder="1"/>
    <xf numFmtId="0" fontId="0" fillId="0" borderId="0" xfId="0" quotePrefix="1"/>
    <xf numFmtId="165" fontId="0" fillId="0" borderId="0" xfId="1" applyNumberFormat="1" applyFont="1" applyFill="1" applyBorder="1"/>
    <xf numFmtId="14" fontId="0" fillId="0" borderId="0" xfId="0" applyNumberFormat="1"/>
    <xf numFmtId="43" fontId="0" fillId="0" borderId="0" xfId="0" applyNumberFormat="1" applyBorder="1" applyAlignment="1">
      <alignment horizontal="center"/>
    </xf>
    <xf numFmtId="165" fontId="2" fillId="0" borderId="8" xfId="1" applyNumberFormat="1" applyFont="1" applyBorder="1" applyAlignment="1">
      <alignment horizontal="center" wrapText="1"/>
    </xf>
    <xf numFmtId="9" fontId="0" fillId="0" borderId="0" xfId="2" applyFont="1"/>
    <xf numFmtId="165" fontId="2" fillId="0" borderId="1" xfId="1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5" fontId="6" fillId="0" borderId="0" xfId="1" applyNumberFormat="1" applyFont="1" applyFill="1" applyBorder="1"/>
    <xf numFmtId="165" fontId="0" fillId="0" borderId="0" xfId="0" applyNumberFormat="1" applyFill="1" applyBorder="1"/>
    <xf numFmtId="165" fontId="6" fillId="0" borderId="9" xfId="1" applyNumberFormat="1" applyFont="1" applyFill="1" applyBorder="1"/>
    <xf numFmtId="165" fontId="6" fillId="0" borderId="10" xfId="1" applyNumberFormat="1" applyFont="1" applyFill="1" applyBorder="1"/>
    <xf numFmtId="165" fontId="6" fillId="0" borderId="11" xfId="1" applyNumberFormat="1" applyFont="1" applyFill="1" applyBorder="1"/>
    <xf numFmtId="165" fontId="6" fillId="0" borderId="6" xfId="1" applyNumberFormat="1" applyFont="1" applyFill="1" applyBorder="1"/>
    <xf numFmtId="165" fontId="6" fillId="0" borderId="7" xfId="1" applyNumberFormat="1" applyFont="1" applyFill="1" applyBorder="1"/>
    <xf numFmtId="0" fontId="0" fillId="0" borderId="0" xfId="0"/>
    <xf numFmtId="165" fontId="0" fillId="0" borderId="8" xfId="0" applyNumberFormat="1" applyFill="1" applyBorder="1"/>
    <xf numFmtId="0" fontId="13" fillId="0" borderId="0" xfId="0" applyFont="1" applyFill="1"/>
    <xf numFmtId="173" fontId="0" fillId="0" borderId="0" xfId="3" applyNumberFormat="1" applyFont="1"/>
    <xf numFmtId="173" fontId="0" fillId="0" borderId="0" xfId="0" applyNumberFormat="1"/>
    <xf numFmtId="173" fontId="0" fillId="0" borderId="8" xfId="0" applyNumberFormat="1" applyBorder="1"/>
    <xf numFmtId="43" fontId="0" fillId="0" borderId="1" xfId="1" applyFont="1" applyFill="1" applyBorder="1"/>
    <xf numFmtId="43" fontId="0" fillId="0" borderId="0" xfId="1" applyFont="1" applyFill="1"/>
    <xf numFmtId="43" fontId="0" fillId="0" borderId="0" xfId="1" applyFont="1" applyFill="1" applyBorder="1"/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14" fillId="0" borderId="0" xfId="1" applyNumberFormat="1" applyFont="1" applyFill="1"/>
    <xf numFmtId="165" fontId="14" fillId="0" borderId="0" xfId="1" applyNumberFormat="1" applyFont="1" applyFill="1" applyBorder="1"/>
    <xf numFmtId="165" fontId="14" fillId="0" borderId="1" xfId="1" applyNumberFormat="1" applyFont="1" applyFill="1" applyBorder="1"/>
    <xf numFmtId="173" fontId="14" fillId="0" borderId="0" xfId="3" applyNumberFormat="1" applyFont="1" applyFill="1"/>
    <xf numFmtId="173" fontId="0" fillId="0" borderId="0" xfId="3" applyNumberFormat="1" applyFont="1" applyFill="1"/>
    <xf numFmtId="165" fontId="0" fillId="0" borderId="0" xfId="1" applyNumberFormat="1" applyFont="1" applyFill="1"/>
    <xf numFmtId="0" fontId="0" fillId="0" borderId="0" xfId="0" applyFill="1"/>
    <xf numFmtId="165" fontId="2" fillId="0" borderId="0" xfId="1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64" fontId="0" fillId="0" borderId="0" xfId="2" applyNumberFormat="1" applyFont="1" applyFill="1"/>
    <xf numFmtId="173" fontId="0" fillId="0" borderId="0" xfId="0" applyNumberFormat="1" applyFill="1"/>
    <xf numFmtId="44" fontId="0" fillId="0" borderId="0" xfId="0" applyNumberFormat="1" applyFill="1"/>
    <xf numFmtId="164" fontId="0" fillId="0" borderId="0" xfId="2" applyNumberFormat="1" applyFont="1" applyFill="1" applyBorder="1"/>
    <xf numFmtId="164" fontId="0" fillId="0" borderId="1" xfId="2" applyNumberFormat="1" applyFont="1" applyFill="1" applyBorder="1"/>
    <xf numFmtId="173" fontId="0" fillId="0" borderId="0" xfId="1" applyNumberFormat="1" applyFont="1" applyFill="1"/>
    <xf numFmtId="173" fontId="0" fillId="0" borderId="1" xfId="1" applyNumberFormat="1" applyFont="1" applyFill="1" applyBorder="1"/>
    <xf numFmtId="173" fontId="0" fillId="0" borderId="0" xfId="1" applyNumberFormat="1" applyFont="1" applyFill="1" applyBorder="1"/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0" xfId="0" applyAlignment="1">
      <alignment horizontal="right"/>
    </xf>
    <xf numFmtId="173" fontId="0" fillId="0" borderId="0" xfId="0" applyNumberFormat="1"/>
    <xf numFmtId="0" fontId="0" fillId="0" borderId="0" xfId="0" applyFill="1" applyAlignment="1">
      <alignment horizontal="right"/>
    </xf>
    <xf numFmtId="0" fontId="2" fillId="0" borderId="1" xfId="0" quotePrefix="1" applyFont="1" applyFill="1" applyBorder="1" applyAlignment="1">
      <alignment horizontal="center"/>
    </xf>
    <xf numFmtId="0" fontId="0" fillId="0" borderId="0" xfId="0"/>
    <xf numFmtId="165" fontId="2" fillId="0" borderId="1" xfId="1" applyNumberFormat="1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1" xfId="0" applyBorder="1"/>
    <xf numFmtId="165" fontId="2" fillId="0" borderId="0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171" fontId="0" fillId="0" borderId="0" xfId="2" applyNumberFormat="1" applyFont="1"/>
    <xf numFmtId="174" fontId="0" fillId="0" borderId="0" xfId="0" applyNumberFormat="1"/>
    <xf numFmtId="0" fontId="15" fillId="0" borderId="0" xfId="0" applyFont="1"/>
    <xf numFmtId="0" fontId="0" fillId="0" borderId="0" xfId="0"/>
    <xf numFmtId="0" fontId="12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left"/>
    </xf>
    <xf numFmtId="165" fontId="17" fillId="0" borderId="0" xfId="1" applyNumberFormat="1" applyFont="1"/>
    <xf numFmtId="0" fontId="16" fillId="0" borderId="0" xfId="0" applyFont="1" applyBorder="1" applyAlignment="1">
      <alignment horizontal="left"/>
    </xf>
    <xf numFmtId="166" fontId="0" fillId="0" borderId="0" xfId="0" applyNumberFormat="1"/>
    <xf numFmtId="167" fontId="0" fillId="0" borderId="0" xfId="0" quotePrefix="1" applyNumberForma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165" fontId="6" fillId="0" borderId="12" xfId="1" applyNumberFormat="1" applyFont="1" applyFill="1" applyBorder="1"/>
    <xf numFmtId="165" fontId="6" fillId="0" borderId="1" xfId="1" applyNumberFormat="1" applyFont="1" applyFill="1" applyBorder="1"/>
    <xf numFmtId="165" fontId="19" fillId="0" borderId="0" xfId="1" applyNumberFormat="1" applyFont="1"/>
    <xf numFmtId="0" fontId="19" fillId="0" borderId="0" xfId="0" applyFont="1"/>
    <xf numFmtId="165" fontId="19" fillId="0" borderId="0" xfId="1" applyNumberFormat="1" applyFont="1" applyFill="1"/>
    <xf numFmtId="0" fontId="19" fillId="0" borderId="0" xfId="0" applyFont="1" applyAlignment="1">
      <alignment horizontal="right"/>
    </xf>
    <xf numFmtId="10" fontId="16" fillId="0" borderId="1" xfId="2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6" fontId="0" fillId="0" borderId="0" xfId="0" applyNumberFormat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</cellXfs>
  <cellStyles count="6">
    <cellStyle name="Comma" xfId="1" builtinId="3"/>
    <cellStyle name="Comma 2" xfId="5"/>
    <cellStyle name="Currency" xfId="3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C33" sqref="C33"/>
    </sheetView>
  </sheetViews>
  <sheetFormatPr defaultColWidth="9.140625" defaultRowHeight="15" x14ac:dyDescent="0.25"/>
  <cols>
    <col min="1" max="1" width="3.5703125" style="96" customWidth="1"/>
    <col min="2" max="2" width="25.28515625" style="96" customWidth="1"/>
    <col min="3" max="3" width="35.140625" style="96" customWidth="1"/>
    <col min="4" max="4" width="24.140625" style="117" bestFit="1" customWidth="1"/>
    <col min="5" max="8" width="20.7109375" style="96" customWidth="1"/>
    <col min="9" max="16384" width="9.140625" style="96"/>
  </cols>
  <sheetData>
    <row r="1" spans="1:5" x14ac:dyDescent="0.25">
      <c r="A1" s="116" t="s">
        <v>50</v>
      </c>
    </row>
    <row r="2" spans="1:5" x14ac:dyDescent="0.25">
      <c r="A2" s="116" t="s">
        <v>51</v>
      </c>
    </row>
    <row r="3" spans="1:5" x14ac:dyDescent="0.25">
      <c r="A3" s="116" t="s">
        <v>143</v>
      </c>
    </row>
    <row r="4" spans="1:5" x14ac:dyDescent="0.25">
      <c r="A4" s="50" t="s">
        <v>53</v>
      </c>
    </row>
    <row r="5" spans="1:5" x14ac:dyDescent="0.25">
      <c r="A5" s="50" t="s">
        <v>134</v>
      </c>
    </row>
    <row r="6" spans="1:5" x14ac:dyDescent="0.25">
      <c r="A6" s="134"/>
    </row>
    <row r="10" spans="1:5" x14ac:dyDescent="0.25">
      <c r="B10" s="96" t="s">
        <v>67</v>
      </c>
    </row>
    <row r="11" spans="1:5" x14ac:dyDescent="0.25">
      <c r="B11" s="14" t="s">
        <v>186</v>
      </c>
      <c r="C11" s="14"/>
      <c r="D11" s="117">
        <f>'2 - Income Tax Expense'!C52</f>
        <v>-1450715</v>
      </c>
      <c r="E11" s="96" t="s">
        <v>44</v>
      </c>
    </row>
    <row r="12" spans="1:5" s="123" customFormat="1" x14ac:dyDescent="0.25">
      <c r="B12" s="14" t="s">
        <v>185</v>
      </c>
      <c r="C12" s="14"/>
      <c r="D12" s="17">
        <f>-'3.1 KY Reg Liability'!E47</f>
        <v>11412</v>
      </c>
      <c r="E12" s="96" t="s">
        <v>172</v>
      </c>
    </row>
    <row r="13" spans="1:5" x14ac:dyDescent="0.25">
      <c r="B13" s="14" t="s">
        <v>184</v>
      </c>
      <c r="C13" s="14"/>
      <c r="D13" s="17">
        <f>'4 - 2018 Reg Liability'!D25</f>
        <v>-915171</v>
      </c>
      <c r="E13" s="96" t="s">
        <v>45</v>
      </c>
    </row>
    <row r="14" spans="1:5" s="125" customFormat="1" x14ac:dyDescent="0.25">
      <c r="B14" s="14" t="s">
        <v>187</v>
      </c>
      <c r="C14" s="14"/>
      <c r="D14" s="118">
        <f>-'6 - Cost of Capital'!C36</f>
        <v>202137.30864530033</v>
      </c>
      <c r="E14" s="125" t="s">
        <v>52</v>
      </c>
    </row>
    <row r="15" spans="1:5" x14ac:dyDescent="0.25">
      <c r="D15" s="17">
        <f>SUM(D11:D14)</f>
        <v>-2152336.6913546994</v>
      </c>
    </row>
    <row r="16" spans="1:5" x14ac:dyDescent="0.25">
      <c r="D16" s="48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B22" s="119"/>
      <c r="D22" s="96"/>
      <c r="F22" s="106" t="s">
        <v>150</v>
      </c>
      <c r="G22" s="106" t="s">
        <v>154</v>
      </c>
      <c r="H22"/>
    </row>
    <row r="23" spans="1:8" x14ac:dyDescent="0.25">
      <c r="B23" s="119"/>
      <c r="C23" s="106" t="s">
        <v>151</v>
      </c>
      <c r="D23" s="106"/>
      <c r="E23" s="106" t="s">
        <v>152</v>
      </c>
      <c r="F23" s="97" t="s">
        <v>153</v>
      </c>
      <c r="G23" s="106" t="s">
        <v>215</v>
      </c>
      <c r="H23"/>
    </row>
    <row r="24" spans="1:8" x14ac:dyDescent="0.25">
      <c r="B24" s="119"/>
      <c r="C24" s="107" t="s">
        <v>155</v>
      </c>
      <c r="D24" s="97" t="s">
        <v>156</v>
      </c>
      <c r="E24" s="97" t="s">
        <v>161</v>
      </c>
      <c r="F24" s="106" t="s">
        <v>157</v>
      </c>
      <c r="G24" s="97" t="s">
        <v>162</v>
      </c>
      <c r="H24"/>
    </row>
    <row r="25" spans="1:8" x14ac:dyDescent="0.25">
      <c r="B25" s="119"/>
      <c r="C25" s="98" t="s">
        <v>158</v>
      </c>
      <c r="D25" s="98" t="s">
        <v>159</v>
      </c>
      <c r="E25" s="98" t="s">
        <v>99</v>
      </c>
      <c r="F25" s="122" t="s">
        <v>217</v>
      </c>
      <c r="G25" s="98" t="s">
        <v>17</v>
      </c>
      <c r="H25"/>
    </row>
    <row r="26" spans="1:8" x14ac:dyDescent="0.25">
      <c r="A26" s="105"/>
      <c r="B26" s="121" t="s">
        <v>72</v>
      </c>
      <c r="C26" s="102">
        <v>14846218</v>
      </c>
      <c r="D26" s="108">
        <v>0.54322563199912766</v>
      </c>
      <c r="E26" s="109">
        <f>E30-SUM(E27:E29)</f>
        <v>-1169204.6913546994</v>
      </c>
      <c r="F26" s="99">
        <f>355009+291</f>
        <v>355300</v>
      </c>
      <c r="G26" s="110">
        <f>E26/F26</f>
        <v>-3.2907534234582028</v>
      </c>
      <c r="H26" s="11"/>
    </row>
    <row r="27" spans="1:8" x14ac:dyDescent="0.25">
      <c r="A27" s="105"/>
      <c r="B27" s="121" t="s">
        <v>73</v>
      </c>
      <c r="C27" s="99">
        <v>3991286</v>
      </c>
      <c r="D27" s="108">
        <v>0.14604183097939627</v>
      </c>
      <c r="E27" s="113">
        <f>ROUND(E$30*$D27,0)</f>
        <v>-314331</v>
      </c>
      <c r="F27" s="99">
        <f>48862+1319</f>
        <v>50181</v>
      </c>
      <c r="G27" s="94">
        <f t="shared" ref="G27:G29" si="0">E27/F27</f>
        <v>-6.2639445208345785</v>
      </c>
      <c r="H27" s="11"/>
    </row>
    <row r="28" spans="1:8" x14ac:dyDescent="0.25">
      <c r="A28" s="105"/>
      <c r="B28" s="121" t="s">
        <v>74</v>
      </c>
      <c r="C28" s="100">
        <v>7008122</v>
      </c>
      <c r="D28" s="111">
        <v>0.25642837135875218</v>
      </c>
      <c r="E28" s="115">
        <f>ROUND(E$30*$D28,0)</f>
        <v>-551920</v>
      </c>
      <c r="F28" s="100">
        <f>10523+1240</f>
        <v>11763</v>
      </c>
      <c r="G28" s="95">
        <f t="shared" si="0"/>
        <v>-46.920003400493073</v>
      </c>
      <c r="H28" s="11"/>
    </row>
    <row r="29" spans="1:8" x14ac:dyDescent="0.25">
      <c r="A29" s="105"/>
      <c r="B29" s="121" t="s">
        <v>160</v>
      </c>
      <c r="C29" s="101">
        <v>1484119</v>
      </c>
      <c r="D29" s="112">
        <v>5.4304165662723891E-2</v>
      </c>
      <c r="E29" s="114">
        <f>ROUND(E$30*$D29,0)</f>
        <v>-116881</v>
      </c>
      <c r="F29" s="101">
        <f>36+331</f>
        <v>367</v>
      </c>
      <c r="G29" s="93">
        <f t="shared" si="0"/>
        <v>-318.47683923705722</v>
      </c>
      <c r="H29" s="11"/>
    </row>
    <row r="30" spans="1:8" x14ac:dyDescent="0.25">
      <c r="A30" s="105"/>
      <c r="B30" s="119"/>
      <c r="C30" s="103">
        <v>27329745</v>
      </c>
      <c r="D30" s="108">
        <v>1</v>
      </c>
      <c r="E30" s="109">
        <f>D15</f>
        <v>-2152336.6913546994</v>
      </c>
      <c r="F30" s="104">
        <f>SUM(F26:F29)</f>
        <v>417611</v>
      </c>
      <c r="G30" s="110"/>
      <c r="H30"/>
    </row>
    <row r="31" spans="1:8" x14ac:dyDescent="0.25">
      <c r="A31"/>
      <c r="B31"/>
      <c r="C31"/>
      <c r="D31"/>
      <c r="E31" s="120"/>
      <c r="F31"/>
      <c r="G31"/>
      <c r="H31"/>
    </row>
    <row r="32" spans="1:8" x14ac:dyDescent="0.25">
      <c r="A32"/>
      <c r="B32"/>
      <c r="C32"/>
      <c r="D32"/>
      <c r="E32" s="120"/>
      <c r="F32"/>
      <c r="G32"/>
      <c r="H32"/>
    </row>
    <row r="33" spans="2:6" x14ac:dyDescent="0.25">
      <c r="B33" s="117"/>
      <c r="C33" s="117"/>
      <c r="D33" s="96"/>
      <c r="F33" s="120"/>
    </row>
    <row r="34" spans="2:6" x14ac:dyDescent="0.25">
      <c r="B34" s="117"/>
      <c r="C34" s="117"/>
      <c r="D34" s="96"/>
      <c r="F34" s="120"/>
    </row>
    <row r="35" spans="2:6" x14ac:dyDescent="0.25">
      <c r="B35" s="117"/>
      <c r="C35" s="117"/>
      <c r="D35" s="96"/>
    </row>
    <row r="36" spans="2:6" x14ac:dyDescent="0.25">
      <c r="B36" s="117"/>
      <c r="C36" s="117"/>
      <c r="D36" s="96"/>
    </row>
    <row r="37" spans="2:6" x14ac:dyDescent="0.25">
      <c r="B37" s="117"/>
      <c r="C37" s="117"/>
      <c r="D37" s="96"/>
    </row>
  </sheetData>
  <pageMargins left="0.7" right="0.7" top="0.75" bottom="0.75" header="0.3" footer="0.3"/>
  <pageSetup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7"/>
  <sheetViews>
    <sheetView zoomScaleNormal="100" workbookViewId="0">
      <selection activeCell="C21" sqref="C21"/>
    </sheetView>
  </sheetViews>
  <sheetFormatPr defaultRowHeight="18.75" x14ac:dyDescent="0.3"/>
  <cols>
    <col min="1" max="1" width="9.140625" style="19"/>
    <col min="2" max="2" width="58.140625" bestFit="1" customWidth="1"/>
    <col min="3" max="4" width="14" bestFit="1" customWidth="1"/>
    <col min="5" max="5" width="13.28515625" bestFit="1" customWidth="1"/>
    <col min="6" max="6" width="10.5703125" bestFit="1" customWidth="1"/>
    <col min="7" max="7" width="14" bestFit="1" customWidth="1"/>
    <col min="8" max="8" width="13.28515625" bestFit="1" customWidth="1"/>
  </cols>
  <sheetData>
    <row r="1" spans="1:4" ht="15" x14ac:dyDescent="0.25">
      <c r="A1" s="43" t="s">
        <v>50</v>
      </c>
    </row>
    <row r="2" spans="1:4" s="38" customFormat="1" ht="15" x14ac:dyDescent="0.25">
      <c r="A2" s="43" t="s">
        <v>51</v>
      </c>
    </row>
    <row r="3" spans="1:4" s="38" customFormat="1" ht="15" x14ac:dyDescent="0.25">
      <c r="A3" s="43" t="s">
        <v>144</v>
      </c>
    </row>
    <row r="4" spans="1:4" s="38" customFormat="1" ht="15" x14ac:dyDescent="0.25">
      <c r="A4" s="50" t="s">
        <v>195</v>
      </c>
    </row>
    <row r="5" spans="1:4" s="38" customFormat="1" x14ac:dyDescent="0.3">
      <c r="A5" s="19"/>
    </row>
    <row r="6" spans="1:4" s="38" customFormat="1" x14ac:dyDescent="0.3">
      <c r="A6" s="19"/>
    </row>
    <row r="7" spans="1:4" x14ac:dyDescent="0.3">
      <c r="A7" s="19" t="s">
        <v>38</v>
      </c>
    </row>
    <row r="8" spans="1:4" ht="15" x14ac:dyDescent="0.25">
      <c r="A8"/>
      <c r="C8" s="20">
        <v>43008</v>
      </c>
    </row>
    <row r="9" spans="1:4" ht="15" x14ac:dyDescent="0.25">
      <c r="A9"/>
      <c r="B9" t="s">
        <v>0</v>
      </c>
      <c r="C9" s="8">
        <v>4651289</v>
      </c>
    </row>
    <row r="10" spans="1:4" ht="15" x14ac:dyDescent="0.25">
      <c r="A10"/>
      <c r="C10" s="8"/>
    </row>
    <row r="11" spans="1:4" ht="15" x14ac:dyDescent="0.25">
      <c r="A11"/>
      <c r="B11" t="s">
        <v>194</v>
      </c>
      <c r="C11" s="8"/>
    </row>
    <row r="12" spans="1:4" s="54" customFormat="1" ht="15" x14ac:dyDescent="0.25">
      <c r="B12" s="42" t="s">
        <v>131</v>
      </c>
      <c r="C12" s="44">
        <f>'2.1 - WNA'!R32</f>
        <v>1330610.08</v>
      </c>
      <c r="D12" s="54" t="s">
        <v>218</v>
      </c>
    </row>
    <row r="13" spans="1:4" s="38" customFormat="1" ht="15" x14ac:dyDescent="0.25">
      <c r="B13" s="42" t="s">
        <v>142</v>
      </c>
      <c r="C13" s="73">
        <f>-203201+88032</f>
        <v>-115169</v>
      </c>
    </row>
    <row r="14" spans="1:4" ht="15" x14ac:dyDescent="0.25">
      <c r="A14"/>
      <c r="B14" s="42" t="s">
        <v>42</v>
      </c>
      <c r="C14" s="8">
        <v>8810</v>
      </c>
    </row>
    <row r="15" spans="1:4" ht="15" x14ac:dyDescent="0.25">
      <c r="A15"/>
      <c r="B15" s="42" t="s">
        <v>43</v>
      </c>
      <c r="C15" s="8">
        <v>250</v>
      </c>
    </row>
    <row r="16" spans="1:4" ht="15" x14ac:dyDescent="0.25">
      <c r="A16"/>
      <c r="B16" s="42" t="s">
        <v>41</v>
      </c>
      <c r="C16" s="8">
        <v>13133</v>
      </c>
    </row>
    <row r="17" spans="1:8" ht="15" x14ac:dyDescent="0.25">
      <c r="A17"/>
      <c r="B17" s="42" t="s">
        <v>40</v>
      </c>
      <c r="C17" s="8">
        <v>4060</v>
      </c>
    </row>
    <row r="18" spans="1:8" ht="15" x14ac:dyDescent="0.25">
      <c r="A18"/>
      <c r="B18" s="42" t="s">
        <v>141</v>
      </c>
      <c r="C18" s="118">
        <f>3529094-606191</f>
        <v>2922903</v>
      </c>
    </row>
    <row r="19" spans="1:8" ht="15" x14ac:dyDescent="0.25">
      <c r="A19"/>
      <c r="B19" t="s">
        <v>8</v>
      </c>
      <c r="C19" s="8">
        <f>SUM(C9:C18)</f>
        <v>8815886.0800000001</v>
      </c>
    </row>
    <row r="20" spans="1:8" ht="15" x14ac:dyDescent="0.25">
      <c r="A20"/>
    </row>
    <row r="21" spans="1:8" ht="15" x14ac:dyDescent="0.25">
      <c r="A21"/>
      <c r="B21" t="s">
        <v>124</v>
      </c>
      <c r="C21" s="12">
        <f>C33</f>
        <v>0.37960000000000005</v>
      </c>
      <c r="D21" s="15"/>
      <c r="E21" s="16"/>
      <c r="F21" s="40"/>
    </row>
    <row r="22" spans="1:8" ht="15" x14ac:dyDescent="0.25">
      <c r="A22"/>
      <c r="D22" s="16"/>
      <c r="E22" s="16"/>
      <c r="F22" s="40"/>
    </row>
    <row r="23" spans="1:8" ht="15" x14ac:dyDescent="0.25">
      <c r="A23"/>
      <c r="B23" t="s">
        <v>49</v>
      </c>
      <c r="C23" s="8">
        <f>ROUND(C19*-C21,0)</f>
        <v>-3346510</v>
      </c>
      <c r="D23" s="17"/>
      <c r="E23" s="18"/>
      <c r="F23" s="40"/>
      <c r="G23" s="40"/>
      <c r="H23" s="40"/>
    </row>
    <row r="24" spans="1:8" ht="15" x14ac:dyDescent="0.25">
      <c r="A24"/>
      <c r="D24" s="16"/>
      <c r="E24" s="16"/>
      <c r="F24" s="40"/>
      <c r="G24" s="40"/>
      <c r="H24" s="40"/>
    </row>
    <row r="25" spans="1:8" ht="15" x14ac:dyDescent="0.25">
      <c r="A25"/>
      <c r="B25" t="s">
        <v>69</v>
      </c>
      <c r="C25" s="10">
        <f>C19+C23</f>
        <v>5469376.0800000001</v>
      </c>
      <c r="D25" s="16"/>
      <c r="E25" s="16"/>
    </row>
    <row r="26" spans="1:8" ht="15" x14ac:dyDescent="0.25">
      <c r="A26"/>
    </row>
    <row r="27" spans="1:8" ht="15" x14ac:dyDescent="0.25">
      <c r="A27"/>
    </row>
    <row r="28" spans="1:8" x14ac:dyDescent="0.3">
      <c r="A28" s="19" t="s">
        <v>9</v>
      </c>
    </row>
    <row r="30" spans="1:8" ht="15" x14ac:dyDescent="0.25">
      <c r="A30"/>
      <c r="B30" s="14" t="s">
        <v>1</v>
      </c>
      <c r="C30" s="1">
        <v>0.34</v>
      </c>
      <c r="D30" s="1">
        <v>0.21</v>
      </c>
    </row>
    <row r="31" spans="1:8" ht="15" x14ac:dyDescent="0.25">
      <c r="A31"/>
      <c r="B31" s="14" t="s">
        <v>2</v>
      </c>
      <c r="C31" s="3">
        <v>0.06</v>
      </c>
      <c r="D31" s="3">
        <v>0.06</v>
      </c>
    </row>
    <row r="32" spans="1:8" ht="15" x14ac:dyDescent="0.25">
      <c r="A32"/>
      <c r="B32" s="14" t="s">
        <v>103</v>
      </c>
      <c r="C32" s="4">
        <f>C31*-C30</f>
        <v>-2.0400000000000001E-2</v>
      </c>
      <c r="D32" s="4">
        <f>D31*-D30</f>
        <v>-1.2599999999999998E-2</v>
      </c>
    </row>
    <row r="33" spans="1:5" ht="15" x14ac:dyDescent="0.25">
      <c r="A33"/>
      <c r="B33" t="s">
        <v>124</v>
      </c>
      <c r="C33" s="2">
        <f>SUM(C30:C32)</f>
        <v>0.37960000000000005</v>
      </c>
      <c r="D33" s="2">
        <f>SUM(D30:D32)</f>
        <v>0.25740000000000002</v>
      </c>
    </row>
    <row r="34" spans="1:5" ht="15" x14ac:dyDescent="0.25">
      <c r="A34"/>
      <c r="C34" s="1"/>
      <c r="D34" s="1"/>
    </row>
    <row r="35" spans="1:5" x14ac:dyDescent="0.3">
      <c r="A35" s="19" t="s">
        <v>10</v>
      </c>
      <c r="C35" s="1"/>
      <c r="D35" s="1"/>
    </row>
    <row r="36" spans="1:5" x14ac:dyDescent="0.3">
      <c r="C36" s="21">
        <v>0.34</v>
      </c>
      <c r="D36" s="21">
        <v>0.21</v>
      </c>
    </row>
    <row r="37" spans="1:5" ht="15" x14ac:dyDescent="0.25">
      <c r="A37"/>
      <c r="B37" s="6">
        <v>1</v>
      </c>
      <c r="C37" s="155">
        <f>1/(1-C33)</f>
        <v>1.6118633139909737</v>
      </c>
      <c r="D37" s="155">
        <f>1/(1-D33)</f>
        <v>1.3466199838405604</v>
      </c>
    </row>
    <row r="38" spans="1:5" ht="15" x14ac:dyDescent="0.25">
      <c r="A38"/>
      <c r="B38" s="5" t="s">
        <v>3</v>
      </c>
      <c r="C38" s="155"/>
      <c r="D38" s="155"/>
    </row>
    <row r="39" spans="1:5" ht="15" x14ac:dyDescent="0.25">
      <c r="A39"/>
    </row>
    <row r="40" spans="1:5" ht="15" x14ac:dyDescent="0.25">
      <c r="A40"/>
      <c r="E40" s="141"/>
    </row>
    <row r="41" spans="1:5" ht="15" x14ac:dyDescent="0.25">
      <c r="A41"/>
    </row>
    <row r="42" spans="1:5" ht="15" x14ac:dyDescent="0.25">
      <c r="A42"/>
      <c r="C42" s="11"/>
      <c r="D42" s="11"/>
    </row>
    <row r="43" spans="1:5" ht="15" x14ac:dyDescent="0.25">
      <c r="A43"/>
    </row>
    <row r="44" spans="1:5" x14ac:dyDescent="0.3">
      <c r="A44" s="19" t="s">
        <v>7</v>
      </c>
    </row>
    <row r="45" spans="1:5" ht="15" x14ac:dyDescent="0.25">
      <c r="A45"/>
    </row>
    <row r="46" spans="1:5" ht="15" x14ac:dyDescent="0.25">
      <c r="A46"/>
      <c r="B46" t="s">
        <v>4</v>
      </c>
      <c r="C46" s="10">
        <f>C23</f>
        <v>-3346510</v>
      </c>
      <c r="D46" s="10"/>
      <c r="E46" s="7"/>
    </row>
    <row r="47" spans="1:5" ht="15" x14ac:dyDescent="0.25">
      <c r="A47"/>
      <c r="B47" t="s">
        <v>5</v>
      </c>
      <c r="C47" s="13">
        <f>ROUND(C19*-D33,0)</f>
        <v>-2269209</v>
      </c>
    </row>
    <row r="48" spans="1:5" ht="15" x14ac:dyDescent="0.25">
      <c r="A48"/>
      <c r="B48" t="s">
        <v>6</v>
      </c>
      <c r="C48" s="10">
        <f>C46-C47</f>
        <v>-1077301</v>
      </c>
      <c r="E48" s="8"/>
    </row>
    <row r="49" spans="1:5" ht="15" x14ac:dyDescent="0.25">
      <c r="A49"/>
    </row>
    <row r="50" spans="1:5" ht="15" x14ac:dyDescent="0.25">
      <c r="A50"/>
      <c r="B50" t="s">
        <v>133</v>
      </c>
      <c r="C50" s="22">
        <f>D37</f>
        <v>1.3466199838405604</v>
      </c>
      <c r="E50" s="11"/>
    </row>
    <row r="51" spans="1:5" ht="15" x14ac:dyDescent="0.25">
      <c r="A51"/>
    </row>
    <row r="52" spans="1:5" ht="15" x14ac:dyDescent="0.25">
      <c r="A52"/>
      <c r="B52" t="s">
        <v>104</v>
      </c>
      <c r="C52" s="10">
        <f>ROUND(C50*C48,0)</f>
        <v>-1450715</v>
      </c>
    </row>
    <row r="53" spans="1:5" ht="15" x14ac:dyDescent="0.25">
      <c r="A53"/>
    </row>
    <row r="54" spans="1:5" ht="15" x14ac:dyDescent="0.25">
      <c r="A54"/>
    </row>
    <row r="55" spans="1:5" ht="15" x14ac:dyDescent="0.25">
      <c r="A55"/>
    </row>
    <row r="56" spans="1:5" x14ac:dyDescent="0.3">
      <c r="A56" s="19" t="s">
        <v>11</v>
      </c>
    </row>
    <row r="57" spans="1:5" ht="15" x14ac:dyDescent="0.25">
      <c r="A57"/>
      <c r="B57" t="s">
        <v>205</v>
      </c>
      <c r="C57" s="18">
        <f>C19</f>
        <v>8815886.0800000001</v>
      </c>
    </row>
    <row r="58" spans="1:5" ht="15" x14ac:dyDescent="0.25">
      <c r="A58"/>
      <c r="C58" s="18"/>
    </row>
    <row r="59" spans="1:5" ht="15" x14ac:dyDescent="0.25">
      <c r="A59"/>
      <c r="B59" t="s">
        <v>105</v>
      </c>
      <c r="C59" s="13">
        <f>C52</f>
        <v>-1450715</v>
      </c>
      <c r="D59" t="s">
        <v>46</v>
      </c>
    </row>
    <row r="60" spans="1:5" ht="15" x14ac:dyDescent="0.25">
      <c r="A60"/>
      <c r="C60" s="10"/>
    </row>
    <row r="61" spans="1:5" ht="15" x14ac:dyDescent="0.25">
      <c r="A61"/>
      <c r="B61" t="s">
        <v>12</v>
      </c>
      <c r="C61" s="10">
        <f>C57+C59</f>
        <v>7365171.0800000001</v>
      </c>
    </row>
    <row r="62" spans="1:5" ht="15" x14ac:dyDescent="0.25">
      <c r="A62"/>
    </row>
    <row r="63" spans="1:5" ht="15" x14ac:dyDescent="0.25">
      <c r="A63"/>
      <c r="B63" t="s">
        <v>13</v>
      </c>
      <c r="C63" s="12">
        <f>D33</f>
        <v>0.25740000000000002</v>
      </c>
    </row>
    <row r="64" spans="1:5" ht="15" x14ac:dyDescent="0.25">
      <c r="A64"/>
    </row>
    <row r="65" spans="1:3" ht="15" x14ac:dyDescent="0.25">
      <c r="A65"/>
      <c r="B65" t="s">
        <v>14</v>
      </c>
      <c r="C65" s="10">
        <f>-C63*C61</f>
        <v>-1895795.0359920003</v>
      </c>
    </row>
    <row r="66" spans="1:3" ht="15" x14ac:dyDescent="0.25">
      <c r="A66"/>
      <c r="C66" s="10"/>
    </row>
    <row r="67" spans="1:3" ht="15" x14ac:dyDescent="0.25">
      <c r="A67"/>
      <c r="B67" t="s">
        <v>122</v>
      </c>
      <c r="C67" s="10">
        <f>C61+C65</f>
        <v>5469376.0440079998</v>
      </c>
    </row>
    <row r="68" spans="1:3" ht="15" x14ac:dyDescent="0.25">
      <c r="A68"/>
    </row>
    <row r="69" spans="1:3" ht="15" x14ac:dyDescent="0.25">
      <c r="A69"/>
      <c r="B69" t="s">
        <v>123</v>
      </c>
      <c r="C69" s="10">
        <f>C25</f>
        <v>5469376.0800000001</v>
      </c>
    </row>
    <row r="70" spans="1:3" ht="15" x14ac:dyDescent="0.25">
      <c r="A70"/>
    </row>
    <row r="71" spans="1:3" ht="15" x14ac:dyDescent="0.25">
      <c r="A71"/>
      <c r="B71" t="s">
        <v>6</v>
      </c>
      <c r="C71" s="10">
        <f>C67-C69</f>
        <v>-3.5992000252008438E-2</v>
      </c>
    </row>
    <row r="72" spans="1:3" ht="15" x14ac:dyDescent="0.25">
      <c r="A72"/>
    </row>
    <row r="73" spans="1:3" ht="15" x14ac:dyDescent="0.25">
      <c r="A73"/>
    </row>
    <row r="74" spans="1:3" ht="15" x14ac:dyDescent="0.25">
      <c r="A74"/>
    </row>
    <row r="75" spans="1:3" ht="15" x14ac:dyDescent="0.25">
      <c r="A75"/>
    </row>
    <row r="76" spans="1:3" ht="15" x14ac:dyDescent="0.25">
      <c r="A76"/>
    </row>
    <row r="77" spans="1:3" ht="15" x14ac:dyDescent="0.25">
      <c r="A77"/>
    </row>
    <row r="78" spans="1:3" ht="15" x14ac:dyDescent="0.25">
      <c r="A78"/>
    </row>
    <row r="79" spans="1:3" ht="15" x14ac:dyDescent="0.25">
      <c r="A79"/>
    </row>
    <row r="80" spans="1:3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</sheetData>
  <mergeCells count="2">
    <mergeCell ref="C37:C38"/>
    <mergeCell ref="D37:D38"/>
  </mergeCells>
  <pageMargins left="0.7" right="0.7" top="0.75" bottom="0.75" header="0.3" footer="0.3"/>
  <pageSetup scale="64" orientation="portrait" verticalDpi="0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selection activeCell="C40" sqref="C40"/>
    </sheetView>
  </sheetViews>
  <sheetFormatPr defaultRowHeight="15" x14ac:dyDescent="0.25"/>
  <cols>
    <col min="1" max="1" width="3" customWidth="1"/>
    <col min="2" max="2" width="23.42578125" customWidth="1"/>
    <col min="3" max="3" width="5.7109375" style="144" customWidth="1"/>
    <col min="4" max="4" width="19.140625" style="54" bestFit="1" customWidth="1"/>
    <col min="5" max="5" width="13.7109375" customWidth="1"/>
    <col min="6" max="6" width="4.7109375" style="133" customWidth="1"/>
    <col min="7" max="7" width="13.7109375" customWidth="1"/>
    <col min="8" max="8" width="4.7109375" style="133" customWidth="1"/>
    <col min="9" max="9" width="13.7109375" customWidth="1"/>
    <col min="10" max="10" width="4.7109375" style="133" customWidth="1"/>
    <col min="11" max="11" width="14.85546875" customWidth="1"/>
    <col min="12" max="12" width="13.7109375" customWidth="1"/>
    <col min="13" max="13" width="15.5703125" customWidth="1"/>
    <col min="14" max="14" width="13.7109375" customWidth="1"/>
    <col min="15" max="15" width="14.5703125" customWidth="1"/>
    <col min="16" max="16" width="15.85546875" customWidth="1"/>
    <col min="17" max="17" width="13.7109375" customWidth="1"/>
    <col min="18" max="18" width="15" bestFit="1" customWidth="1"/>
  </cols>
  <sheetData>
    <row r="1" spans="1:18" s="87" customFormat="1" x14ac:dyDescent="0.25">
      <c r="A1" s="43" t="s">
        <v>50</v>
      </c>
      <c r="C1" s="144"/>
      <c r="F1" s="133"/>
      <c r="H1" s="133"/>
      <c r="J1" s="133"/>
    </row>
    <row r="2" spans="1:18" s="87" customFormat="1" x14ac:dyDescent="0.25">
      <c r="A2" s="43" t="s">
        <v>51</v>
      </c>
      <c r="C2" s="144"/>
      <c r="F2" s="133"/>
      <c r="H2" s="133"/>
      <c r="J2" s="133"/>
    </row>
    <row r="3" spans="1:18" x14ac:dyDescent="0.25">
      <c r="A3" s="43" t="s">
        <v>214</v>
      </c>
      <c r="B3" s="38"/>
      <c r="E3" s="38"/>
      <c r="G3" s="38"/>
      <c r="I3" s="38"/>
      <c r="K3" s="38"/>
      <c r="L3" s="38"/>
      <c r="M3" s="38"/>
      <c r="N3" s="38"/>
      <c r="O3" s="38"/>
      <c r="P3" s="38"/>
      <c r="Q3" s="38"/>
      <c r="R3" s="38"/>
    </row>
    <row r="4" spans="1:18" x14ac:dyDescent="0.25">
      <c r="A4" s="89" t="s">
        <v>75</v>
      </c>
      <c r="B4" s="38"/>
      <c r="E4" s="38"/>
      <c r="G4" s="38"/>
      <c r="I4" s="38"/>
      <c r="K4" s="38"/>
      <c r="L4" s="38"/>
      <c r="M4" s="38"/>
      <c r="N4" s="38"/>
      <c r="O4" s="38"/>
      <c r="P4" s="38"/>
      <c r="Q4" s="38"/>
      <c r="R4" s="38"/>
    </row>
    <row r="5" spans="1:18" x14ac:dyDescent="0.25">
      <c r="A5" s="89" t="s">
        <v>102</v>
      </c>
      <c r="B5" s="38"/>
      <c r="E5" s="38"/>
      <c r="G5" s="38"/>
      <c r="I5" s="38"/>
      <c r="K5" s="38"/>
      <c r="L5" s="38"/>
      <c r="M5" s="38"/>
      <c r="N5" s="38"/>
      <c r="O5" s="38"/>
      <c r="P5" s="38"/>
      <c r="Q5" s="38"/>
      <c r="R5" s="38"/>
    </row>
    <row r="6" spans="1:18" x14ac:dyDescent="0.25">
      <c r="A6" s="55"/>
      <c r="B6" s="56"/>
      <c r="C6" s="143"/>
      <c r="D6" s="56"/>
      <c r="E6" s="38"/>
      <c r="G6" s="38"/>
      <c r="I6" s="38"/>
      <c r="K6" s="38"/>
      <c r="L6" s="38"/>
      <c r="M6" s="38"/>
      <c r="N6" s="38"/>
      <c r="O6" s="38"/>
      <c r="P6" s="10"/>
      <c r="Q6" s="38"/>
      <c r="R6" s="38"/>
    </row>
    <row r="7" spans="1:18" ht="30" x14ac:dyDescent="0.25">
      <c r="A7" s="57"/>
      <c r="E7" s="38"/>
      <c r="G7" s="38"/>
      <c r="I7" s="58" t="s">
        <v>76</v>
      </c>
      <c r="J7" s="58"/>
      <c r="K7" s="58" t="s">
        <v>77</v>
      </c>
      <c r="L7" s="38"/>
      <c r="M7" s="38"/>
      <c r="N7" s="38"/>
      <c r="O7" s="38"/>
      <c r="P7" s="58" t="s">
        <v>76</v>
      </c>
      <c r="Q7" s="79"/>
      <c r="R7" s="38"/>
    </row>
    <row r="8" spans="1:18" x14ac:dyDescent="0.25">
      <c r="A8" s="38"/>
      <c r="B8" s="38"/>
      <c r="E8" s="38"/>
      <c r="G8" s="59" t="s">
        <v>78</v>
      </c>
      <c r="H8" s="119"/>
      <c r="I8" s="60">
        <v>4527</v>
      </c>
      <c r="J8" s="147"/>
      <c r="K8" s="61">
        <v>4528</v>
      </c>
      <c r="L8" s="40"/>
      <c r="M8" s="40"/>
      <c r="N8" s="40"/>
      <c r="O8" s="62" t="s">
        <v>79</v>
      </c>
      <c r="P8" s="82">
        <v>769</v>
      </c>
      <c r="Q8" s="80"/>
      <c r="R8" s="38"/>
    </row>
    <row r="9" spans="1:18" x14ac:dyDescent="0.25">
      <c r="A9" s="38"/>
      <c r="B9" s="38"/>
      <c r="E9" s="38"/>
      <c r="G9" s="59" t="s">
        <v>80</v>
      </c>
      <c r="H9" s="119"/>
      <c r="I9" s="63">
        <v>3476</v>
      </c>
      <c r="J9" s="80"/>
      <c r="K9" s="64">
        <v>3494</v>
      </c>
      <c r="L9" s="40"/>
      <c r="M9" s="40"/>
      <c r="N9" s="40"/>
      <c r="O9" s="62" t="s">
        <v>81</v>
      </c>
      <c r="P9" s="83">
        <v>381</v>
      </c>
      <c r="Q9" s="80"/>
      <c r="R9" s="38"/>
    </row>
    <row r="10" spans="1:18" x14ac:dyDescent="0.25">
      <c r="A10" s="38"/>
      <c r="B10" s="38"/>
      <c r="E10" s="38"/>
      <c r="G10" s="59" t="s">
        <v>82</v>
      </c>
      <c r="H10" s="119"/>
      <c r="I10" s="85">
        <f>I8-I9</f>
        <v>1051</v>
      </c>
      <c r="J10" s="148"/>
      <c r="K10" s="86">
        <f>K8-K9</f>
        <v>1034</v>
      </c>
      <c r="L10" s="38"/>
      <c r="M10" s="38"/>
      <c r="N10" s="38"/>
      <c r="O10" s="59" t="s">
        <v>82</v>
      </c>
      <c r="P10" s="84">
        <f>P8-P9</f>
        <v>388</v>
      </c>
      <c r="Q10" s="81"/>
      <c r="R10" s="38"/>
    </row>
    <row r="11" spans="1:18" x14ac:dyDescent="0.25">
      <c r="A11" s="38"/>
      <c r="B11" s="38"/>
      <c r="E11" s="38"/>
      <c r="G11" s="38"/>
      <c r="I11" s="77"/>
      <c r="J11" s="77"/>
      <c r="K11" s="77"/>
      <c r="L11" s="38"/>
      <c r="M11" s="38"/>
      <c r="N11" s="38"/>
      <c r="O11" s="38"/>
      <c r="P11" s="38"/>
      <c r="Q11" s="38"/>
      <c r="R11" s="38"/>
    </row>
    <row r="12" spans="1:18" s="133" customFormat="1" x14ac:dyDescent="0.25">
      <c r="C12" s="144"/>
      <c r="E12" s="142" t="s">
        <v>219</v>
      </c>
      <c r="F12" s="142"/>
      <c r="G12" s="142" t="s">
        <v>220</v>
      </c>
      <c r="H12" s="142"/>
      <c r="I12" s="142" t="s">
        <v>229</v>
      </c>
      <c r="J12" s="142"/>
      <c r="K12" s="142" t="s">
        <v>221</v>
      </c>
      <c r="L12" s="142" t="s">
        <v>222</v>
      </c>
      <c r="M12" s="142" t="s">
        <v>223</v>
      </c>
      <c r="N12" s="142" t="s">
        <v>224</v>
      </c>
      <c r="O12" s="142" t="s">
        <v>225</v>
      </c>
      <c r="P12" s="142" t="s">
        <v>226</v>
      </c>
      <c r="Q12" s="142" t="s">
        <v>227</v>
      </c>
      <c r="R12" s="142" t="s">
        <v>228</v>
      </c>
    </row>
    <row r="13" spans="1:18" x14ac:dyDescent="0.25">
      <c r="A13" s="38"/>
      <c r="B13" s="38"/>
      <c r="E13" s="5"/>
      <c r="F13" s="5"/>
      <c r="G13" s="5"/>
      <c r="H13" s="5"/>
      <c r="I13" s="5" t="s">
        <v>83</v>
      </c>
      <c r="J13" s="5"/>
      <c r="K13" s="5" t="s">
        <v>84</v>
      </c>
      <c r="L13" s="5" t="s">
        <v>85</v>
      </c>
      <c r="M13" s="5" t="s">
        <v>86</v>
      </c>
      <c r="N13" s="5" t="s">
        <v>87</v>
      </c>
      <c r="O13" s="38"/>
      <c r="P13" s="5" t="s">
        <v>87</v>
      </c>
      <c r="Q13" s="5" t="s">
        <v>88</v>
      </c>
      <c r="R13" s="38"/>
    </row>
    <row r="14" spans="1:18" x14ac:dyDescent="0.25">
      <c r="A14" s="38"/>
      <c r="B14" s="38"/>
      <c r="E14" s="5"/>
      <c r="F14" s="5"/>
      <c r="G14" s="5" t="s">
        <v>83</v>
      </c>
      <c r="H14" s="5"/>
      <c r="I14" s="5" t="s">
        <v>89</v>
      </c>
      <c r="J14" s="5"/>
      <c r="K14" s="5" t="s">
        <v>90</v>
      </c>
      <c r="L14" s="5" t="s">
        <v>91</v>
      </c>
      <c r="M14" s="5" t="s">
        <v>91</v>
      </c>
      <c r="N14" s="5" t="s">
        <v>91</v>
      </c>
      <c r="O14" s="5" t="s">
        <v>92</v>
      </c>
      <c r="P14" s="5" t="s">
        <v>84</v>
      </c>
      <c r="Q14" s="5" t="s">
        <v>93</v>
      </c>
      <c r="R14" s="5" t="s">
        <v>94</v>
      </c>
    </row>
    <row r="15" spans="1:18" x14ac:dyDescent="0.25">
      <c r="A15" s="38"/>
      <c r="B15" s="38"/>
      <c r="D15" s="6" t="s">
        <v>128</v>
      </c>
      <c r="E15" s="6" t="s">
        <v>95</v>
      </c>
      <c r="F15" s="6"/>
      <c r="G15" s="6" t="s">
        <v>89</v>
      </c>
      <c r="H15" s="6"/>
      <c r="I15" s="6" t="s">
        <v>96</v>
      </c>
      <c r="J15" s="6"/>
      <c r="K15" s="65" t="s">
        <v>89</v>
      </c>
      <c r="L15" s="65" t="s">
        <v>97</v>
      </c>
      <c r="M15" s="65" t="s">
        <v>97</v>
      </c>
      <c r="N15" s="65" t="s">
        <v>97</v>
      </c>
      <c r="O15" s="6" t="s">
        <v>98</v>
      </c>
      <c r="P15" s="65" t="s">
        <v>99</v>
      </c>
      <c r="Q15" s="65" t="s">
        <v>100</v>
      </c>
      <c r="R15" s="65" t="s">
        <v>99</v>
      </c>
    </row>
    <row r="16" spans="1:18" x14ac:dyDescent="0.25">
      <c r="A16" s="38"/>
      <c r="B16" s="38"/>
      <c r="E16" s="38"/>
      <c r="G16" s="38"/>
      <c r="I16" s="66"/>
      <c r="J16" s="66"/>
      <c r="K16" s="66" t="s">
        <v>242</v>
      </c>
      <c r="L16" s="38"/>
      <c r="M16" s="66" t="s">
        <v>233</v>
      </c>
      <c r="N16" s="38"/>
      <c r="O16" s="66" t="s">
        <v>232</v>
      </c>
      <c r="P16" s="66" t="s">
        <v>231</v>
      </c>
      <c r="Q16" s="38"/>
      <c r="R16" s="66" t="s">
        <v>230</v>
      </c>
    </row>
    <row r="17" spans="1:18" x14ac:dyDescent="0.25">
      <c r="A17" s="38" t="s">
        <v>234</v>
      </c>
      <c r="B17" s="38"/>
      <c r="E17" s="38"/>
      <c r="G17" s="38"/>
      <c r="I17" s="66"/>
      <c r="J17" s="66"/>
      <c r="K17" s="66"/>
      <c r="L17" s="38"/>
      <c r="M17" s="66"/>
      <c r="N17" s="40"/>
      <c r="O17" s="66"/>
      <c r="P17" s="66"/>
      <c r="Q17" s="38"/>
      <c r="R17" s="66"/>
    </row>
    <row r="18" spans="1:18" x14ac:dyDescent="0.25">
      <c r="A18" s="38"/>
      <c r="B18" s="67" t="s">
        <v>72</v>
      </c>
      <c r="C18" s="145"/>
      <c r="D18" s="67" t="s">
        <v>130</v>
      </c>
      <c r="E18" s="44">
        <f>20070+43755+57447+39996+26027+19426+18696</f>
        <v>225417</v>
      </c>
      <c r="F18" s="149" t="s">
        <v>24</v>
      </c>
      <c r="G18" s="44">
        <f>26027+19426</f>
        <v>45453</v>
      </c>
      <c r="H18" s="149" t="s">
        <v>238</v>
      </c>
      <c r="I18" s="44">
        <f>ROUND(G18*6,0)*7/12</f>
        <v>159085.5</v>
      </c>
      <c r="J18" s="149" t="s">
        <v>239</v>
      </c>
      <c r="K18" s="10">
        <f>E18-I18</f>
        <v>66331.5</v>
      </c>
      <c r="L18" s="68">
        <f>P9</f>
        <v>381</v>
      </c>
      <c r="M18" s="44">
        <f>ROUND(K18/L18,0)</f>
        <v>174</v>
      </c>
      <c r="N18" s="68">
        <f>P8</f>
        <v>769</v>
      </c>
      <c r="O18" s="10">
        <f>N18-L18</f>
        <v>388</v>
      </c>
      <c r="P18" s="44">
        <f>ROUND(M18*O18,0)</f>
        <v>67512</v>
      </c>
      <c r="Q18" s="69">
        <v>4.3185000000000002</v>
      </c>
      <c r="R18" s="90">
        <f>ROUND(P18*Q18,2)</f>
        <v>291550.57</v>
      </c>
    </row>
    <row r="19" spans="1:18" x14ac:dyDescent="0.25">
      <c r="A19" s="38"/>
      <c r="B19" s="70"/>
      <c r="C19" s="146"/>
      <c r="D19" s="70"/>
      <c r="E19" s="38"/>
      <c r="F19" s="150"/>
      <c r="G19" s="44"/>
      <c r="H19" s="149"/>
      <c r="I19" s="38"/>
      <c r="J19" s="150"/>
      <c r="K19" s="38"/>
      <c r="L19" s="40"/>
      <c r="M19" s="44"/>
      <c r="N19" s="40"/>
      <c r="O19" s="38"/>
      <c r="P19" s="38"/>
      <c r="Q19" s="38"/>
      <c r="R19" s="91"/>
    </row>
    <row r="20" spans="1:18" x14ac:dyDescent="0.25">
      <c r="A20" s="38"/>
      <c r="B20" s="67" t="s">
        <v>73</v>
      </c>
      <c r="C20" s="145"/>
      <c r="D20" s="67" t="s">
        <v>130</v>
      </c>
      <c r="E20" s="44">
        <f>9607+14964+19287+14011+11794+9742+9120</f>
        <v>88525</v>
      </c>
      <c r="F20" s="149" t="s">
        <v>24</v>
      </c>
      <c r="G20" s="44">
        <f>11794+9742</f>
        <v>21536</v>
      </c>
      <c r="H20" s="149" t="s">
        <v>238</v>
      </c>
      <c r="I20" s="44">
        <f>ROUND(G20*6,0)*7/12</f>
        <v>75376</v>
      </c>
      <c r="J20" s="149" t="s">
        <v>239</v>
      </c>
      <c r="K20" s="10">
        <f>E20-I20</f>
        <v>13149</v>
      </c>
      <c r="L20" s="68">
        <f>P9</f>
        <v>381</v>
      </c>
      <c r="M20" s="44">
        <f>ROUND(K20/L20,0)</f>
        <v>35</v>
      </c>
      <c r="N20" s="68">
        <f>P8</f>
        <v>769</v>
      </c>
      <c r="O20" s="10">
        <f>N20-L20</f>
        <v>388</v>
      </c>
      <c r="P20" s="44">
        <f>ROUND(M20*O20,0)</f>
        <v>13580</v>
      </c>
      <c r="Q20" s="69">
        <v>4.3185000000000002</v>
      </c>
      <c r="R20" s="90">
        <f>ROUND(P20*Q20,2)</f>
        <v>58645.23</v>
      </c>
    </row>
    <row r="21" spans="1:18" x14ac:dyDescent="0.25">
      <c r="A21" s="38"/>
      <c r="B21" s="38"/>
      <c r="E21" s="38"/>
      <c r="F21" s="150"/>
      <c r="G21" s="44"/>
      <c r="H21" s="149"/>
      <c r="I21" s="38"/>
      <c r="J21" s="150"/>
      <c r="K21" s="38"/>
      <c r="L21" s="38"/>
      <c r="M21" s="44"/>
      <c r="N21" s="40"/>
      <c r="O21" s="38"/>
      <c r="P21" s="38"/>
      <c r="Q21" s="38"/>
      <c r="R21" s="91"/>
    </row>
    <row r="22" spans="1:18" x14ac:dyDescent="0.25">
      <c r="A22" s="38"/>
      <c r="B22" s="67" t="s">
        <v>74</v>
      </c>
      <c r="C22" s="145"/>
      <c r="D22" s="67" t="s">
        <v>130</v>
      </c>
      <c r="E22" s="44">
        <v>770971</v>
      </c>
      <c r="F22" s="149" t="s">
        <v>126</v>
      </c>
      <c r="G22" s="44">
        <f>30678+25496</f>
        <v>56174</v>
      </c>
      <c r="H22" s="149" t="s">
        <v>238</v>
      </c>
      <c r="I22" s="44">
        <f>ROUND(G22*6,0)</f>
        <v>337044</v>
      </c>
      <c r="J22" s="149" t="s">
        <v>240</v>
      </c>
      <c r="K22" s="10">
        <f>E22-I22</f>
        <v>433927</v>
      </c>
      <c r="L22" s="10">
        <f>I9</f>
        <v>3476</v>
      </c>
      <c r="M22" s="44">
        <f>ROUND(K22/L22,0)</f>
        <v>125</v>
      </c>
      <c r="N22" s="68">
        <f>I8</f>
        <v>4527</v>
      </c>
      <c r="O22" s="10">
        <f>N22-L22</f>
        <v>1051</v>
      </c>
      <c r="P22" s="44">
        <f>ROUND(M22*O22,0)</f>
        <v>131375</v>
      </c>
      <c r="Q22" s="69">
        <v>4.3185000000000002</v>
      </c>
      <c r="R22" s="90">
        <f>ROUND(P22*Q22,2)</f>
        <v>567342.93999999994</v>
      </c>
    </row>
    <row r="23" spans="1:18" x14ac:dyDescent="0.25">
      <c r="A23" s="38"/>
      <c r="B23" s="67"/>
      <c r="C23" s="145"/>
      <c r="D23" s="67"/>
      <c r="E23" s="44"/>
      <c r="F23" s="149"/>
      <c r="G23" s="44"/>
      <c r="H23" s="149"/>
      <c r="I23" s="44"/>
      <c r="J23" s="149"/>
      <c r="K23" s="10"/>
      <c r="L23" s="10"/>
      <c r="M23" s="44"/>
      <c r="N23" s="68"/>
      <c r="O23" s="10"/>
      <c r="P23" s="44"/>
      <c r="Q23" s="69"/>
      <c r="R23" s="90"/>
    </row>
    <row r="24" spans="1:18" x14ac:dyDescent="0.25">
      <c r="A24" s="38"/>
      <c r="B24" s="67" t="s">
        <v>101</v>
      </c>
      <c r="C24" s="145"/>
      <c r="D24" s="67" t="s">
        <v>130</v>
      </c>
      <c r="E24" s="39">
        <v>20951</v>
      </c>
      <c r="F24" s="149" t="s">
        <v>126</v>
      </c>
      <c r="G24" s="44">
        <f>674+552</f>
        <v>1226</v>
      </c>
      <c r="H24" s="149" t="s">
        <v>238</v>
      </c>
      <c r="I24" s="44">
        <f>ROUND(G24*6,0)</f>
        <v>7356</v>
      </c>
      <c r="J24" s="149" t="s">
        <v>240</v>
      </c>
      <c r="K24" s="10">
        <f>E24-I24</f>
        <v>13595</v>
      </c>
      <c r="L24" s="10">
        <f>I9</f>
        <v>3476</v>
      </c>
      <c r="M24" s="44">
        <f>ROUND(K24/L24,0)</f>
        <v>4</v>
      </c>
      <c r="N24" s="68">
        <f>I8</f>
        <v>4527</v>
      </c>
      <c r="O24" s="10">
        <f>N24-L24</f>
        <v>1051</v>
      </c>
      <c r="P24" s="44">
        <f>ROUND(M24*O24,0)</f>
        <v>4204</v>
      </c>
      <c r="Q24" s="69">
        <v>1.6</v>
      </c>
      <c r="R24" s="90">
        <f>ROUND(P24*Q24,2)</f>
        <v>6726.4</v>
      </c>
    </row>
    <row r="25" spans="1:18" x14ac:dyDescent="0.25">
      <c r="A25" s="38" t="s">
        <v>235</v>
      </c>
      <c r="B25" s="67"/>
      <c r="C25" s="145"/>
      <c r="D25" s="67"/>
      <c r="E25" s="39"/>
      <c r="F25" s="151"/>
      <c r="G25" s="44"/>
      <c r="H25" s="149"/>
      <c r="I25" s="44"/>
      <c r="J25" s="149"/>
      <c r="K25" s="10"/>
      <c r="L25" s="10"/>
      <c r="M25" s="44"/>
      <c r="N25" s="68"/>
      <c r="O25" s="10"/>
      <c r="P25" s="44"/>
      <c r="Q25" s="69"/>
      <c r="R25" s="90"/>
    </row>
    <row r="26" spans="1:18" s="133" customFormat="1" x14ac:dyDescent="0.25">
      <c r="B26" s="67"/>
      <c r="C26" s="145"/>
      <c r="D26" s="67"/>
      <c r="E26" s="104"/>
      <c r="F26" s="151"/>
      <c r="G26" s="117"/>
      <c r="H26" s="149"/>
      <c r="I26" s="117"/>
      <c r="J26" s="149"/>
      <c r="K26" s="10"/>
      <c r="L26" s="10"/>
      <c r="M26" s="117"/>
      <c r="N26" s="68"/>
      <c r="O26" s="10"/>
      <c r="P26" s="117"/>
      <c r="Q26" s="69"/>
      <c r="R26" s="90"/>
    </row>
    <row r="27" spans="1:18" x14ac:dyDescent="0.25">
      <c r="A27" s="38"/>
      <c r="B27" s="67" t="s">
        <v>236</v>
      </c>
      <c r="C27" s="145"/>
      <c r="D27" s="67" t="s">
        <v>129</v>
      </c>
      <c r="E27" s="39">
        <v>16206</v>
      </c>
      <c r="F27" s="149" t="s">
        <v>126</v>
      </c>
      <c r="G27" s="44">
        <f>67+72</f>
        <v>139</v>
      </c>
      <c r="H27" s="149" t="s">
        <v>238</v>
      </c>
      <c r="I27" s="44">
        <f>ROUND(G27*6,0)</f>
        <v>834</v>
      </c>
      <c r="J27" s="149" t="s">
        <v>240</v>
      </c>
      <c r="K27" s="10">
        <f>E27-I27</f>
        <v>15372</v>
      </c>
      <c r="L27" s="10">
        <f>K9</f>
        <v>3494</v>
      </c>
      <c r="M27" s="44">
        <f>ROUND(K27/L27,0)</f>
        <v>4</v>
      </c>
      <c r="N27" s="68">
        <f>K8</f>
        <v>4528</v>
      </c>
      <c r="O27" s="10">
        <f>N27-L27</f>
        <v>1034</v>
      </c>
      <c r="P27" s="44">
        <f>ROUND(M27*O27,0)</f>
        <v>4136</v>
      </c>
      <c r="Q27" s="69">
        <v>4.3185000000000002</v>
      </c>
      <c r="R27" s="90">
        <f>ROUND(P27*Q27,2)</f>
        <v>17861.32</v>
      </c>
    </row>
    <row r="28" spans="1:18" x14ac:dyDescent="0.25">
      <c r="A28" s="38"/>
      <c r="B28" s="67"/>
      <c r="C28" s="145"/>
      <c r="D28" s="67"/>
      <c r="E28" s="39"/>
      <c r="F28" s="151"/>
      <c r="G28" s="44"/>
      <c r="H28" s="149"/>
      <c r="I28" s="44"/>
      <c r="J28" s="149"/>
      <c r="K28" s="10"/>
      <c r="L28" s="10"/>
      <c r="M28" s="44"/>
      <c r="N28" s="68"/>
      <c r="O28" s="10"/>
      <c r="P28" s="44"/>
      <c r="Q28" s="69"/>
      <c r="R28" s="90"/>
    </row>
    <row r="29" spans="1:18" x14ac:dyDescent="0.25">
      <c r="A29" s="38"/>
      <c r="B29" s="67" t="s">
        <v>237</v>
      </c>
      <c r="C29" s="145"/>
      <c r="D29" s="67" t="s">
        <v>129</v>
      </c>
      <c r="E29" s="39">
        <f>1522662</f>
        <v>1522662</v>
      </c>
      <c r="F29" s="149" t="s">
        <v>126</v>
      </c>
      <c r="G29" s="44">
        <f>96098+107196</f>
        <v>203294</v>
      </c>
      <c r="H29" s="149" t="s">
        <v>238</v>
      </c>
      <c r="I29" s="44">
        <f>ROUND(G29*6,0)</f>
        <v>1219764</v>
      </c>
      <c r="J29" s="149" t="s">
        <v>240</v>
      </c>
      <c r="K29" s="10">
        <f>E29-I29</f>
        <v>302898</v>
      </c>
      <c r="L29" s="10">
        <f>L27</f>
        <v>3494</v>
      </c>
      <c r="M29" s="44">
        <f>ROUND(K29/L29,0)</f>
        <v>87</v>
      </c>
      <c r="N29" s="68">
        <f>K8</f>
        <v>4528</v>
      </c>
      <c r="O29" s="10">
        <f>N29-L29</f>
        <v>1034</v>
      </c>
      <c r="P29" s="44">
        <f>ROUND(M29*O29,0)</f>
        <v>89958</v>
      </c>
      <c r="Q29" s="69">
        <v>4.3185000000000002</v>
      </c>
      <c r="R29" s="90">
        <f>ROUND(P29*Q29,2)</f>
        <v>388483.62</v>
      </c>
    </row>
    <row r="30" spans="1:18" x14ac:dyDescent="0.25">
      <c r="A30" s="38"/>
      <c r="B30" s="67"/>
      <c r="C30" s="145"/>
      <c r="D30" s="67"/>
      <c r="E30" s="39"/>
      <c r="F30" s="151"/>
      <c r="G30" s="44"/>
      <c r="H30" s="149"/>
      <c r="I30" s="44"/>
      <c r="J30" s="149"/>
      <c r="K30" s="10"/>
      <c r="L30" s="10"/>
      <c r="M30" s="44"/>
      <c r="N30" s="68"/>
      <c r="O30" s="10"/>
      <c r="P30" s="44"/>
      <c r="Q30" s="69"/>
      <c r="R30" s="90"/>
    </row>
    <row r="31" spans="1:18" x14ac:dyDescent="0.25">
      <c r="A31" s="38"/>
      <c r="B31" s="67" t="s">
        <v>72</v>
      </c>
      <c r="C31" s="145"/>
      <c r="D31" s="67" t="s">
        <v>129</v>
      </c>
      <c r="E31" s="39">
        <v>1279</v>
      </c>
      <c r="F31" s="151" t="s">
        <v>126</v>
      </c>
      <c r="G31" s="44">
        <f>1+1</f>
        <v>2</v>
      </c>
      <c r="H31" s="149" t="s">
        <v>238</v>
      </c>
      <c r="I31" s="44">
        <f>ROUND(G31*6,0)</f>
        <v>12</v>
      </c>
      <c r="J31" s="149" t="s">
        <v>240</v>
      </c>
      <c r="K31" s="10">
        <f>E31-I31</f>
        <v>1267</v>
      </c>
      <c r="L31" s="10">
        <f>L29</f>
        <v>3494</v>
      </c>
      <c r="M31" s="44">
        <f>ROUND(K31/L31,0)</f>
        <v>0</v>
      </c>
      <c r="N31" s="68">
        <f>K8</f>
        <v>4528</v>
      </c>
      <c r="O31" s="10">
        <f>N31-L31</f>
        <v>1034</v>
      </c>
      <c r="P31" s="44">
        <f>ROUND(M31*O31,0)</f>
        <v>0</v>
      </c>
      <c r="Q31" s="69">
        <v>4.3185000000000002</v>
      </c>
      <c r="R31" s="90">
        <f>ROUND(P31*Q31,2)</f>
        <v>0</v>
      </c>
    </row>
    <row r="32" spans="1:18" x14ac:dyDescent="0.25">
      <c r="A32" s="38"/>
      <c r="B32" s="38"/>
      <c r="E32" s="88">
        <f>SUM(E18:E31)</f>
        <v>2646011</v>
      </c>
      <c r="F32" s="88"/>
      <c r="G32" s="71">
        <f>SUM(G18:G31)</f>
        <v>327824</v>
      </c>
      <c r="H32" s="71"/>
      <c r="I32" s="71">
        <f>SUM(I18:I31)</f>
        <v>1799471.5</v>
      </c>
      <c r="J32" s="71"/>
      <c r="K32" s="71">
        <f>SUM(K18:K31)</f>
        <v>846539.5</v>
      </c>
      <c r="L32" s="71"/>
      <c r="M32" s="71"/>
      <c r="N32" s="71"/>
      <c r="O32" s="71"/>
      <c r="P32" s="71">
        <f>SUM(P18:P31)</f>
        <v>310765</v>
      </c>
      <c r="Q32" s="71"/>
      <c r="R32" s="92">
        <f>SUM(R18:R31)</f>
        <v>1330610.08</v>
      </c>
    </row>
    <row r="33" spans="1:18" x14ac:dyDescent="0.25">
      <c r="A33" s="38"/>
      <c r="B33" s="38"/>
      <c r="E33" s="38"/>
      <c r="G33" s="38"/>
      <c r="I33" s="38"/>
      <c r="K33" s="38"/>
      <c r="L33" s="38"/>
      <c r="M33" s="38"/>
      <c r="N33" s="38"/>
      <c r="O33" s="38"/>
      <c r="P33" s="5"/>
      <c r="Q33" s="5"/>
      <c r="R33" s="5" t="s">
        <v>44</v>
      </c>
    </row>
    <row r="34" spans="1:18" x14ac:dyDescent="0.25">
      <c r="A34" s="38"/>
      <c r="B34" s="38"/>
      <c r="E34" s="44"/>
      <c r="F34" s="117"/>
      <c r="G34" s="10"/>
      <c r="H34" s="10"/>
      <c r="I34" s="38"/>
      <c r="K34" s="38"/>
      <c r="L34" s="38"/>
      <c r="M34" s="38"/>
      <c r="N34" s="38"/>
      <c r="O34" s="38"/>
      <c r="P34" s="38"/>
      <c r="Q34" s="38"/>
      <c r="R34" s="49"/>
    </row>
    <row r="35" spans="1:18" x14ac:dyDescent="0.25">
      <c r="A35" s="38"/>
      <c r="B35" s="152" t="s">
        <v>24</v>
      </c>
      <c r="C35" s="72" t="s">
        <v>245</v>
      </c>
      <c r="D35" s="72"/>
      <c r="E35" s="38"/>
      <c r="G35" s="38"/>
      <c r="I35" s="38"/>
      <c r="K35" s="38"/>
      <c r="L35" s="38"/>
      <c r="M35" s="38"/>
      <c r="N35" s="38"/>
      <c r="O35" s="38"/>
      <c r="P35" s="38"/>
      <c r="Q35" s="38"/>
      <c r="R35" s="38"/>
    </row>
    <row r="36" spans="1:18" s="133" customFormat="1" x14ac:dyDescent="0.25">
      <c r="B36" s="152"/>
      <c r="C36" s="72"/>
      <c r="D36" s="72"/>
    </row>
    <row r="37" spans="1:18" s="133" customFormat="1" x14ac:dyDescent="0.25">
      <c r="B37" s="152" t="s">
        <v>126</v>
      </c>
      <c r="C37" s="72" t="s">
        <v>244</v>
      </c>
      <c r="D37" s="72"/>
    </row>
    <row r="38" spans="1:18" x14ac:dyDescent="0.25">
      <c r="B38" s="152"/>
      <c r="E38" s="10"/>
      <c r="F38" s="10"/>
    </row>
    <row r="39" spans="1:18" x14ac:dyDescent="0.25">
      <c r="B39" s="152" t="s">
        <v>238</v>
      </c>
      <c r="C39" s="72" t="s">
        <v>246</v>
      </c>
    </row>
    <row r="40" spans="1:18" x14ac:dyDescent="0.25">
      <c r="B40" s="152"/>
    </row>
    <row r="41" spans="1:18" x14ac:dyDescent="0.25">
      <c r="B41" s="152" t="s">
        <v>239</v>
      </c>
      <c r="C41" s="72" t="s">
        <v>243</v>
      </c>
    </row>
    <row r="42" spans="1:18" x14ac:dyDescent="0.25">
      <c r="B42" s="152"/>
    </row>
    <row r="43" spans="1:18" x14ac:dyDescent="0.25">
      <c r="B43" s="152" t="s">
        <v>240</v>
      </c>
      <c r="C43" s="72" t="s">
        <v>241</v>
      </c>
      <c r="E43" s="10"/>
      <c r="F43" s="10"/>
    </row>
    <row r="44" spans="1:18" x14ac:dyDescent="0.25">
      <c r="B44" s="152"/>
    </row>
    <row r="45" spans="1:18" x14ac:dyDescent="0.25">
      <c r="B45" s="152"/>
    </row>
    <row r="46" spans="1:18" x14ac:dyDescent="0.25">
      <c r="B46" s="152"/>
    </row>
    <row r="47" spans="1:18" x14ac:dyDescent="0.25">
      <c r="B47" s="152"/>
    </row>
    <row r="48" spans="1:18" x14ac:dyDescent="0.25">
      <c r="B48" s="152"/>
    </row>
    <row r="49" spans="2:2" x14ac:dyDescent="0.25">
      <c r="B49" s="152"/>
    </row>
    <row r="50" spans="2:2" x14ac:dyDescent="0.25">
      <c r="B50" s="152"/>
    </row>
    <row r="51" spans="2:2" x14ac:dyDescent="0.25">
      <c r="B51" s="152"/>
    </row>
    <row r="52" spans="2:2" x14ac:dyDescent="0.25">
      <c r="B52" s="152"/>
    </row>
    <row r="53" spans="2:2" x14ac:dyDescent="0.25">
      <c r="B53" s="152"/>
    </row>
    <row r="54" spans="2:2" x14ac:dyDescent="0.25">
      <c r="B54" s="152"/>
    </row>
    <row r="55" spans="2:2" x14ac:dyDescent="0.25">
      <c r="B55" s="152"/>
    </row>
    <row r="56" spans="2:2" x14ac:dyDescent="0.25">
      <c r="B56" s="152"/>
    </row>
  </sheetData>
  <pageMargins left="0.7" right="0.7" top="0.75" bottom="0.75" header="0.3" footer="0.3"/>
  <pageSetup scale="5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="90" zoomScaleNormal="90" workbookViewId="0">
      <selection activeCell="K38" sqref="K38"/>
    </sheetView>
  </sheetViews>
  <sheetFormatPr defaultRowHeight="15" x14ac:dyDescent="0.25"/>
  <cols>
    <col min="2" max="2" width="56.85546875" bestFit="1" customWidth="1"/>
    <col min="3" max="3" width="14" bestFit="1" customWidth="1"/>
    <col min="4" max="4" width="15" bestFit="1" customWidth="1"/>
    <col min="5" max="5" width="17" bestFit="1" customWidth="1"/>
    <col min="6" max="6" width="2.7109375" customWidth="1"/>
    <col min="7" max="7" width="9.140625" bestFit="1" customWidth="1"/>
    <col min="8" max="8" width="2.7109375" customWidth="1"/>
    <col min="9" max="9" width="18" bestFit="1" customWidth="1"/>
    <col min="10" max="10" width="2.7109375" customWidth="1"/>
    <col min="11" max="11" width="19.140625" bestFit="1" customWidth="1"/>
    <col min="14" max="14" width="9.7109375" bestFit="1" customWidth="1"/>
  </cols>
  <sheetData>
    <row r="1" spans="1:15" x14ac:dyDescent="0.25">
      <c r="A1" s="43" t="s">
        <v>50</v>
      </c>
    </row>
    <row r="2" spans="1:15" x14ac:dyDescent="0.25">
      <c r="A2" s="43" t="s">
        <v>51</v>
      </c>
      <c r="B2" s="40"/>
    </row>
    <row r="3" spans="1:15" x14ac:dyDescent="0.25">
      <c r="A3" s="43" t="s">
        <v>145</v>
      </c>
    </row>
    <row r="4" spans="1:15" x14ac:dyDescent="0.25">
      <c r="A4" s="50" t="s">
        <v>54</v>
      </c>
    </row>
    <row r="6" spans="1:15" x14ac:dyDescent="0.25">
      <c r="C6" s="23"/>
    </row>
    <row r="7" spans="1:15" x14ac:dyDescent="0.25">
      <c r="C7" s="51">
        <v>43008</v>
      </c>
      <c r="D7" s="47"/>
      <c r="E7" s="43"/>
      <c r="F7" s="47"/>
      <c r="G7" s="47"/>
      <c r="H7" s="47"/>
      <c r="I7" s="47"/>
      <c r="J7" s="47"/>
      <c r="K7" s="47" t="s">
        <v>125</v>
      </c>
      <c r="L7" s="5"/>
    </row>
    <row r="8" spans="1:15" x14ac:dyDescent="0.25">
      <c r="C8" s="51" t="s">
        <v>55</v>
      </c>
      <c r="D8" s="51"/>
      <c r="E8" s="47" t="s">
        <v>16</v>
      </c>
      <c r="F8" s="47"/>
      <c r="G8" s="47" t="s">
        <v>26</v>
      </c>
      <c r="H8" s="47"/>
      <c r="I8" s="47" t="s">
        <v>19</v>
      </c>
      <c r="J8" s="47"/>
      <c r="K8" s="47" t="s">
        <v>112</v>
      </c>
      <c r="L8" s="26"/>
      <c r="M8" s="48"/>
      <c r="N8" s="48"/>
      <c r="O8" s="48"/>
    </row>
    <row r="9" spans="1:15" x14ac:dyDescent="0.25">
      <c r="C9" s="52" t="s">
        <v>15</v>
      </c>
      <c r="D9" s="31" t="s">
        <v>16</v>
      </c>
      <c r="E9" s="52">
        <v>43008</v>
      </c>
      <c r="F9" s="31"/>
      <c r="G9" s="31" t="s">
        <v>27</v>
      </c>
      <c r="H9" s="31"/>
      <c r="I9" s="31" t="s">
        <v>16</v>
      </c>
      <c r="J9" s="31"/>
      <c r="K9" s="31" t="s">
        <v>16</v>
      </c>
      <c r="L9" s="26"/>
      <c r="M9" s="48"/>
      <c r="N9" s="48"/>
      <c r="O9" s="48"/>
    </row>
    <row r="10" spans="1:15" x14ac:dyDescent="0.25">
      <c r="A10" s="16"/>
      <c r="B10" s="16"/>
      <c r="C10" s="20" t="s">
        <v>6</v>
      </c>
      <c r="D10" s="46" t="s">
        <v>17</v>
      </c>
      <c r="E10" s="46" t="s">
        <v>18</v>
      </c>
      <c r="F10" s="46"/>
      <c r="G10" s="46" t="s">
        <v>17</v>
      </c>
      <c r="H10" s="46"/>
      <c r="I10" s="46" t="s">
        <v>20</v>
      </c>
      <c r="J10" s="46"/>
      <c r="K10" s="46" t="s">
        <v>113</v>
      </c>
      <c r="L10" s="140" t="s">
        <v>24</v>
      </c>
      <c r="M10" s="48"/>
      <c r="N10" s="48"/>
      <c r="O10" s="48"/>
    </row>
    <row r="11" spans="1:15" x14ac:dyDescent="0.25">
      <c r="A11" s="37" t="s">
        <v>30</v>
      </c>
      <c r="B11" s="16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48"/>
      <c r="N11" s="48"/>
      <c r="O11" s="48"/>
    </row>
    <row r="12" spans="1:15" x14ac:dyDescent="0.25">
      <c r="A12" s="37"/>
      <c r="B12" s="16" t="s">
        <v>31</v>
      </c>
      <c r="C12" s="17">
        <v>-2778483</v>
      </c>
      <c r="D12" s="2">
        <v>0.37959999999999999</v>
      </c>
      <c r="E12" s="10">
        <f t="shared" ref="E12:E19" si="0">ROUND(C12*D12,0)</f>
        <v>-1054712</v>
      </c>
      <c r="F12" s="26"/>
      <c r="G12" s="2">
        <v>0.25740000000000002</v>
      </c>
      <c r="H12" s="26"/>
      <c r="I12" s="8">
        <f t="shared" ref="I12:I19" si="1">ROUND(C12*G12,0)</f>
        <v>-715182</v>
      </c>
      <c r="J12" s="26"/>
      <c r="K12" s="117">
        <f t="shared" ref="K12:K19" si="2">E12-I12</f>
        <v>-339530</v>
      </c>
      <c r="L12" s="26"/>
      <c r="M12" s="41"/>
      <c r="N12" s="48"/>
      <c r="O12" s="48"/>
    </row>
    <row r="13" spans="1:15" x14ac:dyDescent="0.25">
      <c r="A13" s="37"/>
      <c r="B13" s="16" t="s">
        <v>32</v>
      </c>
      <c r="C13" s="17">
        <v>156133</v>
      </c>
      <c r="D13" s="2">
        <v>0.37959999999999999</v>
      </c>
      <c r="E13" s="10">
        <f t="shared" si="0"/>
        <v>59268</v>
      </c>
      <c r="F13" s="26"/>
      <c r="G13" s="2">
        <v>0.25740000000000002</v>
      </c>
      <c r="H13" s="26"/>
      <c r="I13" s="8">
        <f t="shared" si="1"/>
        <v>40189</v>
      </c>
      <c r="J13" s="26"/>
      <c r="K13" s="117">
        <f t="shared" si="2"/>
        <v>19079</v>
      </c>
      <c r="L13" s="26"/>
      <c r="M13" s="41"/>
      <c r="N13" s="48"/>
      <c r="O13" s="48"/>
    </row>
    <row r="14" spans="1:15" x14ac:dyDescent="0.25">
      <c r="A14" s="37"/>
      <c r="B14" s="16" t="s">
        <v>33</v>
      </c>
      <c r="C14" s="17">
        <v>70857</v>
      </c>
      <c r="D14" s="2">
        <v>0.37959999999999999</v>
      </c>
      <c r="E14" s="10">
        <f t="shared" si="0"/>
        <v>26897</v>
      </c>
      <c r="F14" s="26"/>
      <c r="G14" s="2">
        <v>0.25740000000000002</v>
      </c>
      <c r="H14" s="26"/>
      <c r="I14" s="8">
        <f t="shared" si="1"/>
        <v>18239</v>
      </c>
      <c r="J14" s="26"/>
      <c r="K14" s="117">
        <f t="shared" si="2"/>
        <v>8658</v>
      </c>
      <c r="L14" s="26"/>
      <c r="M14" s="41"/>
      <c r="N14" s="48"/>
      <c r="O14" s="48"/>
    </row>
    <row r="15" spans="1:15" x14ac:dyDescent="0.25">
      <c r="A15" s="37"/>
      <c r="B15" s="41" t="s">
        <v>34</v>
      </c>
      <c r="C15" s="17">
        <v>188400</v>
      </c>
      <c r="D15" s="2">
        <v>0.37959999999999999</v>
      </c>
      <c r="E15" s="10">
        <f t="shared" si="0"/>
        <v>71517</v>
      </c>
      <c r="F15" s="26"/>
      <c r="G15" s="2">
        <v>0.25740000000000002</v>
      </c>
      <c r="H15" s="26"/>
      <c r="I15" s="8">
        <f t="shared" si="1"/>
        <v>48494</v>
      </c>
      <c r="J15" s="26"/>
      <c r="K15" s="117">
        <f t="shared" si="2"/>
        <v>23023</v>
      </c>
      <c r="L15" s="26"/>
      <c r="M15" s="41"/>
      <c r="N15" s="48"/>
      <c r="O15" s="48"/>
    </row>
    <row r="16" spans="1:15" x14ac:dyDescent="0.25">
      <c r="A16" s="37"/>
      <c r="B16" s="41" t="s">
        <v>64</v>
      </c>
      <c r="C16" s="17">
        <v>29943</v>
      </c>
      <c r="D16" s="2">
        <v>0.37959999999999999</v>
      </c>
      <c r="E16" s="10">
        <f t="shared" si="0"/>
        <v>11366</v>
      </c>
      <c r="F16" s="8"/>
      <c r="G16" s="2">
        <v>0.25740000000000002</v>
      </c>
      <c r="H16" s="8"/>
      <c r="I16" s="8">
        <f>ROUND(C16*G16,0)</f>
        <v>7707</v>
      </c>
      <c r="J16" s="8"/>
      <c r="K16" s="117">
        <f>E16-I16</f>
        <v>3659</v>
      </c>
      <c r="L16" s="26"/>
      <c r="M16" s="41"/>
      <c r="N16" s="48"/>
      <c r="O16" s="48"/>
    </row>
    <row r="17" spans="1:15" x14ac:dyDescent="0.25">
      <c r="A17" s="37"/>
      <c r="B17" s="32" t="s">
        <v>56</v>
      </c>
      <c r="C17" s="17">
        <f>-2404827-930079</f>
        <v>-3334906</v>
      </c>
      <c r="D17" s="34">
        <v>0.37959999999999999</v>
      </c>
      <c r="E17" s="18">
        <f t="shared" si="0"/>
        <v>-1265930</v>
      </c>
      <c r="F17" s="26"/>
      <c r="G17" s="34">
        <v>0.25740000000000002</v>
      </c>
      <c r="H17" s="26"/>
      <c r="I17" s="17">
        <f t="shared" si="1"/>
        <v>-858405</v>
      </c>
      <c r="J17" s="26"/>
      <c r="K17" s="17">
        <f t="shared" si="2"/>
        <v>-407525</v>
      </c>
      <c r="L17" s="26"/>
      <c r="M17" s="41"/>
      <c r="N17" s="48"/>
      <c r="O17" s="48"/>
    </row>
    <row r="18" spans="1:15" x14ac:dyDescent="0.25">
      <c r="A18" s="37"/>
      <c r="B18" s="32" t="s">
        <v>35</v>
      </c>
      <c r="C18" s="17">
        <v>668961</v>
      </c>
      <c r="D18" s="34">
        <v>0.37959999999999999</v>
      </c>
      <c r="E18" s="18">
        <f t="shared" si="0"/>
        <v>253938</v>
      </c>
      <c r="F18" s="26"/>
      <c r="G18" s="34">
        <v>0.25740000000000002</v>
      </c>
      <c r="H18" s="26"/>
      <c r="I18" s="17">
        <f t="shared" si="1"/>
        <v>172191</v>
      </c>
      <c r="J18" s="26"/>
      <c r="K18" s="17">
        <f t="shared" si="2"/>
        <v>81747</v>
      </c>
      <c r="L18" s="26"/>
      <c r="M18" s="41"/>
      <c r="N18" s="48"/>
      <c r="O18" s="48"/>
    </row>
    <row r="19" spans="1:15" x14ac:dyDescent="0.25">
      <c r="A19" s="37"/>
      <c r="B19" s="32" t="s">
        <v>36</v>
      </c>
      <c r="C19" s="9">
        <v>1257584</v>
      </c>
      <c r="D19" s="27">
        <v>0.37959999999999999</v>
      </c>
      <c r="E19" s="13">
        <f t="shared" si="0"/>
        <v>477379</v>
      </c>
      <c r="F19" s="6"/>
      <c r="G19" s="27">
        <v>0.25740000000000002</v>
      </c>
      <c r="H19" s="6"/>
      <c r="I19" s="9">
        <f t="shared" si="1"/>
        <v>323702</v>
      </c>
      <c r="J19" s="6"/>
      <c r="K19" s="118">
        <f t="shared" si="2"/>
        <v>153677</v>
      </c>
      <c r="L19" s="26"/>
      <c r="M19" s="41"/>
      <c r="N19" s="48"/>
      <c r="O19" s="48"/>
    </row>
    <row r="20" spans="1:15" x14ac:dyDescent="0.25">
      <c r="A20" s="37"/>
      <c r="B20" s="32"/>
      <c r="C20" s="17"/>
      <c r="D20" s="26"/>
      <c r="E20" s="33">
        <f>SUM(E12:E19)</f>
        <v>-1420277</v>
      </c>
      <c r="F20" s="26"/>
      <c r="G20" s="26"/>
      <c r="H20" s="26"/>
      <c r="I20" s="33">
        <f>SUM(I12:I19)</f>
        <v>-963065</v>
      </c>
      <c r="J20" s="26"/>
      <c r="K20" s="33">
        <f>SUM(K12:K19)</f>
        <v>-457212</v>
      </c>
      <c r="L20" s="26"/>
      <c r="M20" s="41"/>
      <c r="N20" s="48"/>
      <c r="O20" s="48"/>
    </row>
    <row r="21" spans="1:15" x14ac:dyDescent="0.25">
      <c r="A21" s="37"/>
      <c r="B21" s="16"/>
      <c r="C21" s="17"/>
      <c r="D21" s="26"/>
      <c r="E21" s="26"/>
      <c r="F21" s="26"/>
      <c r="G21" s="26"/>
      <c r="H21" s="26"/>
      <c r="I21" s="26"/>
      <c r="J21" s="26"/>
      <c r="K21" s="75"/>
      <c r="L21" s="26"/>
      <c r="M21" s="41"/>
    </row>
    <row r="22" spans="1:15" x14ac:dyDescent="0.25">
      <c r="A22" s="37" t="s">
        <v>29</v>
      </c>
      <c r="B22" s="16"/>
      <c r="C22" s="17"/>
      <c r="D22" s="26"/>
      <c r="E22" s="26"/>
      <c r="F22" s="26"/>
      <c r="G22" s="26"/>
      <c r="H22" s="26"/>
      <c r="I22" s="26"/>
      <c r="J22" s="26"/>
      <c r="K22" s="75"/>
      <c r="L22" s="26"/>
      <c r="M22" s="41"/>
    </row>
    <row r="23" spans="1:15" x14ac:dyDescent="0.25">
      <c r="A23" s="37"/>
      <c r="B23" s="16" t="s">
        <v>57</v>
      </c>
      <c r="C23" s="17">
        <v>-974787</v>
      </c>
      <c r="D23" s="2">
        <v>0.37959999999999999</v>
      </c>
      <c r="E23" s="10">
        <f>ROUND(C23*D23,0)</f>
        <v>-370029</v>
      </c>
      <c r="F23" s="8"/>
      <c r="G23" s="2">
        <v>0.25740000000000002</v>
      </c>
      <c r="H23" s="8"/>
      <c r="I23" s="8">
        <f t="shared" ref="I23:I32" si="3">ROUND(C23*G23,0)</f>
        <v>-250910</v>
      </c>
      <c r="J23" s="8"/>
      <c r="K23" s="44">
        <f>E23-I23</f>
        <v>-119119</v>
      </c>
      <c r="M23" s="40"/>
      <c r="N23" s="10"/>
    </row>
    <row r="24" spans="1:15" x14ac:dyDescent="0.25">
      <c r="A24" s="16"/>
      <c r="B24" s="16" t="s">
        <v>58</v>
      </c>
      <c r="C24" s="17">
        <v>-106326946</v>
      </c>
      <c r="D24" s="2">
        <v>0.34</v>
      </c>
      <c r="E24" s="10">
        <f t="shared" ref="E24:E30" si="4">ROUND(C24*D24,0)</f>
        <v>-36151162</v>
      </c>
      <c r="F24" s="8"/>
      <c r="G24" s="2">
        <v>0.21</v>
      </c>
      <c r="H24" s="8"/>
      <c r="I24" s="8">
        <f t="shared" si="3"/>
        <v>-22328659</v>
      </c>
      <c r="J24" s="8"/>
      <c r="K24" s="44">
        <f t="shared" ref="K24:K33" si="5">E24-I24</f>
        <v>-13822503</v>
      </c>
      <c r="M24" s="40"/>
    </row>
    <row r="25" spans="1:15" x14ac:dyDescent="0.25">
      <c r="A25" s="16"/>
      <c r="B25" s="16" t="s">
        <v>59</v>
      </c>
      <c r="C25" s="17">
        <v>-89585696</v>
      </c>
      <c r="D25" s="2">
        <v>3.9600000000000003E-2</v>
      </c>
      <c r="E25" s="10">
        <f t="shared" si="4"/>
        <v>-3547594</v>
      </c>
      <c r="F25" s="8"/>
      <c r="G25" s="2">
        <v>4.7400000000000025E-2</v>
      </c>
      <c r="H25" s="8"/>
      <c r="I25" s="8">
        <f t="shared" si="3"/>
        <v>-4246362</v>
      </c>
      <c r="J25" s="8"/>
      <c r="K25" s="44">
        <f t="shared" si="5"/>
        <v>698768</v>
      </c>
      <c r="M25" s="40"/>
    </row>
    <row r="26" spans="1:15" x14ac:dyDescent="0.25">
      <c r="A26" s="16"/>
      <c r="B26" s="16" t="s">
        <v>62</v>
      </c>
      <c r="C26" s="17">
        <v>44364</v>
      </c>
      <c r="D26" s="2">
        <v>0.37959999999999999</v>
      </c>
      <c r="E26" s="10">
        <f t="shared" si="4"/>
        <v>16841</v>
      </c>
      <c r="F26" s="8"/>
      <c r="G26" s="2">
        <v>0.25740000000000002</v>
      </c>
      <c r="H26" s="8"/>
      <c r="I26" s="8">
        <f t="shared" si="3"/>
        <v>11419</v>
      </c>
      <c r="J26" s="8"/>
      <c r="K26" s="44">
        <f t="shared" si="5"/>
        <v>5422</v>
      </c>
      <c r="M26" s="40"/>
    </row>
    <row r="27" spans="1:15" x14ac:dyDescent="0.25">
      <c r="A27" s="16"/>
      <c r="B27" s="16" t="s">
        <v>60</v>
      </c>
      <c r="C27" s="17">
        <v>-2414057</v>
      </c>
      <c r="D27" s="2">
        <v>0.37959999999999999</v>
      </c>
      <c r="E27" s="10">
        <f t="shared" si="4"/>
        <v>-916376</v>
      </c>
      <c r="F27" s="8"/>
      <c r="G27" s="2">
        <v>0.25740000000000002</v>
      </c>
      <c r="H27" s="8"/>
      <c r="I27" s="8">
        <f t="shared" si="3"/>
        <v>-621378</v>
      </c>
      <c r="J27" s="8"/>
      <c r="K27" s="44">
        <f t="shared" si="5"/>
        <v>-294998</v>
      </c>
      <c r="M27" s="40"/>
    </row>
    <row r="28" spans="1:15" x14ac:dyDescent="0.25">
      <c r="A28" s="16"/>
      <c r="B28" s="16" t="s">
        <v>61</v>
      </c>
      <c r="C28" s="17">
        <v>102814</v>
      </c>
      <c r="D28" s="2">
        <v>0.37959999999999999</v>
      </c>
      <c r="E28" s="10">
        <f t="shared" si="4"/>
        <v>39028</v>
      </c>
      <c r="F28" s="8"/>
      <c r="G28" s="2">
        <v>0.25740000000000002</v>
      </c>
      <c r="H28" s="8"/>
      <c r="I28" s="8">
        <f t="shared" si="3"/>
        <v>26464</v>
      </c>
      <c r="J28" s="8"/>
      <c r="K28" s="44">
        <f t="shared" si="5"/>
        <v>12564</v>
      </c>
      <c r="M28" s="40"/>
    </row>
    <row r="29" spans="1:15" s="38" customFormat="1" x14ac:dyDescent="0.25">
      <c r="A29" s="48"/>
      <c r="B29" s="41" t="s">
        <v>106</v>
      </c>
      <c r="C29" s="17">
        <v>3493275</v>
      </c>
      <c r="D29" s="2">
        <v>0.37959999999999999</v>
      </c>
      <c r="E29" s="10">
        <f>ROUND(C29*D29,0)</f>
        <v>1326047</v>
      </c>
      <c r="F29" s="44"/>
      <c r="G29" s="2">
        <v>0.25740000000000002</v>
      </c>
      <c r="H29" s="44"/>
      <c r="I29" s="44">
        <f t="shared" si="3"/>
        <v>899169</v>
      </c>
      <c r="J29" s="44"/>
      <c r="K29" s="44">
        <f>E29-I29</f>
        <v>426878</v>
      </c>
      <c r="M29" s="40"/>
    </row>
    <row r="30" spans="1:15" x14ac:dyDescent="0.25">
      <c r="A30" s="16"/>
      <c r="B30" s="16" t="s">
        <v>107</v>
      </c>
      <c r="C30" s="17">
        <v>-2334280</v>
      </c>
      <c r="D30" s="2">
        <v>0.37959999999999999</v>
      </c>
      <c r="E30" s="10">
        <f t="shared" si="4"/>
        <v>-886093</v>
      </c>
      <c r="F30" s="8"/>
      <c r="G30" s="2">
        <v>0.25740000000000002</v>
      </c>
      <c r="H30" s="8"/>
      <c r="I30" s="44">
        <f t="shared" si="3"/>
        <v>-600844</v>
      </c>
      <c r="J30" s="44"/>
      <c r="K30" s="44">
        <f>E30-I30</f>
        <v>-285249</v>
      </c>
    </row>
    <row r="31" spans="1:15" s="38" customFormat="1" x14ac:dyDescent="0.25">
      <c r="A31" s="48"/>
      <c r="B31" s="41" t="s">
        <v>109</v>
      </c>
      <c r="C31" s="17">
        <v>-2973010</v>
      </c>
      <c r="D31" s="2">
        <v>0.37959999999999999</v>
      </c>
      <c r="E31" s="10">
        <f>ROUND(C31*D31,0)</f>
        <v>-1128555</v>
      </c>
      <c r="F31" s="44"/>
      <c r="G31" s="2">
        <v>0.25740000000000002</v>
      </c>
      <c r="H31" s="44"/>
      <c r="I31" s="44">
        <f t="shared" si="3"/>
        <v>-765253</v>
      </c>
      <c r="J31" s="44"/>
      <c r="K31" s="44">
        <f>E31-I31</f>
        <v>-363302</v>
      </c>
    </row>
    <row r="32" spans="1:15" s="38" customFormat="1" x14ac:dyDescent="0.25">
      <c r="A32" s="48"/>
      <c r="B32" s="41" t="s">
        <v>108</v>
      </c>
      <c r="C32" s="17">
        <v>-597211</v>
      </c>
      <c r="D32" s="2">
        <v>0.37959999999999999</v>
      </c>
      <c r="E32" s="10">
        <f>ROUND(C32*D32,0)</f>
        <v>-226701</v>
      </c>
      <c r="F32" s="44"/>
      <c r="G32" s="2">
        <v>0.25740000000000002</v>
      </c>
      <c r="H32" s="44"/>
      <c r="I32" s="44">
        <f t="shared" si="3"/>
        <v>-153722</v>
      </c>
      <c r="J32" s="44"/>
      <c r="K32" s="44">
        <f>E32-I32</f>
        <v>-72979</v>
      </c>
    </row>
    <row r="33" spans="1:12" x14ac:dyDescent="0.25">
      <c r="A33" s="16"/>
      <c r="B33" s="16" t="s">
        <v>63</v>
      </c>
      <c r="C33" s="30"/>
      <c r="D33" s="153" t="s">
        <v>126</v>
      </c>
      <c r="E33" s="13">
        <f>'3.1 KY Reg Liability'!D24</f>
        <v>122738</v>
      </c>
      <c r="F33" s="9"/>
      <c r="G33" s="27">
        <v>0.25740000000000002</v>
      </c>
      <c r="H33" s="9"/>
      <c r="I33" s="9">
        <f>'3.1 KY Reg Liability'!D24</f>
        <v>122738</v>
      </c>
      <c r="J33" s="9"/>
      <c r="K33" s="45">
        <f t="shared" si="5"/>
        <v>0</v>
      </c>
    </row>
    <row r="34" spans="1:12" x14ac:dyDescent="0.25">
      <c r="A34" s="16"/>
      <c r="B34" s="16"/>
      <c r="C34" s="8"/>
      <c r="D34" s="8"/>
      <c r="E34" s="8">
        <f>SUM(E23:E33)</f>
        <v>-41721856</v>
      </c>
      <c r="F34" s="8"/>
      <c r="G34" s="8"/>
      <c r="H34" s="8"/>
      <c r="I34" s="8">
        <f>SUM(I23:I33)</f>
        <v>-27907338</v>
      </c>
      <c r="J34" s="8"/>
      <c r="K34" s="44">
        <f>SUM(K23:K33)</f>
        <v>-13814518</v>
      </c>
      <c r="L34" s="11"/>
    </row>
    <row r="35" spans="1:12" x14ac:dyDescent="0.25">
      <c r="A35" s="16"/>
      <c r="B35" s="16"/>
      <c r="C35" s="8"/>
      <c r="D35" s="8"/>
      <c r="E35" s="8"/>
      <c r="F35" s="8"/>
      <c r="G35" s="8"/>
      <c r="H35" s="8"/>
      <c r="I35" s="8"/>
      <c r="J35" s="8"/>
      <c r="K35" s="8"/>
    </row>
    <row r="36" spans="1:12" x14ac:dyDescent="0.25">
      <c r="A36" s="35" t="s">
        <v>37</v>
      </c>
      <c r="B36" s="35"/>
      <c r="C36" s="36"/>
      <c r="D36" s="36"/>
      <c r="E36" s="36">
        <f>E34+E20</f>
        <v>-43142133</v>
      </c>
      <c r="F36" s="36"/>
      <c r="G36" s="36"/>
      <c r="H36" s="36"/>
      <c r="I36" s="36">
        <f>I34+I20</f>
        <v>-28870403</v>
      </c>
      <c r="J36" s="36"/>
      <c r="K36" s="36">
        <f>K34+K20</f>
        <v>-14271730</v>
      </c>
    </row>
    <row r="37" spans="1:12" s="54" customFormat="1" x14ac:dyDescent="0.25">
      <c r="A37" s="35"/>
      <c r="B37" s="35"/>
      <c r="C37" s="36"/>
      <c r="D37" s="36"/>
      <c r="E37" s="36"/>
      <c r="F37" s="36"/>
      <c r="G37" s="36"/>
      <c r="H37" s="36"/>
      <c r="I37" s="36"/>
      <c r="J37" s="36"/>
      <c r="K37" s="36"/>
    </row>
    <row r="38" spans="1:12" x14ac:dyDescent="0.25">
      <c r="A38" s="136" t="s">
        <v>24</v>
      </c>
      <c r="B38" t="s">
        <v>127</v>
      </c>
      <c r="C38" s="8"/>
      <c r="D38" s="8"/>
      <c r="E38" s="8"/>
      <c r="F38" s="8"/>
      <c r="G38" s="8"/>
      <c r="H38" s="8"/>
      <c r="I38" s="8"/>
      <c r="J38" s="8"/>
      <c r="K38" s="154" t="s">
        <v>48</v>
      </c>
    </row>
    <row r="39" spans="1:12" x14ac:dyDescent="0.25">
      <c r="A39" s="136" t="s">
        <v>126</v>
      </c>
      <c r="B39" t="s">
        <v>65</v>
      </c>
      <c r="C39" s="8"/>
      <c r="D39" s="8"/>
      <c r="E39" s="8"/>
      <c r="F39" s="8"/>
      <c r="G39" s="8"/>
      <c r="H39" s="8"/>
      <c r="I39" s="8"/>
      <c r="J39" s="8"/>
      <c r="K39" s="8"/>
    </row>
  </sheetData>
  <pageMargins left="0.7" right="0.7" top="0.75" bottom="0.75" header="0.3" footer="0.3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>
      <selection activeCell="E41" sqref="E41"/>
    </sheetView>
  </sheetViews>
  <sheetFormatPr defaultRowHeight="15" x14ac:dyDescent="0.25"/>
  <cols>
    <col min="3" max="3" width="53" customWidth="1"/>
    <col min="4" max="6" width="13.42578125" customWidth="1"/>
    <col min="7" max="7" width="14.28515625" bestFit="1" customWidth="1"/>
    <col min="8" max="8" width="9.7109375" bestFit="1" customWidth="1"/>
  </cols>
  <sheetData>
    <row r="1" spans="1:4" x14ac:dyDescent="0.25">
      <c r="A1" s="43" t="s">
        <v>50</v>
      </c>
    </row>
    <row r="2" spans="1:4" x14ac:dyDescent="0.25">
      <c r="A2" s="43" t="s">
        <v>51</v>
      </c>
    </row>
    <row r="3" spans="1:4" x14ac:dyDescent="0.25">
      <c r="A3" s="43" t="s">
        <v>146</v>
      </c>
    </row>
    <row r="4" spans="1:4" x14ac:dyDescent="0.25">
      <c r="A4" s="50" t="s">
        <v>114</v>
      </c>
    </row>
    <row r="5" spans="1:4" x14ac:dyDescent="0.25">
      <c r="A5" s="50" t="s">
        <v>21</v>
      </c>
    </row>
    <row r="12" spans="1:4" x14ac:dyDescent="0.25">
      <c r="B12" s="29"/>
    </row>
    <row r="14" spans="1:4" x14ac:dyDescent="0.25">
      <c r="B14" s="29" t="s">
        <v>175</v>
      </c>
    </row>
    <row r="15" spans="1:4" x14ac:dyDescent="0.25">
      <c r="B15" s="29"/>
      <c r="C15" t="s">
        <v>132</v>
      </c>
      <c r="D15" s="8">
        <v>837300</v>
      </c>
    </row>
    <row r="16" spans="1:4" x14ac:dyDescent="0.25">
      <c r="B16" s="29"/>
      <c r="C16" t="s">
        <v>39</v>
      </c>
      <c r="D16" s="9">
        <v>-483200</v>
      </c>
    </row>
    <row r="17" spans="1:8" x14ac:dyDescent="0.25">
      <c r="B17" s="29"/>
      <c r="C17" s="28" t="s">
        <v>164</v>
      </c>
      <c r="D17" s="8">
        <f>SUM(D15:D16)</f>
        <v>354100</v>
      </c>
    </row>
    <row r="18" spans="1:8" x14ac:dyDescent="0.25">
      <c r="B18" s="29"/>
      <c r="C18" s="28"/>
      <c r="D18" s="8"/>
    </row>
    <row r="19" spans="1:8" x14ac:dyDescent="0.25">
      <c r="B19" s="29"/>
      <c r="C19" t="s">
        <v>23</v>
      </c>
    </row>
    <row r="20" spans="1:8" s="96" customFormat="1" x14ac:dyDescent="0.25">
      <c r="B20" s="116"/>
      <c r="C20" s="28" t="s">
        <v>25</v>
      </c>
      <c r="D20" s="117">
        <f>ROUND(-D17/(1-0.3796),0)</f>
        <v>-570761</v>
      </c>
      <c r="G20" s="11"/>
    </row>
    <row r="21" spans="1:8" x14ac:dyDescent="0.25">
      <c r="B21" s="29"/>
      <c r="C21" s="28" t="s">
        <v>163</v>
      </c>
      <c r="D21" s="9">
        <f>ROUND(-D17/(1-0.2574),0)</f>
        <v>-476838</v>
      </c>
      <c r="G21" s="11"/>
      <c r="H21" s="10"/>
    </row>
    <row r="22" spans="1:8" s="96" customFormat="1" x14ac:dyDescent="0.25">
      <c r="B22" s="116"/>
      <c r="C22" s="28"/>
      <c r="D22" s="17"/>
      <c r="H22" s="10"/>
    </row>
    <row r="23" spans="1:8" x14ac:dyDescent="0.25">
      <c r="C23" s="126" t="s">
        <v>176</v>
      </c>
    </row>
    <row r="24" spans="1:8" x14ac:dyDescent="0.25">
      <c r="B24" s="29"/>
      <c r="C24" s="14" t="s">
        <v>177</v>
      </c>
      <c r="D24" s="44">
        <f>ROUND(-D21*0.2574,0)</f>
        <v>122738</v>
      </c>
    </row>
    <row r="25" spans="1:8" x14ac:dyDescent="0.25">
      <c r="A25" s="123"/>
      <c r="B25" s="116"/>
      <c r="C25" s="123"/>
      <c r="D25" s="117"/>
      <c r="E25" s="123"/>
      <c r="F25" s="123"/>
      <c r="G25" s="123"/>
      <c r="H25" s="123"/>
    </row>
    <row r="26" spans="1:8" x14ac:dyDescent="0.25">
      <c r="B26" s="29" t="s">
        <v>179</v>
      </c>
      <c r="D26" s="8"/>
    </row>
    <row r="27" spans="1:8" x14ac:dyDescent="0.25">
      <c r="B27" s="123"/>
      <c r="C27" s="123"/>
      <c r="D27" s="31" t="s">
        <v>18</v>
      </c>
      <c r="E27" s="31"/>
      <c r="F27" s="31"/>
    </row>
    <row r="28" spans="1:8" x14ac:dyDescent="0.25">
      <c r="B28" s="123"/>
      <c r="C28" s="123"/>
      <c r="D28" s="31" t="s">
        <v>169</v>
      </c>
      <c r="E28" s="31"/>
      <c r="F28" s="31" t="s">
        <v>99</v>
      </c>
    </row>
    <row r="29" spans="1:8" s="123" customFormat="1" x14ac:dyDescent="0.25">
      <c r="A29"/>
      <c r="C29" s="123" t="s">
        <v>165</v>
      </c>
      <c r="D29" s="46">
        <v>2017</v>
      </c>
      <c r="E29" s="46" t="s">
        <v>19</v>
      </c>
      <c r="F29" s="46" t="s">
        <v>168</v>
      </c>
      <c r="G29"/>
      <c r="H29"/>
    </row>
    <row r="30" spans="1:8" x14ac:dyDescent="0.25">
      <c r="B30" s="123"/>
      <c r="C30" s="123"/>
      <c r="D30" s="123"/>
      <c r="E30" s="123"/>
      <c r="F30" s="123"/>
    </row>
    <row r="31" spans="1:8" x14ac:dyDescent="0.25">
      <c r="B31" s="123"/>
      <c r="C31" s="123" t="s">
        <v>166</v>
      </c>
      <c r="D31" s="117">
        <v>354100</v>
      </c>
      <c r="E31" s="117">
        <f>D17</f>
        <v>354100</v>
      </c>
      <c r="F31" s="117">
        <f>E31-D31</f>
        <v>0</v>
      </c>
    </row>
    <row r="32" spans="1:8" x14ac:dyDescent="0.25">
      <c r="B32" s="123"/>
      <c r="C32" s="123" t="s">
        <v>167</v>
      </c>
      <c r="D32" s="117">
        <v>216661</v>
      </c>
      <c r="E32" s="117">
        <f>D24</f>
        <v>122738</v>
      </c>
      <c r="F32" s="117">
        <f t="shared" ref="F32:F33" si="0">E32-D32</f>
        <v>-93923</v>
      </c>
    </row>
    <row r="33" spans="1:8" x14ac:dyDescent="0.25">
      <c r="B33" s="123"/>
      <c r="C33" s="123" t="s">
        <v>23</v>
      </c>
      <c r="D33" s="117">
        <v>-570761</v>
      </c>
      <c r="E33" s="117">
        <f>D21</f>
        <v>-476838</v>
      </c>
      <c r="F33" s="117">
        <f t="shared" si="0"/>
        <v>93923</v>
      </c>
    </row>
    <row r="36" spans="1:8" x14ac:dyDescent="0.25">
      <c r="B36" s="116" t="s">
        <v>178</v>
      </c>
    </row>
    <row r="37" spans="1:8" x14ac:dyDescent="0.25">
      <c r="A37" s="123"/>
      <c r="B37" s="116"/>
      <c r="C37" s="123"/>
      <c r="D37" s="123"/>
      <c r="E37" s="123"/>
      <c r="F37" s="123"/>
      <c r="G37" s="123"/>
      <c r="H37" s="123"/>
    </row>
    <row r="38" spans="1:8" x14ac:dyDescent="0.25">
      <c r="C38" t="s">
        <v>206</v>
      </c>
      <c r="E38" s="10">
        <f>E33</f>
        <v>-476838</v>
      </c>
    </row>
    <row r="40" spans="1:8" x14ac:dyDescent="0.25">
      <c r="C40" s="123" t="s">
        <v>173</v>
      </c>
      <c r="E40" s="127">
        <v>203</v>
      </c>
    </row>
    <row r="41" spans="1:8" x14ac:dyDescent="0.25">
      <c r="C41" s="123" t="s">
        <v>216</v>
      </c>
      <c r="E41" s="10">
        <f>ROUND(-E38/E40,0)</f>
        <v>2349</v>
      </c>
    </row>
    <row r="42" spans="1:8" x14ac:dyDescent="0.25">
      <c r="A42" s="123"/>
      <c r="B42" s="123"/>
      <c r="C42" s="123"/>
      <c r="D42" s="123"/>
      <c r="E42" s="123"/>
      <c r="F42" s="123"/>
      <c r="G42" s="123"/>
      <c r="H42" s="123"/>
    </row>
    <row r="43" spans="1:8" x14ac:dyDescent="0.25">
      <c r="C43" s="123" t="s">
        <v>207</v>
      </c>
      <c r="E43" s="117">
        <f>ROUND(E41*12,0)</f>
        <v>28188</v>
      </c>
    </row>
    <row r="44" spans="1:8" x14ac:dyDescent="0.25">
      <c r="C44" s="123"/>
      <c r="E44" s="117"/>
    </row>
    <row r="45" spans="1:8" x14ac:dyDescent="0.25">
      <c r="C45" s="123" t="s">
        <v>208</v>
      </c>
      <c r="E45" s="118">
        <v>39600</v>
      </c>
    </row>
    <row r="46" spans="1:8" s="123" customFormat="1" x14ac:dyDescent="0.25">
      <c r="A46"/>
      <c r="B46"/>
      <c r="C46"/>
      <c r="D46"/>
      <c r="E46"/>
      <c r="F46"/>
      <c r="G46"/>
      <c r="H46"/>
    </row>
    <row r="47" spans="1:8" x14ac:dyDescent="0.25">
      <c r="C47" s="14" t="s">
        <v>6</v>
      </c>
      <c r="E47" s="117">
        <f>E43-E45</f>
        <v>-11412</v>
      </c>
      <c r="F47" t="s">
        <v>46</v>
      </c>
    </row>
    <row r="49" spans="5:5" x14ac:dyDescent="0.25">
      <c r="E49" s="10"/>
    </row>
  </sheetData>
  <pageMargins left="0.7" right="0.7" top="0.75" bottom="0.75" header="0.3" footer="0.3"/>
  <pageSetup scale="7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I43" sqref="I43"/>
    </sheetView>
  </sheetViews>
  <sheetFormatPr defaultRowHeight="15" x14ac:dyDescent="0.25"/>
  <cols>
    <col min="3" max="3" width="63.5703125" bestFit="1" customWidth="1"/>
    <col min="4" max="4" width="13.28515625" bestFit="1" customWidth="1"/>
    <col min="5" max="5" width="12.7109375" customWidth="1"/>
  </cols>
  <sheetData>
    <row r="1" spans="1:5" x14ac:dyDescent="0.25">
      <c r="A1" s="43" t="s">
        <v>50</v>
      </c>
    </row>
    <row r="2" spans="1:5" x14ac:dyDescent="0.25">
      <c r="A2" s="43" t="s">
        <v>51</v>
      </c>
    </row>
    <row r="3" spans="1:5" x14ac:dyDescent="0.25">
      <c r="A3" s="43" t="s">
        <v>147</v>
      </c>
    </row>
    <row r="4" spans="1:5" x14ac:dyDescent="0.25">
      <c r="A4" s="50" t="s">
        <v>66</v>
      </c>
    </row>
    <row r="5" spans="1:5" ht="14.25" x14ac:dyDescent="0.45">
      <c r="A5" s="132"/>
    </row>
    <row r="13" spans="1:5" x14ac:dyDescent="0.25">
      <c r="B13" s="29" t="s">
        <v>28</v>
      </c>
    </row>
    <row r="14" spans="1:5" x14ac:dyDescent="0.25">
      <c r="B14" s="29"/>
      <c r="C14" t="s">
        <v>22</v>
      </c>
      <c r="D14" s="8">
        <f>-'3 - Deferred Taxes'!K36</f>
        <v>14271730</v>
      </c>
      <c r="E14" s="2" t="s">
        <v>47</v>
      </c>
    </row>
    <row r="15" spans="1:5" x14ac:dyDescent="0.25">
      <c r="B15" s="29"/>
      <c r="C15" s="28"/>
      <c r="D15" s="8"/>
    </row>
    <row r="16" spans="1:5" x14ac:dyDescent="0.25">
      <c r="B16" s="29"/>
      <c r="C16" t="s">
        <v>23</v>
      </c>
    </row>
    <row r="17" spans="2:5" x14ac:dyDescent="0.25">
      <c r="B17" s="29"/>
      <c r="C17" s="28" t="s">
        <v>135</v>
      </c>
      <c r="D17" s="9">
        <f>ROUND(-D14/(1-0.2574),0)</f>
        <v>-19218597</v>
      </c>
    </row>
    <row r="18" spans="2:5" x14ac:dyDescent="0.25">
      <c r="B18" s="29"/>
      <c r="D18" s="17"/>
    </row>
    <row r="19" spans="2:5" x14ac:dyDescent="0.25">
      <c r="B19" s="29"/>
      <c r="C19" t="s">
        <v>180</v>
      </c>
      <c r="D19" s="8">
        <f>ROUND(D17*-0.2574,0)</f>
        <v>4946867</v>
      </c>
    </row>
    <row r="20" spans="2:5" x14ac:dyDescent="0.25">
      <c r="B20" s="29"/>
      <c r="D20" s="8"/>
    </row>
    <row r="21" spans="2:5" s="38" customFormat="1" x14ac:dyDescent="0.25">
      <c r="B21" s="43"/>
      <c r="C21" s="38" t="s">
        <v>70</v>
      </c>
      <c r="D21" s="44">
        <v>21</v>
      </c>
      <c r="E21" s="38" t="s">
        <v>71</v>
      </c>
    </row>
    <row r="22" spans="2:5" s="38" customFormat="1" x14ac:dyDescent="0.25">
      <c r="B22" s="43"/>
      <c r="D22" s="44"/>
    </row>
    <row r="23" spans="2:5" x14ac:dyDescent="0.25">
      <c r="B23" s="29"/>
      <c r="C23" t="s">
        <v>111</v>
      </c>
      <c r="D23" s="8">
        <f>ROUND(D14/D21,0)</f>
        <v>679606</v>
      </c>
    </row>
    <row r="25" spans="2:5" x14ac:dyDescent="0.25">
      <c r="C25" t="s">
        <v>110</v>
      </c>
      <c r="D25" s="10">
        <f>ROUND(D17/D21,0)</f>
        <v>-915171</v>
      </c>
      <c r="E25" t="s">
        <v>46</v>
      </c>
    </row>
    <row r="27" spans="2:5" x14ac:dyDescent="0.25">
      <c r="D27" s="11"/>
    </row>
    <row r="29" spans="2:5" x14ac:dyDescent="0.25">
      <c r="D29" s="11"/>
    </row>
    <row r="33" spans="4:4" x14ac:dyDescent="0.25">
      <c r="D33" t="s">
        <v>174</v>
      </c>
    </row>
  </sheetData>
  <pageMargins left="0.7" right="0.7" top="0.75" bottom="0.75" header="0.3" footer="0.3"/>
  <pageSetup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>
      <selection activeCell="N22" sqref="N22"/>
    </sheetView>
  </sheetViews>
  <sheetFormatPr defaultRowHeight="15" x14ac:dyDescent="0.25"/>
  <cols>
    <col min="1" max="1" width="10.7109375" bestFit="1" customWidth="1"/>
    <col min="2" max="4" width="15.7109375" style="44" customWidth="1"/>
    <col min="5" max="5" width="9.140625" style="44"/>
    <col min="6" max="8" width="15.7109375" style="44" customWidth="1"/>
    <col min="9" max="9" width="12.85546875" style="44" bestFit="1" customWidth="1"/>
    <col min="10" max="10" width="9.140625" style="44"/>
    <col min="11" max="11" width="12" style="44" bestFit="1" customWidth="1"/>
    <col min="12" max="13" width="9.140625" style="44"/>
    <col min="14" max="14" width="12.28515625" style="44" bestFit="1" customWidth="1"/>
    <col min="15" max="15" width="9.140625" style="44"/>
  </cols>
  <sheetData>
    <row r="1" spans="1:15" x14ac:dyDescent="0.25">
      <c r="A1" s="43" t="s">
        <v>50</v>
      </c>
    </row>
    <row r="2" spans="1:15" x14ac:dyDescent="0.25">
      <c r="A2" s="43" t="s">
        <v>51</v>
      </c>
    </row>
    <row r="3" spans="1:15" x14ac:dyDescent="0.25">
      <c r="A3" s="43" t="s">
        <v>148</v>
      </c>
    </row>
    <row r="4" spans="1:15" x14ac:dyDescent="0.25">
      <c r="A4" s="50" t="s">
        <v>120</v>
      </c>
      <c r="B4" s="36"/>
      <c r="C4" s="36"/>
      <c r="D4" s="36"/>
    </row>
    <row r="5" spans="1:15" s="54" customFormat="1" ht="14.25" x14ac:dyDescent="0.45">
      <c r="A5" s="132"/>
      <c r="B5" s="36"/>
      <c r="C5" s="36"/>
      <c r="D5" s="3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54" customFormat="1" x14ac:dyDescent="0.25">
      <c r="A6" s="50"/>
      <c r="B6" s="36"/>
      <c r="C6" s="36"/>
      <c r="D6" s="36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x14ac:dyDescent="0.25">
      <c r="A7" s="54"/>
      <c r="B7" s="156" t="s">
        <v>115</v>
      </c>
      <c r="C7" s="156"/>
      <c r="D7" s="156"/>
      <c r="F7" s="156" t="s">
        <v>119</v>
      </c>
      <c r="G7" s="156"/>
      <c r="H7" s="156"/>
      <c r="I7" s="156"/>
    </row>
    <row r="8" spans="1:15" ht="45" x14ac:dyDescent="0.25">
      <c r="B8" s="76" t="s">
        <v>116</v>
      </c>
      <c r="C8" s="76" t="s">
        <v>118</v>
      </c>
      <c r="D8" s="76" t="s">
        <v>117</v>
      </c>
      <c r="F8" s="78" t="s">
        <v>116</v>
      </c>
      <c r="G8" s="78" t="s">
        <v>118</v>
      </c>
      <c r="H8" s="78" t="s">
        <v>117</v>
      </c>
      <c r="I8" s="78" t="s">
        <v>137</v>
      </c>
      <c r="K8" s="78" t="s">
        <v>121</v>
      </c>
    </row>
    <row r="9" spans="1:15" x14ac:dyDescent="0.25">
      <c r="A9" s="74">
        <v>43100</v>
      </c>
      <c r="D9" s="44">
        <f>'4 - 2018 Reg Liability'!D17:D17</f>
        <v>-19218597</v>
      </c>
      <c r="E9" s="138" t="s">
        <v>24</v>
      </c>
      <c r="H9" s="44">
        <f>'4 - 2018 Reg Liability'!D19</f>
        <v>4946867</v>
      </c>
      <c r="I9" s="2">
        <f t="shared" ref="I9:I29" si="0">H9/D9</f>
        <v>-0.25740000687875397</v>
      </c>
    </row>
    <row r="10" spans="1:15" x14ac:dyDescent="0.25">
      <c r="A10">
        <v>2018</v>
      </c>
      <c r="B10" s="44">
        <f t="shared" ref="B10:B30" si="1">D9</f>
        <v>-19218597</v>
      </c>
      <c r="C10" s="44">
        <f>-'4 - 2018 Reg Liability'!D25</f>
        <v>915171</v>
      </c>
      <c r="D10" s="44">
        <f t="shared" ref="D10:D30" si="2">B10+C10</f>
        <v>-18303426</v>
      </c>
      <c r="E10" s="138" t="s">
        <v>126</v>
      </c>
      <c r="F10" s="44">
        <f>H9</f>
        <v>4946867</v>
      </c>
      <c r="G10" s="44">
        <f>-ROUND(H9/21,0)</f>
        <v>-235565</v>
      </c>
      <c r="H10" s="44">
        <f t="shared" ref="H10:H30" si="3">F10+G10</f>
        <v>4711302</v>
      </c>
      <c r="I10" s="2">
        <f t="shared" si="0"/>
        <v>-0.25740000806406405</v>
      </c>
      <c r="K10" s="44">
        <f>-C10-G10</f>
        <v>-679606</v>
      </c>
      <c r="L10" s="2"/>
      <c r="M10" s="2"/>
    </row>
    <row r="11" spans="1:15" x14ac:dyDescent="0.25">
      <c r="A11">
        <v>2019</v>
      </c>
      <c r="B11" s="44">
        <f t="shared" si="1"/>
        <v>-18303426</v>
      </c>
      <c r="C11" s="44">
        <f>C10</f>
        <v>915171</v>
      </c>
      <c r="D11" s="44">
        <f t="shared" si="2"/>
        <v>-17388255</v>
      </c>
      <c r="E11" s="139"/>
      <c r="F11" s="44">
        <f t="shared" ref="F11:F30" si="4">H10</f>
        <v>4711302</v>
      </c>
      <c r="G11" s="44">
        <f>G10</f>
        <v>-235565</v>
      </c>
      <c r="H11" s="44">
        <f t="shared" si="3"/>
        <v>4475737</v>
      </c>
      <c r="I11" s="2">
        <f t="shared" si="0"/>
        <v>-0.25740000937414365</v>
      </c>
      <c r="K11" s="44">
        <f t="shared" ref="K11:K30" si="5">-C11-G11</f>
        <v>-679606</v>
      </c>
      <c r="L11" s="2"/>
      <c r="M11" s="2"/>
    </row>
    <row r="12" spans="1:15" x14ac:dyDescent="0.25">
      <c r="A12" s="54">
        <v>2020</v>
      </c>
      <c r="B12" s="44">
        <f t="shared" si="1"/>
        <v>-17388255</v>
      </c>
      <c r="C12" s="44">
        <f t="shared" ref="C12:C29" si="6">C11</f>
        <v>915171</v>
      </c>
      <c r="D12" s="44">
        <f t="shared" si="2"/>
        <v>-16473084</v>
      </c>
      <c r="F12" s="44">
        <f t="shared" si="4"/>
        <v>4475737</v>
      </c>
      <c r="G12" s="44">
        <f t="shared" ref="G12:G30" si="7">G11</f>
        <v>-235565</v>
      </c>
      <c r="H12" s="44">
        <f t="shared" si="3"/>
        <v>4240172</v>
      </c>
      <c r="I12" s="2">
        <f t="shared" si="0"/>
        <v>-0.25740001082978753</v>
      </c>
      <c r="K12" s="44">
        <f t="shared" si="5"/>
        <v>-679606</v>
      </c>
      <c r="L12" s="2"/>
      <c r="M12" s="2"/>
    </row>
    <row r="13" spans="1:15" x14ac:dyDescent="0.25">
      <c r="A13" s="54">
        <v>2021</v>
      </c>
      <c r="B13" s="44">
        <f t="shared" si="1"/>
        <v>-16473084</v>
      </c>
      <c r="C13" s="44">
        <f t="shared" si="6"/>
        <v>915171</v>
      </c>
      <c r="D13" s="44">
        <f t="shared" si="2"/>
        <v>-15557913</v>
      </c>
      <c r="F13" s="44">
        <f t="shared" si="4"/>
        <v>4240172</v>
      </c>
      <c r="G13" s="44">
        <f t="shared" si="7"/>
        <v>-235565</v>
      </c>
      <c r="H13" s="44">
        <f t="shared" si="3"/>
        <v>4004607</v>
      </c>
      <c r="I13" s="2">
        <f t="shared" si="0"/>
        <v>-0.25740001245668359</v>
      </c>
      <c r="K13" s="44">
        <f t="shared" si="5"/>
        <v>-679606</v>
      </c>
      <c r="L13" s="2"/>
      <c r="M13" s="2"/>
    </row>
    <row r="14" spans="1:15" x14ac:dyDescent="0.25">
      <c r="A14" s="54">
        <v>2022</v>
      </c>
      <c r="B14" s="44">
        <f t="shared" si="1"/>
        <v>-15557913</v>
      </c>
      <c r="C14" s="44">
        <f t="shared" si="6"/>
        <v>915171</v>
      </c>
      <c r="D14" s="44">
        <f t="shared" si="2"/>
        <v>-14642742</v>
      </c>
      <c r="F14" s="44">
        <f t="shared" si="4"/>
        <v>4004607</v>
      </c>
      <c r="G14" s="44">
        <f t="shared" si="7"/>
        <v>-235565</v>
      </c>
      <c r="H14" s="44">
        <f t="shared" si="3"/>
        <v>3769042</v>
      </c>
      <c r="I14" s="2">
        <f t="shared" si="0"/>
        <v>-0.25740001428694159</v>
      </c>
      <c r="K14" s="44">
        <f t="shared" si="5"/>
        <v>-679606</v>
      </c>
      <c r="L14" s="2"/>
      <c r="M14" s="2"/>
    </row>
    <row r="15" spans="1:15" x14ac:dyDescent="0.25">
      <c r="A15" s="54">
        <v>2023</v>
      </c>
      <c r="B15" s="44">
        <f t="shared" si="1"/>
        <v>-14642742</v>
      </c>
      <c r="C15" s="44">
        <f t="shared" si="6"/>
        <v>915171</v>
      </c>
      <c r="D15" s="44">
        <f t="shared" si="2"/>
        <v>-13727571</v>
      </c>
      <c r="F15" s="44">
        <f t="shared" si="4"/>
        <v>3769042</v>
      </c>
      <c r="G15" s="44">
        <f t="shared" si="7"/>
        <v>-235565</v>
      </c>
      <c r="H15" s="44">
        <f t="shared" si="3"/>
        <v>3533477</v>
      </c>
      <c r="I15" s="2">
        <f t="shared" si="0"/>
        <v>-0.25740001636123389</v>
      </c>
      <c r="K15" s="44">
        <f t="shared" si="5"/>
        <v>-679606</v>
      </c>
      <c r="L15" s="2"/>
      <c r="M15" s="2"/>
    </row>
    <row r="16" spans="1:15" x14ac:dyDescent="0.25">
      <c r="A16" s="54">
        <v>2024</v>
      </c>
      <c r="B16" s="44">
        <f t="shared" si="1"/>
        <v>-13727571</v>
      </c>
      <c r="C16" s="44">
        <f t="shared" si="6"/>
        <v>915171</v>
      </c>
      <c r="D16" s="44">
        <f t="shared" si="2"/>
        <v>-12812400</v>
      </c>
      <c r="F16" s="44">
        <f t="shared" si="4"/>
        <v>3533477</v>
      </c>
      <c r="G16" s="44">
        <f t="shared" si="7"/>
        <v>-235565</v>
      </c>
      <c r="H16" s="44">
        <f t="shared" si="3"/>
        <v>3297912</v>
      </c>
      <c r="I16" s="2">
        <f t="shared" si="0"/>
        <v>-0.25740001873185353</v>
      </c>
      <c r="K16" s="44">
        <f t="shared" si="5"/>
        <v>-679606</v>
      </c>
      <c r="L16" s="2"/>
      <c r="M16" s="2"/>
      <c r="N16" s="24"/>
    </row>
    <row r="17" spans="1:13" x14ac:dyDescent="0.25">
      <c r="A17" s="54">
        <v>2025</v>
      </c>
      <c r="B17" s="44">
        <f t="shared" si="1"/>
        <v>-12812400</v>
      </c>
      <c r="C17" s="44">
        <f t="shared" si="6"/>
        <v>915171</v>
      </c>
      <c r="D17" s="44">
        <f t="shared" si="2"/>
        <v>-11897229</v>
      </c>
      <c r="F17" s="44">
        <f t="shared" si="4"/>
        <v>3297912</v>
      </c>
      <c r="G17" s="44">
        <f t="shared" si="7"/>
        <v>-235565</v>
      </c>
      <c r="H17" s="44">
        <f t="shared" si="3"/>
        <v>3062347</v>
      </c>
      <c r="I17" s="2">
        <f t="shared" si="0"/>
        <v>-0.25740002146718366</v>
      </c>
      <c r="K17" s="44">
        <f t="shared" si="5"/>
        <v>-679606</v>
      </c>
      <c r="L17" s="2"/>
      <c r="M17" s="2"/>
    </row>
    <row r="18" spans="1:13" x14ac:dyDescent="0.25">
      <c r="A18" s="54">
        <v>2026</v>
      </c>
      <c r="B18" s="44">
        <f t="shared" si="1"/>
        <v>-11897229</v>
      </c>
      <c r="C18" s="44">
        <f t="shared" si="6"/>
        <v>915171</v>
      </c>
      <c r="D18" s="44">
        <f t="shared" si="2"/>
        <v>-10982058</v>
      </c>
      <c r="F18" s="44">
        <f t="shared" si="4"/>
        <v>3062347</v>
      </c>
      <c r="G18" s="44">
        <f t="shared" si="7"/>
        <v>-235565</v>
      </c>
      <c r="H18" s="44">
        <f t="shared" si="3"/>
        <v>2826782</v>
      </c>
      <c r="I18" s="2">
        <f t="shared" si="0"/>
        <v>-0.25740002465840189</v>
      </c>
      <c r="K18" s="44">
        <f t="shared" si="5"/>
        <v>-679606</v>
      </c>
      <c r="L18" s="2"/>
      <c r="M18" s="2"/>
    </row>
    <row r="19" spans="1:13" x14ac:dyDescent="0.25">
      <c r="A19" s="54">
        <v>2027</v>
      </c>
      <c r="B19" s="44">
        <f t="shared" si="1"/>
        <v>-10982058</v>
      </c>
      <c r="C19" s="44">
        <f t="shared" si="6"/>
        <v>915171</v>
      </c>
      <c r="D19" s="44">
        <f t="shared" si="2"/>
        <v>-10066887</v>
      </c>
      <c r="F19" s="44">
        <f t="shared" si="4"/>
        <v>2826782</v>
      </c>
      <c r="G19" s="44">
        <f t="shared" si="7"/>
        <v>-235565</v>
      </c>
      <c r="H19" s="44">
        <f t="shared" si="3"/>
        <v>2591217</v>
      </c>
      <c r="I19" s="2">
        <f t="shared" si="0"/>
        <v>-0.25740002842984133</v>
      </c>
      <c r="K19" s="44">
        <f t="shared" si="5"/>
        <v>-679606</v>
      </c>
      <c r="L19" s="2"/>
      <c r="M19" s="2"/>
    </row>
    <row r="20" spans="1:13" x14ac:dyDescent="0.25">
      <c r="A20" s="54">
        <v>2028</v>
      </c>
      <c r="B20" s="44">
        <f t="shared" si="1"/>
        <v>-10066887</v>
      </c>
      <c r="C20" s="44">
        <f t="shared" si="6"/>
        <v>915171</v>
      </c>
      <c r="D20" s="44">
        <f t="shared" si="2"/>
        <v>-9151716</v>
      </c>
      <c r="F20" s="44">
        <f t="shared" si="4"/>
        <v>2591217</v>
      </c>
      <c r="G20" s="44">
        <f t="shared" si="7"/>
        <v>-235565</v>
      </c>
      <c r="H20" s="44">
        <f t="shared" si="3"/>
        <v>2355652</v>
      </c>
      <c r="I20" s="2">
        <f t="shared" si="0"/>
        <v>-0.25740003295556813</v>
      </c>
      <c r="K20" s="44">
        <f t="shared" si="5"/>
        <v>-679606</v>
      </c>
      <c r="L20" s="2"/>
      <c r="M20" s="2"/>
    </row>
    <row r="21" spans="1:13" x14ac:dyDescent="0.25">
      <c r="A21" s="54">
        <v>2029</v>
      </c>
      <c r="B21" s="44">
        <f t="shared" si="1"/>
        <v>-9151716</v>
      </c>
      <c r="C21" s="44">
        <f t="shared" si="6"/>
        <v>915171</v>
      </c>
      <c r="D21" s="44">
        <f t="shared" si="2"/>
        <v>-8236545</v>
      </c>
      <c r="F21" s="44">
        <f t="shared" si="4"/>
        <v>2355652</v>
      </c>
      <c r="G21" s="44">
        <f t="shared" si="7"/>
        <v>-235565</v>
      </c>
      <c r="H21" s="44">
        <f t="shared" si="3"/>
        <v>2120087</v>
      </c>
      <c r="I21" s="2">
        <f t="shared" si="0"/>
        <v>-0.25740003848701126</v>
      </c>
      <c r="K21" s="44">
        <f t="shared" si="5"/>
        <v>-679606</v>
      </c>
      <c r="L21" s="2"/>
      <c r="M21" s="2"/>
    </row>
    <row r="22" spans="1:13" x14ac:dyDescent="0.25">
      <c r="A22" s="54">
        <v>2030</v>
      </c>
      <c r="B22" s="44">
        <f t="shared" si="1"/>
        <v>-8236545</v>
      </c>
      <c r="C22" s="44">
        <f t="shared" si="6"/>
        <v>915171</v>
      </c>
      <c r="D22" s="44">
        <f t="shared" si="2"/>
        <v>-7321374</v>
      </c>
      <c r="F22" s="44">
        <f t="shared" si="4"/>
        <v>2120087</v>
      </c>
      <c r="G22" s="44">
        <f t="shared" si="7"/>
        <v>-235565</v>
      </c>
      <c r="H22" s="44">
        <f t="shared" si="3"/>
        <v>1884522</v>
      </c>
      <c r="I22" s="2">
        <f t="shared" si="0"/>
        <v>-0.257400045401314</v>
      </c>
      <c r="K22" s="44">
        <f t="shared" si="5"/>
        <v>-679606</v>
      </c>
      <c r="L22" s="2"/>
      <c r="M22" s="2"/>
    </row>
    <row r="23" spans="1:13" x14ac:dyDescent="0.25">
      <c r="A23" s="54">
        <v>2031</v>
      </c>
      <c r="B23" s="44">
        <f t="shared" si="1"/>
        <v>-7321374</v>
      </c>
      <c r="C23" s="44">
        <f t="shared" si="6"/>
        <v>915171</v>
      </c>
      <c r="D23" s="44">
        <f t="shared" si="2"/>
        <v>-6406203</v>
      </c>
      <c r="F23" s="44">
        <f t="shared" si="4"/>
        <v>1884522</v>
      </c>
      <c r="G23" s="44">
        <f t="shared" si="7"/>
        <v>-235565</v>
      </c>
      <c r="H23" s="44">
        <f t="shared" si="3"/>
        <v>1648957</v>
      </c>
      <c r="I23" s="2">
        <f t="shared" si="0"/>
        <v>-0.25740005429113</v>
      </c>
      <c r="K23" s="44">
        <f t="shared" si="5"/>
        <v>-679606</v>
      </c>
      <c r="L23" s="2"/>
      <c r="M23" s="2"/>
    </row>
    <row r="24" spans="1:13" x14ac:dyDescent="0.25">
      <c r="A24" s="54">
        <v>2032</v>
      </c>
      <c r="B24" s="44">
        <f t="shared" si="1"/>
        <v>-6406203</v>
      </c>
      <c r="C24" s="44">
        <f t="shared" si="6"/>
        <v>915171</v>
      </c>
      <c r="D24" s="44">
        <f t="shared" si="2"/>
        <v>-5491032</v>
      </c>
      <c r="F24" s="44">
        <f t="shared" si="4"/>
        <v>1648957</v>
      </c>
      <c r="G24" s="44">
        <f t="shared" si="7"/>
        <v>-235565</v>
      </c>
      <c r="H24" s="44">
        <f t="shared" si="3"/>
        <v>1413392</v>
      </c>
      <c r="I24" s="2">
        <f t="shared" si="0"/>
        <v>-0.25740006614421479</v>
      </c>
      <c r="K24" s="44">
        <f t="shared" si="5"/>
        <v>-679606</v>
      </c>
      <c r="L24" s="2"/>
      <c r="M24" s="2"/>
    </row>
    <row r="25" spans="1:13" x14ac:dyDescent="0.25">
      <c r="A25" s="54">
        <v>2033</v>
      </c>
      <c r="B25" s="44">
        <f t="shared" si="1"/>
        <v>-5491032</v>
      </c>
      <c r="C25" s="44">
        <f t="shared" si="6"/>
        <v>915171</v>
      </c>
      <c r="D25" s="44">
        <f t="shared" si="2"/>
        <v>-4575861</v>
      </c>
      <c r="F25" s="44">
        <f t="shared" si="4"/>
        <v>1413392</v>
      </c>
      <c r="G25" s="44">
        <f t="shared" si="7"/>
        <v>-235565</v>
      </c>
      <c r="H25" s="44">
        <f t="shared" si="3"/>
        <v>1177827</v>
      </c>
      <c r="I25" s="2">
        <f t="shared" si="0"/>
        <v>-0.25740008273852721</v>
      </c>
      <c r="K25" s="44">
        <f t="shared" si="5"/>
        <v>-679606</v>
      </c>
      <c r="L25" s="2"/>
      <c r="M25" s="2"/>
    </row>
    <row r="26" spans="1:13" x14ac:dyDescent="0.25">
      <c r="A26" s="54">
        <v>2034</v>
      </c>
      <c r="B26" s="44">
        <f t="shared" si="1"/>
        <v>-4575861</v>
      </c>
      <c r="C26" s="44">
        <f t="shared" si="6"/>
        <v>915171</v>
      </c>
      <c r="D26" s="44">
        <f t="shared" si="2"/>
        <v>-3660690</v>
      </c>
      <c r="F26" s="44">
        <f t="shared" si="4"/>
        <v>1177827</v>
      </c>
      <c r="G26" s="44">
        <f t="shared" si="7"/>
        <v>-235565</v>
      </c>
      <c r="H26" s="44">
        <f t="shared" si="3"/>
        <v>942262</v>
      </c>
      <c r="I26" s="2">
        <f t="shared" si="0"/>
        <v>-0.25740010762998233</v>
      </c>
      <c r="K26" s="44">
        <f t="shared" si="5"/>
        <v>-679606</v>
      </c>
    </row>
    <row r="27" spans="1:13" x14ac:dyDescent="0.25">
      <c r="A27" s="54">
        <v>2035</v>
      </c>
      <c r="B27" s="44">
        <f t="shared" si="1"/>
        <v>-3660690</v>
      </c>
      <c r="C27" s="44">
        <f t="shared" si="6"/>
        <v>915171</v>
      </c>
      <c r="D27" s="44">
        <f t="shared" si="2"/>
        <v>-2745519</v>
      </c>
      <c r="F27" s="44">
        <f t="shared" si="4"/>
        <v>942262</v>
      </c>
      <c r="G27" s="44">
        <f t="shared" si="7"/>
        <v>-235565</v>
      </c>
      <c r="H27" s="44">
        <f t="shared" si="3"/>
        <v>706697</v>
      </c>
      <c r="I27" s="2">
        <f t="shared" si="0"/>
        <v>-0.25740014911570452</v>
      </c>
      <c r="K27" s="44">
        <f t="shared" si="5"/>
        <v>-679606</v>
      </c>
    </row>
    <row r="28" spans="1:13" x14ac:dyDescent="0.25">
      <c r="A28" s="54">
        <v>2036</v>
      </c>
      <c r="B28" s="44">
        <f t="shared" si="1"/>
        <v>-2745519</v>
      </c>
      <c r="C28" s="44">
        <f t="shared" si="6"/>
        <v>915171</v>
      </c>
      <c r="D28" s="44">
        <f t="shared" si="2"/>
        <v>-1830348</v>
      </c>
      <c r="F28" s="44">
        <f t="shared" si="4"/>
        <v>706697</v>
      </c>
      <c r="G28" s="44">
        <f t="shared" si="7"/>
        <v>-235565</v>
      </c>
      <c r="H28" s="44">
        <f t="shared" si="3"/>
        <v>471132</v>
      </c>
      <c r="I28" s="2">
        <f t="shared" si="0"/>
        <v>-0.25740023208701296</v>
      </c>
      <c r="K28" s="44">
        <f t="shared" si="5"/>
        <v>-679606</v>
      </c>
    </row>
    <row r="29" spans="1:13" x14ac:dyDescent="0.25">
      <c r="A29" s="54">
        <v>2037</v>
      </c>
      <c r="B29" s="44">
        <f t="shared" si="1"/>
        <v>-1830348</v>
      </c>
      <c r="C29" s="44">
        <f t="shared" si="6"/>
        <v>915171</v>
      </c>
      <c r="D29" s="44">
        <f t="shared" si="2"/>
        <v>-915177</v>
      </c>
      <c r="F29" s="44">
        <f t="shared" si="4"/>
        <v>471132</v>
      </c>
      <c r="G29" s="44">
        <f t="shared" si="7"/>
        <v>-235565</v>
      </c>
      <c r="H29" s="44">
        <f t="shared" si="3"/>
        <v>235567</v>
      </c>
      <c r="I29" s="2">
        <f t="shared" si="0"/>
        <v>-0.2574004809998503</v>
      </c>
      <c r="K29" s="44">
        <f t="shared" si="5"/>
        <v>-679606</v>
      </c>
    </row>
    <row r="30" spans="1:13" x14ac:dyDescent="0.25">
      <c r="A30" s="54">
        <v>2038</v>
      </c>
      <c r="B30" s="44">
        <f t="shared" si="1"/>
        <v>-915177</v>
      </c>
      <c r="C30" s="44">
        <f>C29+6</f>
        <v>915177</v>
      </c>
      <c r="D30" s="44">
        <f t="shared" si="2"/>
        <v>0</v>
      </c>
      <c r="F30" s="44">
        <f t="shared" si="4"/>
        <v>235567</v>
      </c>
      <c r="G30" s="44">
        <f t="shared" si="7"/>
        <v>-235565</v>
      </c>
      <c r="H30" s="44">
        <f t="shared" si="3"/>
        <v>2</v>
      </c>
      <c r="I30" s="2">
        <v>0</v>
      </c>
      <c r="K30" s="44">
        <f t="shared" si="5"/>
        <v>-679612</v>
      </c>
    </row>
    <row r="31" spans="1:13" x14ac:dyDescent="0.25">
      <c r="A31" s="54"/>
    </row>
    <row r="32" spans="1:13" x14ac:dyDescent="0.25">
      <c r="A32" s="54"/>
    </row>
    <row r="33" spans="1:2" x14ac:dyDescent="0.25">
      <c r="A33" s="54"/>
    </row>
    <row r="34" spans="1:2" x14ac:dyDescent="0.25">
      <c r="A34" s="136" t="s">
        <v>24</v>
      </c>
      <c r="B34" s="44" t="s">
        <v>136</v>
      </c>
    </row>
    <row r="35" spans="1:2" x14ac:dyDescent="0.25">
      <c r="A35" s="137"/>
    </row>
    <row r="36" spans="1:2" x14ac:dyDescent="0.25">
      <c r="A36" s="136" t="s">
        <v>126</v>
      </c>
      <c r="B36" s="44" t="s">
        <v>198</v>
      </c>
    </row>
    <row r="37" spans="1:2" x14ac:dyDescent="0.25">
      <c r="A37" s="54"/>
    </row>
    <row r="38" spans="1:2" x14ac:dyDescent="0.25">
      <c r="A38" s="54"/>
    </row>
    <row r="39" spans="1:2" x14ac:dyDescent="0.25">
      <c r="A39" s="54"/>
    </row>
    <row r="40" spans="1:2" x14ac:dyDescent="0.25">
      <c r="A40" s="54"/>
    </row>
    <row r="41" spans="1:2" x14ac:dyDescent="0.25">
      <c r="A41" s="54"/>
    </row>
    <row r="42" spans="1:2" x14ac:dyDescent="0.25">
      <c r="A42" s="54"/>
    </row>
    <row r="43" spans="1:2" x14ac:dyDescent="0.25">
      <c r="A43" s="54"/>
    </row>
    <row r="44" spans="1:2" x14ac:dyDescent="0.25">
      <c r="A44" s="54"/>
    </row>
    <row r="45" spans="1:2" x14ac:dyDescent="0.25">
      <c r="A45" s="54"/>
    </row>
    <row r="46" spans="1:2" x14ac:dyDescent="0.25">
      <c r="A46" s="54"/>
    </row>
    <row r="47" spans="1:2" x14ac:dyDescent="0.25">
      <c r="A47" s="54"/>
    </row>
    <row r="48" spans="1:2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</sheetData>
  <mergeCells count="2">
    <mergeCell ref="B7:D7"/>
    <mergeCell ref="F7:I7"/>
  </mergeCells>
  <pageMargins left="0.7" right="0.7" top="0.75" bottom="0.75" header="0.3" footer="0.3"/>
  <pageSetup scale="8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zoomScaleNormal="100" workbookViewId="0">
      <selection activeCell="E33" sqref="E33"/>
    </sheetView>
  </sheetViews>
  <sheetFormatPr defaultRowHeight="15" x14ac:dyDescent="0.25"/>
  <cols>
    <col min="1" max="1" width="10.7109375" bestFit="1" customWidth="1"/>
    <col min="2" max="2" width="44.140625" customWidth="1"/>
    <col min="3" max="3" width="15" bestFit="1" customWidth="1"/>
    <col min="4" max="4" width="9.7109375" bestFit="1" customWidth="1"/>
  </cols>
  <sheetData>
    <row r="1" spans="1:3" x14ac:dyDescent="0.25">
      <c r="A1" s="43" t="s">
        <v>50</v>
      </c>
    </row>
    <row r="2" spans="1:3" x14ac:dyDescent="0.25">
      <c r="A2" s="43" t="s">
        <v>51</v>
      </c>
    </row>
    <row r="3" spans="1:3" x14ac:dyDescent="0.25">
      <c r="A3" s="43" t="s">
        <v>196</v>
      </c>
    </row>
    <row r="4" spans="1:3" x14ac:dyDescent="0.25">
      <c r="A4" s="50" t="s">
        <v>68</v>
      </c>
    </row>
    <row r="11" spans="1:3" x14ac:dyDescent="0.25">
      <c r="A11" s="74" t="s">
        <v>170</v>
      </c>
      <c r="C11" s="44"/>
    </row>
    <row r="12" spans="1:3" x14ac:dyDescent="0.25">
      <c r="B12" t="s">
        <v>139</v>
      </c>
      <c r="C12" s="44">
        <f>'4 - 2018 Reg Liability'!D14</f>
        <v>14271730</v>
      </c>
    </row>
    <row r="13" spans="1:3" x14ac:dyDescent="0.25">
      <c r="B13" t="s">
        <v>140</v>
      </c>
      <c r="C13" s="44">
        <f>'4 - 2018 Reg Liability'!D19</f>
        <v>4946867</v>
      </c>
    </row>
    <row r="14" spans="1:3" x14ac:dyDescent="0.25">
      <c r="B14" t="s">
        <v>23</v>
      </c>
      <c r="C14" s="44">
        <f>'4 - 2018 Reg Liability'!D17</f>
        <v>-19218597</v>
      </c>
    </row>
    <row r="15" spans="1:3" x14ac:dyDescent="0.25">
      <c r="B15" s="53" t="s">
        <v>138</v>
      </c>
      <c r="C15" s="44"/>
    </row>
    <row r="16" spans="1:3" x14ac:dyDescent="0.25">
      <c r="C16" s="44"/>
    </row>
    <row r="17" spans="1:3" x14ac:dyDescent="0.25">
      <c r="C17" s="44"/>
    </row>
    <row r="18" spans="1:3" x14ac:dyDescent="0.25">
      <c r="A18" t="s">
        <v>21</v>
      </c>
      <c r="C18" s="117"/>
    </row>
    <row r="19" spans="1:3" x14ac:dyDescent="0.25">
      <c r="B19" s="96" t="s">
        <v>140</v>
      </c>
      <c r="C19" s="117">
        <f>'3.1 KY Reg Liability'!F32</f>
        <v>-93923</v>
      </c>
    </row>
    <row r="20" spans="1:3" x14ac:dyDescent="0.25">
      <c r="B20" s="96" t="s">
        <v>23</v>
      </c>
      <c r="C20" s="117">
        <f>'3.1 KY Reg Liability'!F33</f>
        <v>93923</v>
      </c>
    </row>
    <row r="21" spans="1:3" x14ac:dyDescent="0.25">
      <c r="B21" s="53" t="s">
        <v>171</v>
      </c>
    </row>
  </sheetData>
  <pageMargins left="0.7" right="0.7" top="0.75" bottom="0.75" header="0.3" footer="0.3"/>
  <pageSetup scale="7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C26" sqref="C26"/>
    </sheetView>
  </sheetViews>
  <sheetFormatPr defaultColWidth="9" defaultRowHeight="15" x14ac:dyDescent="0.25"/>
  <cols>
    <col min="1" max="1" width="9" style="125"/>
    <col min="2" max="2" width="56.28515625" style="125" customWidth="1"/>
    <col min="3" max="3" width="15.5703125" style="125" bestFit="1" customWidth="1"/>
    <col min="4" max="4" width="9" style="125"/>
    <col min="5" max="5" width="13" style="125" bestFit="1" customWidth="1"/>
    <col min="6" max="16384" width="9" style="125"/>
  </cols>
  <sheetData>
    <row r="1" spans="1:6" x14ac:dyDescent="0.25">
      <c r="A1" s="116" t="s">
        <v>50</v>
      </c>
    </row>
    <row r="2" spans="1:6" x14ac:dyDescent="0.25">
      <c r="A2" s="116" t="s">
        <v>51</v>
      </c>
    </row>
    <row r="3" spans="1:6" x14ac:dyDescent="0.25">
      <c r="A3" s="116" t="s">
        <v>149</v>
      </c>
    </row>
    <row r="4" spans="1:6" x14ac:dyDescent="0.25">
      <c r="A4" s="50" t="s">
        <v>192</v>
      </c>
    </row>
    <row r="8" spans="1:6" x14ac:dyDescent="0.25">
      <c r="B8" s="116" t="s">
        <v>197</v>
      </c>
    </row>
    <row r="9" spans="1:6" x14ac:dyDescent="0.25">
      <c r="B9" s="116"/>
    </row>
    <row r="10" spans="1:6" x14ac:dyDescent="0.25">
      <c r="C10" s="128" t="s">
        <v>181</v>
      </c>
      <c r="D10" s="128"/>
      <c r="E10" s="128"/>
    </row>
    <row r="11" spans="1:6" x14ac:dyDescent="0.25">
      <c r="C11" s="129" t="s">
        <v>182</v>
      </c>
      <c r="D11" s="124"/>
      <c r="E11" s="124" t="s">
        <v>203</v>
      </c>
    </row>
    <row r="12" spans="1:6" x14ac:dyDescent="0.25">
      <c r="B12" s="125" t="s">
        <v>193</v>
      </c>
      <c r="C12" s="117">
        <v>-8751150</v>
      </c>
      <c r="D12" s="117"/>
      <c r="E12" s="117">
        <v>-6645248</v>
      </c>
      <c r="F12" s="135" t="s">
        <v>24</v>
      </c>
    </row>
    <row r="14" spans="1:6" x14ac:dyDescent="0.25">
      <c r="C14" s="12">
        <v>0.37959999999999999</v>
      </c>
      <c r="E14" s="12">
        <v>0.25740000000000002</v>
      </c>
    </row>
    <row r="16" spans="1:6" x14ac:dyDescent="0.25">
      <c r="B16" s="125" t="s">
        <v>189</v>
      </c>
      <c r="C16" s="10">
        <f>C12*C14</f>
        <v>-3321936.54</v>
      </c>
      <c r="D16" s="10"/>
      <c r="E16" s="10">
        <f>E12*E14</f>
        <v>-1710486.8352000001</v>
      </c>
    </row>
    <row r="17" spans="2:5" s="133" customFormat="1" x14ac:dyDescent="0.25">
      <c r="C17" s="10"/>
      <c r="D17" s="10"/>
      <c r="E17" s="10"/>
    </row>
    <row r="18" spans="2:5" x14ac:dyDescent="0.25">
      <c r="B18" s="125" t="s">
        <v>202</v>
      </c>
      <c r="C18" s="10">
        <f>C16-E16</f>
        <v>-1611449.7047999999</v>
      </c>
    </row>
    <row r="19" spans="2:5" s="133" customFormat="1" x14ac:dyDescent="0.25">
      <c r="B19" s="133" t="s">
        <v>201</v>
      </c>
      <c r="C19" s="118">
        <f>'4 - 2018 Reg Liability'!D25</f>
        <v>-915171</v>
      </c>
      <c r="D19" s="133" t="s">
        <v>45</v>
      </c>
    </row>
    <row r="20" spans="2:5" s="133" customFormat="1" x14ac:dyDescent="0.25"/>
    <row r="21" spans="2:5" x14ac:dyDescent="0.25">
      <c r="B21" s="125" t="s">
        <v>200</v>
      </c>
    </row>
    <row r="22" spans="2:5" x14ac:dyDescent="0.25">
      <c r="B22" s="14" t="s">
        <v>183</v>
      </c>
      <c r="C22" s="10">
        <f>SUM(C18:C19)</f>
        <v>-2526620.7047999999</v>
      </c>
    </row>
    <row r="24" spans="2:5" x14ac:dyDescent="0.25">
      <c r="B24" s="125" t="s">
        <v>204</v>
      </c>
      <c r="C24" s="130">
        <v>6.6804319582454794E-2</v>
      </c>
    </row>
    <row r="26" spans="2:5" x14ac:dyDescent="0.25">
      <c r="B26" s="125" t="s">
        <v>188</v>
      </c>
      <c r="C26" s="10">
        <f>C22*C24</f>
        <v>-168789.17702710637</v>
      </c>
    </row>
    <row r="27" spans="2:5" s="133" customFormat="1" x14ac:dyDescent="0.25">
      <c r="C27" s="10"/>
    </row>
    <row r="28" spans="2:5" s="133" customFormat="1" x14ac:dyDescent="0.25">
      <c r="B28" s="14" t="s">
        <v>211</v>
      </c>
      <c r="C28" s="10"/>
    </row>
    <row r="29" spans="2:5" s="133" customFormat="1" x14ac:dyDescent="0.25">
      <c r="B29" s="28" t="s">
        <v>212</v>
      </c>
      <c r="C29" s="10">
        <f>ROUND(C26*0.57,0)</f>
        <v>-96210</v>
      </c>
    </row>
    <row r="30" spans="2:5" s="133" customFormat="1" x14ac:dyDescent="0.25">
      <c r="B30" s="28" t="s">
        <v>213</v>
      </c>
      <c r="C30" s="10">
        <f>ROUND(C26*0.43,0)</f>
        <v>-72579</v>
      </c>
    </row>
    <row r="31" spans="2:5" s="133" customFormat="1" x14ac:dyDescent="0.25">
      <c r="C31" s="10"/>
    </row>
    <row r="32" spans="2:5" s="133" customFormat="1" x14ac:dyDescent="0.25">
      <c r="B32" s="125" t="s">
        <v>191</v>
      </c>
      <c r="C32" s="131">
        <f>1/(1-E14)</f>
        <v>1.3466199838405604</v>
      </c>
    </row>
    <row r="33" spans="1:4" s="133" customFormat="1" x14ac:dyDescent="0.25">
      <c r="C33" s="10"/>
    </row>
    <row r="34" spans="1:4" s="133" customFormat="1" x14ac:dyDescent="0.25">
      <c r="B34" s="133" t="s">
        <v>210</v>
      </c>
      <c r="C34" s="10">
        <f>C32*C29</f>
        <v>-129558.30864530032</v>
      </c>
    </row>
    <row r="35" spans="1:4" x14ac:dyDescent="0.25">
      <c r="B35" s="125" t="s">
        <v>209</v>
      </c>
      <c r="C35" s="13">
        <f>C30</f>
        <v>-72579</v>
      </c>
    </row>
    <row r="36" spans="1:4" x14ac:dyDescent="0.25">
      <c r="B36" s="125" t="s">
        <v>190</v>
      </c>
      <c r="C36" s="10">
        <f>C34+C35</f>
        <v>-202137.30864530033</v>
      </c>
      <c r="D36" s="125" t="s">
        <v>46</v>
      </c>
    </row>
    <row r="39" spans="1:4" x14ac:dyDescent="0.25">
      <c r="A39" s="136" t="s">
        <v>24</v>
      </c>
      <c r="B39" s="125" t="s">
        <v>199</v>
      </c>
    </row>
  </sheetData>
  <pageMargins left="0.7" right="0.7" top="0.75" bottom="0.75" header="0.3" footer="0.3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1 - Rate Impact</vt:lpstr>
      <vt:lpstr>2 - Income Tax Expense</vt:lpstr>
      <vt:lpstr>2.1 - WNA</vt:lpstr>
      <vt:lpstr>3 - Deferred Taxes</vt:lpstr>
      <vt:lpstr>3.1 KY Reg Liability</vt:lpstr>
      <vt:lpstr>4 - 2018 Reg Liability</vt:lpstr>
      <vt:lpstr>4.1 2018 Rate Change Amort</vt:lpstr>
      <vt:lpstr>5 - Proposed Entries</vt:lpstr>
      <vt:lpstr>6 - Cost of Capital</vt:lpstr>
      <vt:lpstr>'3 - Deferred Taxes'!Print_Area</vt:lpstr>
      <vt:lpstr>'3.1 KY Reg Liability'!Print_Area</vt:lpstr>
      <vt:lpstr>'5 - Proposed Entries'!Print_Area</vt:lpstr>
    </vt:vector>
  </TitlesOfParts>
  <Company>Delta Natural Gas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Wesolosky</dc:creator>
  <cp:lastModifiedBy>Matthew Wesolosky</cp:lastModifiedBy>
  <cp:lastPrinted>2018-01-26T15:17:55Z</cp:lastPrinted>
  <dcterms:created xsi:type="dcterms:W3CDTF">2017-12-27T22:10:28Z</dcterms:created>
  <dcterms:modified xsi:type="dcterms:W3CDTF">2018-03-26T21:11:52Z</dcterms:modified>
</cp:coreProperties>
</file>